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5985" activeTab="0"/>
  </bookViews>
  <sheets>
    <sheet name="czerwiec" sheetId="1" r:id="rId1"/>
  </sheets>
  <definedNames>
    <definedName name="_xlnm.Print_Titles" localSheetId="0">'czerwiec'!$2:$3</definedName>
  </definedNames>
  <calcPr fullCalcOnLoad="1"/>
</workbook>
</file>

<file path=xl/sharedStrings.xml><?xml version="1.0" encoding="utf-8"?>
<sst xmlns="http://schemas.openxmlformats.org/spreadsheetml/2006/main" count="616" uniqueCount="323">
  <si>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</si>
  <si>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</si>
  <si>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</si>
  <si>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</si>
  <si>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</si>
  <si>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</si>
  <si>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</si>
  <si>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</si>
  <si>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700 GOSPODARKA MIESZKANIOWA</t>
  </si>
  <si>
    <t>70005 Gospodarka gruntami i nieruchomościami</t>
  </si>
  <si>
    <t>70095 Pozostała działalność</t>
  </si>
  <si>
    <t>700 GOSPODARKA MIESZKANIOWA - Suma</t>
  </si>
  <si>
    <t>710 DZIAŁALNOŚĆ USŁUGOWA</t>
  </si>
  <si>
    <t>71013 Prace geodezyjne i kartograficzne (nieinwestycyjne)</t>
  </si>
  <si>
    <t>71014 Opracowania geodezyjne i kartograficzne</t>
  </si>
  <si>
    <t>71015 Nadzór budowlany</t>
  </si>
  <si>
    <t>71095 Pozostała działalność</t>
  </si>
  <si>
    <t>710 DZIAŁALNOŚĆ USŁUGOWA - Suma</t>
  </si>
  <si>
    <t>750 ADMINISTRACJA PUBLICZNA</t>
  </si>
  <si>
    <t>75011 Urzędy wojewódzkie</t>
  </si>
  <si>
    <t>75023 Urzędy gmin (miast i miast na prawach powiatu)</t>
  </si>
  <si>
    <t>75045 Komisje poborowe</t>
  </si>
  <si>
    <t>75095 Pozostała działalność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</si>
  <si>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</si>
  <si>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</si>
  <si>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</si>
  <si>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</si>
  <si>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</si>
  <si>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</si>
  <si>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754 BEZPIECZEŃSTWO PUBLICZNE I OCHRONA PRZECIWPOŻAROWA - Suma</t>
  </si>
  <si>
    <t>75601 Wpływy z podatku dochodowego od osób fizycznych</t>
  </si>
  <si>
    <t>75621 Udziały gmin w podatkach stanowiących dochód budżetu państwa</t>
  </si>
  <si>
    <t>75622 Udziały powiatów w podatkach stanowiących dochód budżetu państwa</t>
  </si>
  <si>
    <t>758 RÓŻNE ROZLICZENIA</t>
  </si>
  <si>
    <t>75801 Część oświatowa subwencji ogólnej dla jednostek samorządu terytorialnego</t>
  </si>
  <si>
    <t>75814 Różne rozliczenia finansowe</t>
  </si>
  <si>
    <t>758 RÓŻNE ROZLICZENIA - Suma</t>
  </si>
  <si>
    <t>801 OŚWIATA I WYCHOWANIE</t>
  </si>
  <si>
    <t>80101 Szkoły podstawowe</t>
  </si>
  <si>
    <t>80102 Szkoły podstawowe specjalne</t>
  </si>
  <si>
    <t>80110 Gimnazja</t>
  </si>
  <si>
    <t>80120 Licea ogólnokształcące</t>
  </si>
  <si>
    <t>80132 Szkoły artystyczne</t>
  </si>
  <si>
    <t>80140 Centra kształcenia ustawicznego i praktycznego oraz ośrodki dokształcania zawodowego</t>
  </si>
  <si>
    <t>801 OŚWIATA I WYCHOWANIE - Suma</t>
  </si>
  <si>
    <t>851 OCHRONA ZDROWIA</t>
  </si>
  <si>
    <t>851 OCHRONA ZDROWIA - Suma</t>
  </si>
  <si>
    <t>85305 Żłobki</t>
  </si>
  <si>
    <t>85333 Powiatowe urzędy pracy</t>
  </si>
  <si>
    <t>854 EDUKACYJNA OPIEKA WYCHOWAWCZA</t>
  </si>
  <si>
    <t>85403 Specjalne ośrodki szkolno - wychowawcze</t>
  </si>
  <si>
    <t>85407 Placówki wychowania pozaszkolnego</t>
  </si>
  <si>
    <t>85410 Internaty i bursy szkolne</t>
  </si>
  <si>
    <t>854 EDUKACYJNA OPIEKA WYCHOWAWCZA - Suma</t>
  </si>
  <si>
    <t>900 GOSPODARKA KOMUNALNA I OCHRONA ŚRODOWISKA</t>
  </si>
  <si>
    <t>90095 Pozostała działalność</t>
  </si>
  <si>
    <t>900 GOSPODARKA KOMUNALNA I OCHRONA ŚRODOWISKA - Suma</t>
  </si>
  <si>
    <t>% wyk</t>
  </si>
  <si>
    <t>75416 Straż Miejska</t>
  </si>
  <si>
    <t>926 KULTURA FIZYCZNA I SPORT</t>
  </si>
  <si>
    <t>926 KULTURA FIZYCZNA I SPORT - Suma</t>
  </si>
  <si>
    <t>90017 Zakłady gospodarki komunalnej</t>
  </si>
  <si>
    <t>71035 Cmentarze</t>
  </si>
  <si>
    <t>85121 Lecznictwo ambulatoryjne</t>
  </si>
  <si>
    <t>600 TRANSPORT I ŁĄCZNOŚĆ</t>
  </si>
  <si>
    <t>600 TRANSPORT I ŁĄCZNOŚĆ - Suma</t>
  </si>
  <si>
    <t>60095 Pozostała działalność</t>
  </si>
  <si>
    <t>92601 Obiekty sportowe</t>
  </si>
  <si>
    <t>75618 Wpływy z innych opłat stanowiących dochody j.s.t. na podstawie ustaw</t>
  </si>
  <si>
    <t>2110 dotacje celowe otrzymane z budżetu państwa na zadania bieżące z zakresu administracji rządowej oraz inne zadania zlecone ustawami realizowane przez powiat</t>
  </si>
  <si>
    <t>2700 środki na dofinansowanie własnych zadań bieżących gmin (związków gmin), powiatów (związków powiatów), samorządów województw, pozyskane z innych źródeł</t>
  </si>
  <si>
    <t>0690 wpływy z różnych opłat</t>
  </si>
  <si>
    <t>0920 pozostałe odsetki</t>
  </si>
  <si>
    <t>2130 dotacje celowe otrzymane z budżetu państwa na realizację bieżących zadań własnych powiatu</t>
  </si>
  <si>
    <t>0970 wpływy z różnych dochodów</t>
  </si>
  <si>
    <t>0760 wpływy z tytułu przekształcenia prawa użytkowania wieczystego przysługującego osobom fizycznym w prawo własności</t>
  </si>
  <si>
    <t>0830 wpływy z usług</t>
  </si>
  <si>
    <t>2360 dochody j.s.t. związane z realizacją zadań z zakresu administracji rządowej oraz innych zadań zleconych ustawami</t>
  </si>
  <si>
    <t>0470 wpływy z opłat za zarząd, użytkowanie i użytkowanie wieczyste nieruchomości</t>
  </si>
  <si>
    <t>6290 środki na dofinansowanie własnych inwestycji gmin (związków gmin), powiatów (związków powiatów), samorządów województw, pozyskane z innych źródeł</t>
  </si>
  <si>
    <t>2020 dotacje celowe otrzymane z budżetu państwa na zadania bieżące realizowane przez gminę na podstawie porozumień z organami administracji rządowej</t>
  </si>
  <si>
    <t>0420 wpływy z opłaty komunikacyjnej</t>
  </si>
  <si>
    <t>0590 wpływy z opłat za koncesje i licencje</t>
  </si>
  <si>
    <t>2320 dotacje celowe otrzymane z powiatu na zadania bieżące realizowane na podstawie porozumień (umów) między j.s.t.</t>
  </si>
  <si>
    <t>0480 wpływy z opłat za zezwolenia na sprzedaż alkoholu</t>
  </si>
  <si>
    <t>0570 grzywny, mandaty i inne kary pieniężne od ludności</t>
  </si>
  <si>
    <t>0910 odsetki od nieterminowych wpłat z tytułu podatków i opłat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</si>
  <si>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</si>
  <si>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</si>
  <si>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</si>
  <si>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</si>
  <si>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</si>
  <si>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0560 zaległości z podatków zniesionych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</si>
  <si>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</si>
  <si>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</si>
  <si>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</si>
  <si>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</si>
  <si>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</si>
  <si>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0410 wpływy z opłaty skarbowej</t>
  </si>
  <si>
    <t>0010 podatek dochodowy od osób fizycznych</t>
  </si>
  <si>
    <t>0020 podatek dochodowy od osób prawnych</t>
  </si>
  <si>
    <t>2030 dotacje celowe otrzymane z budżetu państwa na realizację własnych zadań bieżących gmin (związków gmin)</t>
  </si>
  <si>
    <t>6260 dotacje otrzymane z funduszy celowych na finansowanie lub dofinansowanie kosztów realizacji inwestycji i zakupów inwestycyjnych jednostek sektora finansów publicznych</t>
  </si>
  <si>
    <t>756 DOCHODY OD OSÓB PRAWNYCH, OD OSÓB FIZYCZNYCH I OD INNYCH JEDNOSTEK NIE POSIADAJĄCYCH OSOBOWOŚCI PRAWNEJ ORAZ WYDATKI ZWIĄZANE Z ICH POBOREM</t>
  </si>
  <si>
    <t>0750 dochody z najmu i dzierżawy składników majątkowych Skarbu Państwa, j.s.t. lub innych jednostek zaliczanych do sektora finansów publicznych oraz innych umów o podobnym charakterze</t>
  </si>
  <si>
    <t>852 POMOC SPOŁECZNA - Suma</t>
  </si>
  <si>
    <t>852 POMOC SPOŁECZNA</t>
  </si>
  <si>
    <t>85201 Placówki opiekuńczo - wychowawcze</t>
  </si>
  <si>
    <t>85202 Domy pomocy społecznej</t>
  </si>
  <si>
    <t>85203 Ośrodki wsparcia</t>
  </si>
  <si>
    <t>85219 Ośrodki pomocy społecznej</t>
  </si>
  <si>
    <t>853 POZOSTAŁE ZADANIA W ZAKRESIE POLITYKI SPOŁECZNEJ</t>
  </si>
  <si>
    <t>853 POZOSTAŁE ZADANIA W ZAKRESIE POLITYKI SPOŁECZNEJ - Suma</t>
  </si>
  <si>
    <t>60004 Lokalny transport zbiorowy</t>
  </si>
  <si>
    <t>60004 Lokalny transport zbiorowy - razem</t>
  </si>
  <si>
    <t>60015 Drogi publiczne w miastach na prawach powiatu</t>
  </si>
  <si>
    <t>60015 Drogi publiczne w miastach na prawach powiatu - razem</t>
  </si>
  <si>
    <t>60095 Pozostała działalność - razem</t>
  </si>
  <si>
    <t>70005 Gospodarka gruntami i nieruchomościami - razem</t>
  </si>
  <si>
    <t>70095 Pozostała działalność - razem</t>
  </si>
  <si>
    <t>71004 Plany zagospodarowania przestrzennego</t>
  </si>
  <si>
    <t>6291 środki na dofinansowanie własnych inwestycji gmin (związków gmin), powiatów (związków powiatów), samorządów województw, pozyskane z innych źródeł</t>
  </si>
  <si>
    <t>71004 Plany zagospodarowania przestrzennego - razem</t>
  </si>
  <si>
    <t>71013 Prace geodezyjne i kartograficzne (nieinwestycyjne) - razem</t>
  </si>
  <si>
    <t>71014 Opracowania geodezyjne i kartograficzne - razem</t>
  </si>
  <si>
    <t>71015 Nadzór budowlany - razem</t>
  </si>
  <si>
    <t>71035 Cmentarze - razem</t>
  </si>
  <si>
    <t>2701 środki na dofinansowanie własnych zadań bieżących gmin ( związków gmin), powiatów (związków powiatów), samorządów województw, pozyskane z innych źródeł</t>
  </si>
  <si>
    <t>71095 Pozostała działalność - razem</t>
  </si>
  <si>
    <t>2010 dotacje celowe otrzymane z budżetu państwa na realizację zadań bieżących z zakresu administracji rządowej oraz innych zadań zleconych gminie (związkom gmin) ustawami</t>
  </si>
  <si>
    <t>75011 Urzędy wojewódzkie - razem</t>
  </si>
  <si>
    <t>75023 Urzędy gmin (miast i miast na prawach powiatu) - razem</t>
  </si>
  <si>
    <t>75045 Komisje poborowe - razem</t>
  </si>
  <si>
    <t>75095 Pozostała działalność - razem</t>
  </si>
  <si>
    <t>75101 Urzędy naczelnych organów władzy państwowej, kontroli i ochrony prawa - razem</t>
  </si>
  <si>
    <t>6410 dotacje celowe otrzymane z budżetu państwa na inwestycje i zakupy inwestycyjne z zakresu administracji rządowej oraz inne zadania zlecone ustawami realizowane przez powiat</t>
  </si>
  <si>
    <t>75411 Komendy powiatowe Państwowej Straży Pożarnej - razem</t>
  </si>
  <si>
    <t>75416 Straż Miejska - razem</t>
  </si>
  <si>
    <t>0350 podatek od działalności gospodarczej osób fizycznych opłacany w formie karty podatkowej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</si>
  <si>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</si>
  <si>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</si>
  <si>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</si>
  <si>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</si>
  <si>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</si>
  <si>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 - razem</t>
  </si>
  <si>
    <t>75621 Udziały gmin w podatkach stanowiących dochód budżetu państwa - razem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</si>
  <si>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</si>
  <si>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</si>
  <si>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2920 subwencje ogólne z bużetu państwa</t>
  </si>
  <si>
    <t>75801 Część oświatowa subwencji ogólnej dla jednostek samorządu terytorialnego - razem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</si>
  <si>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</si>
  <si>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</si>
  <si>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</si>
  <si>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80101 Szkoły podstawowe - razem</t>
  </si>
  <si>
    <t>80102 Szkoły podstawowe specjalne - razem</t>
  </si>
  <si>
    <t>80110 Gimnazja - razem</t>
  </si>
  <si>
    <t>80120 Licea ogólnokształcące - razem</t>
  </si>
  <si>
    <t>80130 Szkoły zawodowe</t>
  </si>
  <si>
    <t>80130 Szkoły zawodowe - razem</t>
  </si>
  <si>
    <t>80132 Szkoły artystyczne - razem</t>
  </si>
  <si>
    <t>80140 Centra kształcenia ustawicznego i praktycznego oraz ośrodki dokształcania zawodowego - razem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</si>
  <si>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</si>
  <si>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</si>
  <si>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</si>
  <si>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</si>
  <si>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85201 Placówki opiekuńczo - wychowawcze - razem</t>
  </si>
  <si>
    <t>85202 Domy pomocy społecznej - razem</t>
  </si>
  <si>
    <t>85203 Ośrodki wsparcia - razem</t>
  </si>
  <si>
    <t>85212 Świadczenia rodzinne oraz składki na ubezpieczenia emerytalne i rentowe z ubezpieczenia społecznego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</si>
  <si>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</si>
  <si>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</si>
  <si>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</si>
  <si>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społeczne</t>
  </si>
  <si>
    <t>85214 Zasiłki i pomoc w naturze oraz składki na ubezpieczenia społeczne - razem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</si>
  <si>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</si>
  <si>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</si>
  <si>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</si>
  <si>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85305 Żłobki - razem</t>
  </si>
  <si>
    <t>85321 Zespoły do spraw orzekania o niepełnosprawności</t>
  </si>
  <si>
    <t>85321 Zespoły do spraw orzekania o niepełnosprawności - razem</t>
  </si>
  <si>
    <t>85333 Powiatowe urzędy pracy - razem</t>
  </si>
  <si>
    <t>85403 Specjalne ośrodki szkolno - wychowawcze - razem</t>
  </si>
  <si>
    <t>85407 Placówki wychowania pozaszkolnego - razem</t>
  </si>
  <si>
    <t>85410 Internaty i bursy szkolne - razem</t>
  </si>
  <si>
    <t>90017 Zakłady gospodarki komunalnej - razem</t>
  </si>
  <si>
    <t>90095 Pozostała działalność - razem</t>
  </si>
  <si>
    <t>92601 Obiekty sportowe - razem</t>
  </si>
  <si>
    <t>85295 Pozostała działalność</t>
  </si>
  <si>
    <t>85295 Pozostała działalność - razem</t>
  </si>
  <si>
    <t>2701 środki na dofinansowanie własnych zadań bieżących gmin (związków gmin), powiatów (związków powiatów), samorządów województw, pozyskane z innych źródeł</t>
  </si>
  <si>
    <t xml:space="preserve">0830 wpływy z usług </t>
  </si>
  <si>
    <t>80141 Zakłady kształcenia nauczycieli</t>
  </si>
  <si>
    <t>85204 Rodziny zastępcze</t>
  </si>
  <si>
    <t>85204 Rodziny zastępcze - razem</t>
  </si>
  <si>
    <t>85401 Świetlice szkolne</t>
  </si>
  <si>
    <t>85406 Poradnie psychologiczno - pedagogiczne, w tym poradnie specjalistyczne</t>
  </si>
  <si>
    <t>85406 Poradnie psychologiczno - pedagogiczne, w tym poradnie specjalistyczne suma</t>
  </si>
  <si>
    <t>85412 Kolonie i obozy oraz inne formy wypoczynku dzieci i młodzieży szkolnej, a także szkolenia młodzieży</t>
  </si>
  <si>
    <t>85417 Szkolne schroniska młodzieżowe</t>
  </si>
  <si>
    <t>85417 Szkolne schroniska młodzieżowe - suma</t>
  </si>
  <si>
    <t>2390 wpływy do budżetu ze środków specjalnych</t>
  </si>
  <si>
    <t>75815 wpływy do wyjaśnienia</t>
  </si>
  <si>
    <t>75815 - wpływy do wyjaśnienia - razem</t>
  </si>
  <si>
    <t>2980 wpływy do wyjaśnienia</t>
  </si>
  <si>
    <t>0960 otrzymane spadki, zapisy i darowizny w postaci pieniężnej</t>
  </si>
  <si>
    <t>80104 Przedszkola</t>
  </si>
  <si>
    <t>80104 Przedszkola - razem</t>
  </si>
  <si>
    <t>2370 wpływy do budżetu nadwyżki środków obrotowych zakładu budżetowego</t>
  </si>
  <si>
    <t xml:space="preserve">80146 Dokształcanie i doskonalenie nauczycieli </t>
  </si>
  <si>
    <t>80146 Dokształcanie i doskonalenie nauczycieli - razem</t>
  </si>
  <si>
    <t>80195 Pozostała działalność</t>
  </si>
  <si>
    <t>80195 Pozostała działalność - razem</t>
  </si>
  <si>
    <t>2910 wpływy ze zwrotów dotacji wykorzystanych niezgodnie z przeznaczeniem lub pobranych w nadmiernej wysokości</t>
  </si>
  <si>
    <t xml:space="preserve">85153 Zwalczanie narkomanii </t>
  </si>
  <si>
    <t>85153 Zwalczanie narkomanii - razem</t>
  </si>
  <si>
    <t>85154 Przeciwdziałanie alkoholizmowi</t>
  </si>
  <si>
    <t xml:space="preserve">85154 Przeciwdziałanie alkoholizmowi - razem </t>
  </si>
  <si>
    <t>85158 Izby wytrzeźwiń</t>
  </si>
  <si>
    <t>85158 Izby wytrzeźwiń - razem</t>
  </si>
  <si>
    <t>85195 Pozostała działalność</t>
  </si>
  <si>
    <t>85215 Dodatki mieszkaniowe</t>
  </si>
  <si>
    <t>85215 Dodatki mieszkaniowe - razem</t>
  </si>
  <si>
    <t>85311 Rehabilitacja zawodowa i społeczna osób niepełnosprawnych</t>
  </si>
  <si>
    <t>85415 Pomoc materialna dla uczniów</t>
  </si>
  <si>
    <t>90003 Oczyszczanie miast i wsi</t>
  </si>
  <si>
    <t>90004 Utrzymanie zieleni w miastach i gminach</t>
  </si>
  <si>
    <t>921 KULTURA I OCHRONA DZIEDZICTWA NARODOWEGO</t>
  </si>
  <si>
    <t>92118 Muzea</t>
  </si>
  <si>
    <t>92605 Zadania w zakresie kultury fizycznej i sportu</t>
  </si>
  <si>
    <t>92605 Zadania w zakresie kultury fizycznej i sportu- razem</t>
  </si>
  <si>
    <t>2310 dotacje celowe otrzymane z gminy na zadania bieżące realizowane na podstawie porozumień (umów) między jednostkami samorządu terytorialnego</t>
  </si>
  <si>
    <t>0770 wpłaty z tytułu odpłatnego nabycia prawa własności oraz prawa użytkowania wieczystego nieruchomości</t>
  </si>
  <si>
    <t xml:space="preserve">0840 wpływy ze sprzedaży wyrobów </t>
  </si>
  <si>
    <t>Wyszczególnienie</t>
  </si>
  <si>
    <t xml:space="preserve">wykonanie </t>
  </si>
  <si>
    <t>% wyk.</t>
  </si>
  <si>
    <t xml:space="preserve">Przychody, w tym: </t>
  </si>
  <si>
    <t>wolne środki</t>
  </si>
  <si>
    <t xml:space="preserve">kredyt </t>
  </si>
  <si>
    <t>Razem dochody i przychody</t>
  </si>
  <si>
    <t>2708 środki na dofinansowanie własnych zadań bieżących gmin ( związków gmin), powiatów (związków powiatów), samorządów województw, pozyskane z innych źródeł</t>
  </si>
  <si>
    <t>85495 Pozostała działalność</t>
  </si>
  <si>
    <t xml:space="preserve">0580 grzywny i inne kary pieniężne od osób prawnych i innych jednostek organizacyjnych </t>
  </si>
  <si>
    <t>2440 dotacje otrzymane z funduszy celowych na realizację zadań bieżących jednostek sektora finansów publicznych</t>
  </si>
  <si>
    <t>90011 Fundusz Ochrony Środowiska i Gospodarki Wodnej</t>
  </si>
  <si>
    <t>90011 Fundusz Ochrony Środowiska i Gospodarki Wodnej - Suma</t>
  </si>
  <si>
    <t>85401 Świetlice szkolne - razem</t>
  </si>
  <si>
    <t>85415 Pomoc materialna dla uczniów - suma</t>
  </si>
  <si>
    <t>90003 Oczyszczanie miast i wsi - suma</t>
  </si>
  <si>
    <t>90004 Utrzymanie zieleni w miastach i gminach - suma</t>
  </si>
  <si>
    <t>63095 Pozostała działalność - razem</t>
  </si>
  <si>
    <t>630 TURYSTYKA</t>
  </si>
  <si>
    <t>630 TURYSTYKA - Suma</t>
  </si>
  <si>
    <t xml:space="preserve">63095 Pozostała działalność </t>
  </si>
  <si>
    <t>75802 Uzupełnienie subwencji ogólnej dla jednostek samorządu terytorialnego</t>
  </si>
  <si>
    <t>75802 Uzupełnienie subwencji ogólnej dla jednostek samorządu terytorialnego - razem</t>
  </si>
  <si>
    <t>2780 środki na inwestycje rozpoczęte przed 1 stycznia 1999r.</t>
  </si>
  <si>
    <t>85395 Pozostała działalność</t>
  </si>
  <si>
    <t>85395 Pozostała działalność - razem</t>
  </si>
  <si>
    <t>0978 wpływy z różnych dochodów</t>
  </si>
  <si>
    <t>0979 wpływy z różnych dochodów</t>
  </si>
  <si>
    <t>2888 dotacja celowa przekazana jednostce samorządu terytorialnego przez inną jednostkę samorządu terytorialnego będącą instytucją wdrażającą na zadania bieżące realizowane na podstawie porozumień (umów)</t>
  </si>
  <si>
    <t>2889 dotacja celowa przekazana jednostce samorządu terytorialnego przez inną jednostkę samorządu terytorialnego będącą instytucją wdrażającą na zadania bieżące realizowane na podstawie porozumień (umów)</t>
  </si>
  <si>
    <t>0840 wpływy ze sprzedaży wyrobów</t>
  </si>
  <si>
    <t xml:space="preserve">plan </t>
  </si>
  <si>
    <t>60016 Drogi publiczne gminne</t>
  </si>
  <si>
    <t>60016 Drogi publiczne gminne - razem</t>
  </si>
  <si>
    <t>6298 środki na dofinansowanie własnych inwestycji gmin (związków gmin), powiatów (związków powiatów), samorządów województw, pozyskane z innych źródeł</t>
  </si>
  <si>
    <t>6299 środki na dofinansowanie własnych inwestycji gmin (związków gmin), powiatów (związków powiatów), samorządów województw, pozyskane z innych źródeł</t>
  </si>
  <si>
    <t>2709 środki na dofinansowanie własnych zadań bieżących gmin ( związków gmin), powiatów (związków powiatów), samorządów województw, pozyskane z innych źródeł</t>
  </si>
  <si>
    <t>75108 Wybory do Sejmu i Senatu</t>
  </si>
  <si>
    <t>75108 Wybory do Sejmu i Senatu - razem</t>
  </si>
  <si>
    <t>6310 dotacje celowe otrzymane z budżetu państwa na inwestycje i zakupy inwestycyjne z zakresu administracji rządowej oraz innych zadań zleconych gminom ustawami</t>
  </si>
  <si>
    <t>90013 Schroniska dla zwierząt</t>
  </si>
  <si>
    <t>90013 Schroniska dla zwierząt -suma</t>
  </si>
  <si>
    <t>75107 Wybory Prezydenta Rzeczypospolitej Polskiej</t>
  </si>
  <si>
    <t>92116 Biblioteki</t>
  </si>
  <si>
    <t>92118 Muzea - razem</t>
  </si>
  <si>
    <t>92116 Biblioteki - razem</t>
  </si>
  <si>
    <t>6330 dotacje celowe otrzymane z budżetu państwa na realizację inwestycji i zakupów inwestycyjnych własnych gmin (związków gmin)</t>
  </si>
  <si>
    <t>92106 Teatry dramatyczne i lalkowe - razem</t>
  </si>
  <si>
    <t xml:space="preserve">92106 Teatry dramatyczne i lalkowe </t>
  </si>
  <si>
    <t>2750 środki na uzupełnienie dochodów gmin</t>
  </si>
  <si>
    <t>85141 Ratownictwo medyczne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</si>
  <si>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</si>
  <si>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</si>
  <si>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85141 Ratownictwo medyczne- razem</t>
  </si>
  <si>
    <t>0900 odsetki od dotacji wykorzystanych niezgodnie z przeznaczeniem lub pobranych w nadmiernej wysokości</t>
  </si>
  <si>
    <t>2400 wpływy do budżetu nadwyżki dochodów własnych lub środków obrotowych</t>
  </si>
  <si>
    <t>Plan 2006r.</t>
  </si>
  <si>
    <t>0490 wpływy z innych lokalnych opłat pobieranych przez jednostki samorządu terytorialnego na podstawie odrębnych ustaw</t>
  </si>
  <si>
    <t xml:space="preserve">2690 środki z Funduszu Pracy otrzymane przez powiat z przeznaczeniem na finansowanie kosztów wynagrodzenia i składek na ubezpieczenia społeczne pracowników powiatowego urzędu pracy </t>
  </si>
  <si>
    <t>2702 środki na dofinansowanie własnych zadań bieżących gmin (związków gmin), powiatów (związków powiatów), samorządów województw, pozyskane z innych źródeł</t>
  </si>
  <si>
    <t>70001 Zakłady gospodarki mieszkaniowej</t>
  </si>
  <si>
    <t>70001 Zakłady gospodarki mieszkaniowej - razem</t>
  </si>
  <si>
    <t>2708 środki na dofinansowanie własnych zadań bieżących gmin (związków gmin), powiatów (związków powiatów), samorządów województw, pozyskane z innych źródeł</t>
  </si>
  <si>
    <t xml:space="preserve">90001 Gospodarka ściekowa i ochrona wód </t>
  </si>
  <si>
    <t>90001 Gospodarka ściekowa i ochrona wód - suma</t>
  </si>
  <si>
    <t>85495 Pozostała działalność - suma</t>
  </si>
  <si>
    <t>0890 odsetki za nieterminowe rozliczenia, płacone przez urząd skarbowy oraz organ celny</t>
  </si>
  <si>
    <t>2380 wpływy do budżetu części zysku gospodarstwa pomocniczego</t>
  </si>
  <si>
    <t>80197 Gospodarstwa pomocnicze</t>
  </si>
  <si>
    <t>80197 Gospodarstwa pomocnicze - razem</t>
  </si>
  <si>
    <t xml:space="preserve">90015 Oświetlenie ulic, placów i dróg </t>
  </si>
  <si>
    <t>90015 Oświetlenie ulic, placów i dróg -suma</t>
  </si>
  <si>
    <t>0680 wpływy od rodziców z tytułu odpłatności za utrzymanie dzieci (wychowanków) w placówkach opiekuńczo - wychowawczych</t>
  </si>
  <si>
    <t>pożyczka na prefinansowanie</t>
  </si>
  <si>
    <t>2707 środki na dofinansowanie własnych zadań bieżących gmin (związków gmin), powiatów (związków powiatów), samorządów województw, pozyskane z innych źródeł</t>
  </si>
  <si>
    <t>0927 pozostałe odsetki</t>
  </si>
  <si>
    <t>0921 pozostałe odsetki</t>
  </si>
  <si>
    <t>85149 Programy polityki zdrowotnej</t>
  </si>
  <si>
    <t>85149 Programy polityki zdrowotnej - razem</t>
  </si>
  <si>
    <t>92195 Pozostała działalność</t>
  </si>
  <si>
    <t>92195 Pozostała działalność - razem</t>
  </si>
  <si>
    <t>2709 środki na dofinansowanie własnych zadań bieżących gmin (związków gmin), powiatów (związków powiatów), samorządów województw, pozyskane z innych źródeł</t>
  </si>
  <si>
    <t>2710 wpłwyw z tytułu pomocy finansowej udzielanej między jednostkami samorządu terytorialnego na dofinansowanie własnych zadań bieżących</t>
  </si>
  <si>
    <t xml:space="preserve">Informacja z wykonania dochodów budżetu miasta za okres I - VI 2006r. </t>
  </si>
  <si>
    <t>Wykonanie za okres I - VI 2006r.</t>
  </si>
  <si>
    <t>0977 wpływy z różnych dochodów</t>
  </si>
  <si>
    <t>92105 Pozostałe zadania w zakresie kultury</t>
  </si>
  <si>
    <t>92105 Pozostałe zadania w zakresie kultury - razem</t>
  </si>
  <si>
    <t>-</t>
  </si>
  <si>
    <t>6612 dotacje celowe otrzymane z gminy na inwestycje i zakupy inwestycyjne realiozwane na podstawie porozumień (umów) między jednostkami samorządu terytorialnego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</si>
</sst>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</numFmts>
  <fonts count="14">
    <font>
      <sz val="8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7"/>
      <color indexed="10"/>
      <name val="Arial CE"/>
      <family val="2"/>
    </font>
    <font>
      <b/>
      <sz val="7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12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center"/>
    </xf>
    <xf numFmtId="164" fontId="1" fillId="0" borderId="1" xfId="2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4" fontId="1" fillId="0" borderId="1" xfId="2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/>
    </xf>
    <xf numFmtId="3" fontId="1" fillId="0" borderId="6" xfId="0" applyNumberFormat="1" applyFont="1" applyBorder="1" applyAlignment="1">
      <alignment horizontal="left" vertical="top" wrapText="1"/>
    </xf>
    <xf numFmtId="164" fontId="1" fillId="2" borderId="1" xfId="2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/>
    </xf>
    <xf numFmtId="164" fontId="1" fillId="3" borderId="1" xfId="2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2" borderId="7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left"/>
    </xf>
    <xf numFmtId="3" fontId="4" fillId="3" borderId="9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left"/>
    </xf>
    <xf numFmtId="3" fontId="2" fillId="0" borderId="7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left"/>
    </xf>
    <xf numFmtId="3" fontId="2" fillId="2" borderId="11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3" fontId="1" fillId="0" borderId="12" xfId="0" applyNumberFormat="1" applyFont="1" applyBorder="1" applyAlignment="1">
      <alignment horizontal="left" vertical="top" wrapText="1"/>
    </xf>
    <xf numFmtId="3" fontId="2" fillId="2" borderId="13" xfId="0" applyNumberFormat="1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3" fontId="2" fillId="0" borderId="4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3" fontId="9" fillId="0" borderId="0" xfId="18" applyNumberFormat="1" applyFont="1" applyFill="1" applyBorder="1" applyAlignment="1">
      <alignment horizontal="right" vertical="center" wrapText="1"/>
      <protection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3" fontId="2" fillId="0" borderId="15" xfId="0" applyNumberFormat="1" applyFont="1" applyFill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3" fontId="2" fillId="3" borderId="4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top" wrapText="1" indent="1"/>
    </xf>
    <xf numFmtId="3" fontId="0" fillId="0" borderId="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vertical="center"/>
    </xf>
    <xf numFmtId="3" fontId="1" fillId="0" borderId="15" xfId="0" applyNumberFormat="1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3" fontId="1" fillId="0" borderId="16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2" fillId="2" borderId="7" xfId="0" applyNumberFormat="1" applyFont="1" applyFill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2" fillId="2" borderId="12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Hyperlink" xfId="17"/>
    <cellStyle name="Normalny_d_stawkimax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2"/>
  <sheetViews>
    <sheetView tabSelected="1" workbookViewId="0" topLeftCell="A1">
      <pane xSplit="3" ySplit="3" topLeftCell="II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"/>
  <cols>
    <col min="1" max="1" width="10.421875" style="14" customWidth="1"/>
    <col min="2" max="2" width="13.140625" style="14" customWidth="1"/>
    <col min="3" max="3" width="31.140625" style="14" customWidth="1"/>
    <col min="4" max="4" width="12.421875" style="11" customWidth="1"/>
    <col min="5" max="5" width="12.8515625" style="11" customWidth="1"/>
    <col min="6" max="7" width="11.421875" style="11" customWidth="1"/>
    <col min="8" max="8" width="12.421875" style="11" customWidth="1"/>
    <col min="9" max="9" width="12.28125" style="11" customWidth="1"/>
    <col min="10" max="10" width="11.421875" style="11" customWidth="1"/>
    <col min="11" max="11" width="11.140625" style="11" customWidth="1"/>
    <col min="12" max="12" width="11.421875" style="11" customWidth="1"/>
    <col min="13" max="13" width="11.140625" style="11" customWidth="1"/>
    <col min="14" max="14" width="6.7109375" style="11" customWidth="1"/>
    <col min="15" max="16384" width="9.28125" style="1" customWidth="1"/>
  </cols>
  <sheetData>
    <row r="1" spans="1:14" ht="41.25" customHeight="1">
      <c r="A1" s="125" t="s">
        <v>316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1.25" customHeight="1">
      <c r="A2" s="120" t="s">
        <v>0</v>
      </c>
      <c r="B2" s="120" t="s">
        <v>1</v>
      </c>
      <c r="C2" s="120" t="s">
        <v>2</v>
      </c>
      <c r="D2" s="126" t="s">
        <v>289</v>
      </c>
      <c r="E2" s="127"/>
      <c r="F2" s="127"/>
      <c r="G2" s="127"/>
      <c r="H2" s="128"/>
      <c r="I2" s="126" t="s">
        <v>317</v>
      </c>
      <c r="J2" s="127"/>
      <c r="K2" s="127"/>
      <c r="L2" s="127"/>
      <c r="M2" s="128"/>
      <c r="N2" s="131" t="s">
        <v>57</v>
      </c>
    </row>
    <row r="3" spans="1:14" s="3" customFormat="1" ht="29.25">
      <c r="A3" s="120"/>
      <c r="B3" s="120"/>
      <c r="C3" s="120"/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132"/>
    </row>
    <row r="4" spans="1:14" ht="11.25" customHeight="1">
      <c r="A4" s="123" t="s">
        <v>64</v>
      </c>
      <c r="B4" s="102" t="s">
        <v>113</v>
      </c>
      <c r="C4" s="15" t="s">
        <v>71</v>
      </c>
      <c r="D4" s="4">
        <v>9000</v>
      </c>
      <c r="E4" s="4"/>
      <c r="F4" s="4"/>
      <c r="G4" s="4"/>
      <c r="H4" s="7">
        <f aca="true" t="shared" si="0" ref="H4:H37">SUM(D4:G4)</f>
        <v>9000</v>
      </c>
      <c r="I4" s="7">
        <v>2956</v>
      </c>
      <c r="J4" s="7"/>
      <c r="K4" s="7"/>
      <c r="L4" s="7"/>
      <c r="M4" s="7">
        <f aca="true" t="shared" si="1" ref="M4:M15">SUM(I4:L4)</f>
        <v>2956</v>
      </c>
      <c r="N4" s="5">
        <f aca="true" t="shared" si="2" ref="N4:N35">M4/H4</f>
        <v>0.32844444444444443</v>
      </c>
    </row>
    <row r="5" spans="1:14" ht="48" customHeight="1">
      <c r="A5" s="123"/>
      <c r="B5" s="103"/>
      <c r="C5" s="16" t="s">
        <v>104</v>
      </c>
      <c r="D5" s="4">
        <v>26620</v>
      </c>
      <c r="E5" s="4"/>
      <c r="F5" s="4"/>
      <c r="G5" s="4"/>
      <c r="H5" s="7">
        <f t="shared" si="0"/>
        <v>26620</v>
      </c>
      <c r="I5" s="7">
        <v>13656.66</v>
      </c>
      <c r="J5" s="7"/>
      <c r="K5" s="7"/>
      <c r="L5" s="7"/>
      <c r="M5" s="7">
        <f t="shared" si="1"/>
        <v>13656.66</v>
      </c>
      <c r="N5" s="5">
        <f t="shared" si="2"/>
        <v>0.5130225394440271</v>
      </c>
    </row>
    <row r="6" spans="1:14" ht="9.75">
      <c r="A6" s="123"/>
      <c r="B6" s="103"/>
      <c r="C6" s="16" t="s">
        <v>76</v>
      </c>
      <c r="D6" s="4">
        <f>63741987+880195</f>
        <v>64622182</v>
      </c>
      <c r="E6" s="4"/>
      <c r="F6" s="4"/>
      <c r="G6" s="4"/>
      <c r="H6" s="7">
        <f t="shared" si="0"/>
        <v>64622182</v>
      </c>
      <c r="I6" s="7">
        <v>31393035.25</v>
      </c>
      <c r="J6" s="7"/>
      <c r="K6" s="7"/>
      <c r="L6" s="7"/>
      <c r="M6" s="7">
        <f t="shared" si="1"/>
        <v>31393035.25</v>
      </c>
      <c r="N6" s="5">
        <f t="shared" si="2"/>
        <v>0.48579348883638745</v>
      </c>
    </row>
    <row r="7" spans="1:14" ht="9.75">
      <c r="A7" s="124"/>
      <c r="B7" s="103"/>
      <c r="C7" s="16" t="s">
        <v>72</v>
      </c>
      <c r="D7" s="4">
        <v>74000</v>
      </c>
      <c r="E7" s="4"/>
      <c r="F7" s="4"/>
      <c r="G7" s="4"/>
      <c r="H7" s="7">
        <f t="shared" si="0"/>
        <v>74000</v>
      </c>
      <c r="I7" s="7">
        <v>50697.98</v>
      </c>
      <c r="J7" s="7"/>
      <c r="K7" s="9"/>
      <c r="L7" s="9"/>
      <c r="M7" s="7">
        <f t="shared" si="1"/>
        <v>50697.98</v>
      </c>
      <c r="N7" s="5">
        <f t="shared" si="2"/>
        <v>0.6851078378378379</v>
      </c>
    </row>
    <row r="8" spans="1:14" ht="9.75">
      <c r="A8" s="78"/>
      <c r="B8" s="103"/>
      <c r="C8" s="19" t="s">
        <v>74</v>
      </c>
      <c r="D8" s="4">
        <v>250000</v>
      </c>
      <c r="E8" s="4"/>
      <c r="F8" s="4"/>
      <c r="G8" s="4"/>
      <c r="H8" s="7">
        <f t="shared" si="0"/>
        <v>250000</v>
      </c>
      <c r="I8" s="7">
        <v>398293.28</v>
      </c>
      <c r="J8" s="7"/>
      <c r="K8" s="13"/>
      <c r="L8" s="13"/>
      <c r="M8" s="7">
        <f t="shared" si="1"/>
        <v>398293.28</v>
      </c>
      <c r="N8" s="5">
        <f t="shared" si="2"/>
        <v>1.59317312</v>
      </c>
    </row>
    <row r="9" spans="1:14" ht="39">
      <c r="A9" s="78"/>
      <c r="B9" s="104"/>
      <c r="C9" s="19" t="s">
        <v>230</v>
      </c>
      <c r="D9" s="4">
        <f>3454264+309400</f>
        <v>3763664</v>
      </c>
      <c r="E9" s="4"/>
      <c r="F9" s="4"/>
      <c r="G9" s="4"/>
      <c r="H9" s="7">
        <f t="shared" si="0"/>
        <v>3763664</v>
      </c>
      <c r="I9" s="7">
        <v>1849137.68</v>
      </c>
      <c r="J9" s="13"/>
      <c r="K9" s="13"/>
      <c r="L9" s="13"/>
      <c r="M9" s="7">
        <f t="shared" si="1"/>
        <v>1849137.68</v>
      </c>
      <c r="N9" s="5">
        <f t="shared" si="2"/>
        <v>0.491313167169014</v>
      </c>
    </row>
    <row r="10" spans="1:14" ht="9" customHeight="1">
      <c r="A10" s="78"/>
      <c r="B10" s="31" t="s">
        <v>114</v>
      </c>
      <c r="C10" s="26"/>
      <c r="D10" s="6">
        <f>SUM(D4:D9)</f>
        <v>68745466</v>
      </c>
      <c r="E10" s="6">
        <f>SUM(E4:E9)</f>
        <v>0</v>
      </c>
      <c r="F10" s="6">
        <f>SUM(F4:F9)</f>
        <v>0</v>
      </c>
      <c r="G10" s="6">
        <f>SUM(G4:G9)</f>
        <v>0</v>
      </c>
      <c r="H10" s="6">
        <f t="shared" si="0"/>
        <v>68745466</v>
      </c>
      <c r="I10" s="6">
        <f>SUM(I4:I9)</f>
        <v>33707776.85</v>
      </c>
      <c r="J10" s="6">
        <f>SUM(J4:J9)</f>
        <v>0</v>
      </c>
      <c r="K10" s="6">
        <f>SUM(K4:K9)</f>
        <v>0</v>
      </c>
      <c r="L10" s="6">
        <f>SUM(L4:L9)</f>
        <v>0</v>
      </c>
      <c r="M10" s="6">
        <f t="shared" si="1"/>
        <v>33707776.85</v>
      </c>
      <c r="N10" s="25">
        <f t="shared" si="2"/>
        <v>0.4903272726378784</v>
      </c>
    </row>
    <row r="11" spans="1:14" s="10" customFormat="1" ht="29.25">
      <c r="A11" s="79"/>
      <c r="B11" s="102" t="s">
        <v>115</v>
      </c>
      <c r="C11" s="47" t="s">
        <v>242</v>
      </c>
      <c r="D11" s="13"/>
      <c r="E11" s="13"/>
      <c r="F11" s="13"/>
      <c r="G11" s="13"/>
      <c r="H11" s="7">
        <f t="shared" si="0"/>
        <v>0</v>
      </c>
      <c r="I11" s="70">
        <v>430</v>
      </c>
      <c r="J11" s="70">
        <v>5743.88</v>
      </c>
      <c r="K11" s="13"/>
      <c r="L11" s="13"/>
      <c r="M11" s="7">
        <f t="shared" si="1"/>
        <v>6173.88</v>
      </c>
      <c r="N11" s="5"/>
    </row>
    <row r="12" spans="1:14" s="10" customFormat="1" ht="9.75" customHeight="1">
      <c r="A12" s="79"/>
      <c r="B12" s="103"/>
      <c r="C12" s="49" t="s">
        <v>71</v>
      </c>
      <c r="D12" s="13"/>
      <c r="E12" s="7">
        <v>790000</v>
      </c>
      <c r="F12" s="13"/>
      <c r="G12" s="13"/>
      <c r="H12" s="7">
        <f t="shared" si="0"/>
        <v>790000</v>
      </c>
      <c r="I12" s="7"/>
      <c r="J12" s="7">
        <v>388077.51</v>
      </c>
      <c r="K12" s="13"/>
      <c r="L12" s="13"/>
      <c r="M12" s="7">
        <f t="shared" si="1"/>
        <v>388077.51</v>
      </c>
      <c r="N12" s="5">
        <f t="shared" si="2"/>
        <v>0.49123735443037975</v>
      </c>
    </row>
    <row r="13" spans="1:14" s="10" customFormat="1" ht="48.75" customHeight="1">
      <c r="A13" s="79"/>
      <c r="B13" s="103"/>
      <c r="C13" s="47" t="s">
        <v>104</v>
      </c>
      <c r="D13" s="13"/>
      <c r="E13" s="7">
        <v>82000</v>
      </c>
      <c r="F13" s="13"/>
      <c r="G13" s="13"/>
      <c r="H13" s="7">
        <f t="shared" si="0"/>
        <v>82000</v>
      </c>
      <c r="I13" s="7"/>
      <c r="J13" s="7">
        <v>50110.92</v>
      </c>
      <c r="K13" s="13"/>
      <c r="L13" s="13"/>
      <c r="M13" s="7">
        <f t="shared" si="1"/>
        <v>50110.92</v>
      </c>
      <c r="N13" s="5">
        <f t="shared" si="2"/>
        <v>0.6111087804878048</v>
      </c>
    </row>
    <row r="14" spans="1:14" s="10" customFormat="1" ht="9" customHeight="1">
      <c r="A14" s="79"/>
      <c r="B14" s="103"/>
      <c r="C14" s="47" t="s">
        <v>72</v>
      </c>
      <c r="D14" s="13"/>
      <c r="E14" s="7"/>
      <c r="F14" s="13"/>
      <c r="G14" s="13"/>
      <c r="H14" s="7">
        <f t="shared" si="0"/>
        <v>0</v>
      </c>
      <c r="I14" s="7"/>
      <c r="J14" s="7">
        <v>245420.36</v>
      </c>
      <c r="K14" s="13"/>
      <c r="L14" s="13"/>
      <c r="M14" s="7">
        <f t="shared" si="1"/>
        <v>245420.36</v>
      </c>
      <c r="N14" s="5"/>
    </row>
    <row r="15" spans="1:14" s="10" customFormat="1" ht="9.75">
      <c r="A15" s="79"/>
      <c r="B15" s="103"/>
      <c r="C15" s="47" t="s">
        <v>74</v>
      </c>
      <c r="D15" s="13"/>
      <c r="E15" s="7">
        <v>41500</v>
      </c>
      <c r="F15" s="13"/>
      <c r="G15" s="13"/>
      <c r="H15" s="7">
        <f t="shared" si="0"/>
        <v>41500</v>
      </c>
      <c r="I15" s="7"/>
      <c r="J15" s="7">
        <v>277352.4</v>
      </c>
      <c r="K15" s="13"/>
      <c r="L15" s="13"/>
      <c r="M15" s="7">
        <f t="shared" si="1"/>
        <v>277352.4</v>
      </c>
      <c r="N15" s="5">
        <f t="shared" si="2"/>
        <v>6.683190361445783</v>
      </c>
    </row>
    <row r="16" spans="1:14" s="10" customFormat="1" ht="19.5" hidden="1">
      <c r="A16" s="79"/>
      <c r="B16" s="103"/>
      <c r="C16" s="49" t="s">
        <v>200</v>
      </c>
      <c r="D16" s="13"/>
      <c r="E16" s="7"/>
      <c r="F16" s="13"/>
      <c r="G16" s="13"/>
      <c r="H16" s="7">
        <f t="shared" si="0"/>
        <v>0</v>
      </c>
      <c r="J16" s="7"/>
      <c r="K16" s="13"/>
      <c r="L16" s="13"/>
      <c r="M16" s="7">
        <f>SUM(J16:L16)</f>
        <v>0</v>
      </c>
      <c r="N16" s="5" t="e">
        <f t="shared" si="2"/>
        <v>#DIV/0!</v>
      </c>
    </row>
    <row r="17" spans="1:14" ht="39" customHeight="1">
      <c r="A17" s="78"/>
      <c r="B17" s="24"/>
      <c r="C17" s="49" t="s">
        <v>70</v>
      </c>
      <c r="D17" s="4"/>
      <c r="E17" s="4">
        <v>61200</v>
      </c>
      <c r="F17" s="4"/>
      <c r="G17" s="4"/>
      <c r="H17" s="7">
        <f t="shared" si="0"/>
        <v>61200</v>
      </c>
      <c r="I17" s="7"/>
      <c r="J17" s="7">
        <v>10316.51</v>
      </c>
      <c r="K17" s="9"/>
      <c r="L17" s="9"/>
      <c r="M17" s="7">
        <f aca="true" t="shared" si="3" ref="M17:M56">SUM(I17:L17)</f>
        <v>10316.51</v>
      </c>
      <c r="N17" s="5">
        <f t="shared" si="2"/>
        <v>0.1685704248366013</v>
      </c>
    </row>
    <row r="18" spans="1:14" ht="48.75" hidden="1">
      <c r="A18" s="78"/>
      <c r="B18" s="24"/>
      <c r="C18" s="57" t="s">
        <v>79</v>
      </c>
      <c r="D18" s="4"/>
      <c r="E18" s="4"/>
      <c r="F18" s="4"/>
      <c r="G18" s="4"/>
      <c r="H18" s="7">
        <f t="shared" si="0"/>
        <v>0</v>
      </c>
      <c r="I18" s="7"/>
      <c r="J18" s="13"/>
      <c r="K18" s="13"/>
      <c r="L18" s="13"/>
      <c r="M18" s="7">
        <f t="shared" si="3"/>
        <v>0</v>
      </c>
      <c r="N18" s="5" t="e">
        <f t="shared" si="2"/>
        <v>#DIV/0!</v>
      </c>
    </row>
    <row r="19" spans="1:14" ht="38.25" customHeight="1">
      <c r="A19" s="78"/>
      <c r="B19" s="24"/>
      <c r="C19" s="57" t="s">
        <v>267</v>
      </c>
      <c r="D19" s="4"/>
      <c r="E19" s="4">
        <v>75745207</v>
      </c>
      <c r="F19" s="4"/>
      <c r="G19" s="4"/>
      <c r="H19" s="7">
        <f t="shared" si="0"/>
        <v>75745207</v>
      </c>
      <c r="I19" s="7"/>
      <c r="J19" s="13"/>
      <c r="K19" s="13"/>
      <c r="L19" s="13"/>
      <c r="M19" s="7">
        <f t="shared" si="3"/>
        <v>0</v>
      </c>
      <c r="N19" s="5">
        <f t="shared" si="2"/>
        <v>0</v>
      </c>
    </row>
    <row r="20" spans="1:14" ht="37.5" customHeight="1">
      <c r="A20" s="78"/>
      <c r="B20" s="15"/>
      <c r="C20" s="57" t="s">
        <v>268</v>
      </c>
      <c r="D20" s="4"/>
      <c r="E20" s="4">
        <f>2630000+6313323</f>
        <v>8943323</v>
      </c>
      <c r="F20" s="4"/>
      <c r="G20" s="4"/>
      <c r="H20" s="7">
        <f t="shared" si="0"/>
        <v>8943323</v>
      </c>
      <c r="I20" s="7"/>
      <c r="J20" s="70">
        <v>5940396.83</v>
      </c>
      <c r="K20" s="13"/>
      <c r="L20" s="13"/>
      <c r="M20" s="7">
        <f t="shared" si="3"/>
        <v>5940396.83</v>
      </c>
      <c r="N20" s="5">
        <f t="shared" si="2"/>
        <v>0.6642270250107258</v>
      </c>
    </row>
    <row r="21" spans="1:14" ht="12.75" customHeight="1">
      <c r="A21" s="78"/>
      <c r="B21" s="58" t="s">
        <v>116</v>
      </c>
      <c r="C21" s="26"/>
      <c r="D21" s="6">
        <f>SUM(D11:D20)</f>
        <v>0</v>
      </c>
      <c r="E21" s="6">
        <f>SUM(E11:E20)</f>
        <v>85663230</v>
      </c>
      <c r="F21" s="6">
        <f>SUM(F11:F20)</f>
        <v>0</v>
      </c>
      <c r="G21" s="6">
        <f>SUM(G11:G20)</f>
        <v>0</v>
      </c>
      <c r="H21" s="6">
        <f t="shared" si="0"/>
        <v>85663230</v>
      </c>
      <c r="I21" s="6">
        <f>SUM(I11:I20)</f>
        <v>430</v>
      </c>
      <c r="J21" s="6">
        <f>SUM(J11:J20)</f>
        <v>6917418.41</v>
      </c>
      <c r="K21" s="6">
        <f>SUM(K12:K20)</f>
        <v>0</v>
      </c>
      <c r="L21" s="6">
        <f>SUM(L12:L20)</f>
        <v>0</v>
      </c>
      <c r="M21" s="6">
        <f t="shared" si="3"/>
        <v>6917848.41</v>
      </c>
      <c r="N21" s="25">
        <f t="shared" si="2"/>
        <v>0.08075633396032347</v>
      </c>
    </row>
    <row r="22" spans="1:14" s="10" customFormat="1" ht="11.25" customHeight="1" hidden="1">
      <c r="A22" s="79"/>
      <c r="B22" s="19" t="s">
        <v>265</v>
      </c>
      <c r="C22" s="16" t="s">
        <v>74</v>
      </c>
      <c r="D22" s="13"/>
      <c r="E22" s="13"/>
      <c r="F22" s="13"/>
      <c r="G22" s="13"/>
      <c r="H22" s="7">
        <f t="shared" si="0"/>
        <v>0</v>
      </c>
      <c r="I22" s="13"/>
      <c r="J22" s="13"/>
      <c r="K22" s="13"/>
      <c r="L22" s="13"/>
      <c r="M22" s="7">
        <f t="shared" si="3"/>
        <v>0</v>
      </c>
      <c r="N22" s="8" t="e">
        <f t="shared" si="2"/>
        <v>#DIV/0!</v>
      </c>
    </row>
    <row r="23" spans="1:14" s="10" customFormat="1" ht="39.75" customHeight="1">
      <c r="A23" s="79"/>
      <c r="B23" s="19" t="s">
        <v>265</v>
      </c>
      <c r="C23" s="57" t="s">
        <v>79</v>
      </c>
      <c r="D23" s="13">
        <v>2052867</v>
      </c>
      <c r="E23" s="13"/>
      <c r="F23" s="13"/>
      <c r="G23" s="13"/>
      <c r="H23" s="7">
        <f t="shared" si="0"/>
        <v>2052867</v>
      </c>
      <c r="I23" s="13"/>
      <c r="J23" s="13"/>
      <c r="K23" s="13"/>
      <c r="L23" s="13"/>
      <c r="M23" s="7">
        <f t="shared" si="3"/>
        <v>0</v>
      </c>
      <c r="N23" s="8">
        <f t="shared" si="2"/>
        <v>0</v>
      </c>
    </row>
    <row r="24" spans="1:14" s="10" customFormat="1" ht="9.75">
      <c r="A24" s="79"/>
      <c r="B24" s="26" t="s">
        <v>266</v>
      </c>
      <c r="C24" s="26"/>
      <c r="D24" s="6">
        <f>SUM(D22:D23)</f>
        <v>2052867</v>
      </c>
      <c r="E24" s="6">
        <f>SUM(E22:E23)</f>
        <v>0</v>
      </c>
      <c r="F24" s="6">
        <f>SUM(F22:F23)</f>
        <v>0</v>
      </c>
      <c r="G24" s="6">
        <f>SUM(G22:G23)</f>
        <v>0</v>
      </c>
      <c r="H24" s="6">
        <f t="shared" si="0"/>
        <v>2052867</v>
      </c>
      <c r="I24" s="6">
        <f>SUM(I22)</f>
        <v>0</v>
      </c>
      <c r="J24" s="6">
        <f>SUM(J22)</f>
        <v>0</v>
      </c>
      <c r="K24" s="6">
        <f>SUM(K22)</f>
        <v>0</v>
      </c>
      <c r="L24" s="6">
        <f>SUM(L22)</f>
        <v>0</v>
      </c>
      <c r="M24" s="6">
        <f t="shared" si="3"/>
        <v>0</v>
      </c>
      <c r="N24" s="25">
        <f t="shared" si="2"/>
        <v>0</v>
      </c>
    </row>
    <row r="25" spans="1:14" ht="11.25" customHeight="1">
      <c r="A25" s="78"/>
      <c r="B25" s="102" t="s">
        <v>66</v>
      </c>
      <c r="C25" s="16" t="s">
        <v>71</v>
      </c>
      <c r="D25" s="4">
        <v>70000</v>
      </c>
      <c r="E25" s="4"/>
      <c r="F25" s="4"/>
      <c r="G25" s="4"/>
      <c r="H25" s="7">
        <f t="shared" si="0"/>
        <v>70000</v>
      </c>
      <c r="I25" s="7">
        <v>40214.16</v>
      </c>
      <c r="J25" s="7"/>
      <c r="K25" s="7"/>
      <c r="L25" s="7"/>
      <c r="M25" s="7">
        <f t="shared" si="3"/>
        <v>40214.16</v>
      </c>
      <c r="N25" s="8">
        <f t="shared" si="2"/>
        <v>0.574488</v>
      </c>
    </row>
    <row r="26" spans="1:14" ht="11.25" customHeight="1">
      <c r="A26" s="78"/>
      <c r="B26" s="103"/>
      <c r="C26" s="47" t="s">
        <v>72</v>
      </c>
      <c r="D26" s="4"/>
      <c r="E26" s="4"/>
      <c r="F26" s="4"/>
      <c r="G26" s="4"/>
      <c r="H26" s="7">
        <f t="shared" si="0"/>
        <v>0</v>
      </c>
      <c r="I26" s="7">
        <v>5.42</v>
      </c>
      <c r="J26" s="7"/>
      <c r="K26" s="7"/>
      <c r="L26" s="7"/>
      <c r="M26" s="7">
        <f t="shared" si="3"/>
        <v>5.42</v>
      </c>
      <c r="N26" s="8"/>
    </row>
    <row r="27" spans="1:14" ht="9.75">
      <c r="A27" s="78"/>
      <c r="B27" s="103"/>
      <c r="C27" s="16" t="s">
        <v>74</v>
      </c>
      <c r="D27" s="4"/>
      <c r="E27" s="4"/>
      <c r="F27" s="4"/>
      <c r="G27" s="4"/>
      <c r="H27" s="7">
        <f t="shared" si="0"/>
        <v>0</v>
      </c>
      <c r="I27" s="7">
        <v>13961.13</v>
      </c>
      <c r="J27" s="7"/>
      <c r="K27" s="7"/>
      <c r="L27" s="7"/>
      <c r="M27" s="7">
        <f t="shared" si="3"/>
        <v>13961.13</v>
      </c>
      <c r="N27" s="8"/>
    </row>
    <row r="28" spans="1:14" ht="38.25" customHeight="1">
      <c r="A28" s="78"/>
      <c r="B28" s="103"/>
      <c r="C28" s="15" t="s">
        <v>70</v>
      </c>
      <c r="D28" s="4"/>
      <c r="E28" s="4"/>
      <c r="F28" s="4"/>
      <c r="G28" s="4"/>
      <c r="H28" s="7">
        <f t="shared" si="0"/>
        <v>0</v>
      </c>
      <c r="I28" s="7"/>
      <c r="J28" s="7">
        <v>9517.77</v>
      </c>
      <c r="K28" s="7"/>
      <c r="L28" s="7"/>
      <c r="M28" s="7">
        <f t="shared" si="3"/>
        <v>9517.77</v>
      </c>
      <c r="N28" s="8"/>
    </row>
    <row r="29" spans="1:14" ht="39.75" customHeight="1">
      <c r="A29" s="78"/>
      <c r="B29" s="103"/>
      <c r="C29" s="15" t="s">
        <v>189</v>
      </c>
      <c r="D29" s="4">
        <v>44743</v>
      </c>
      <c r="E29" s="4"/>
      <c r="F29" s="4"/>
      <c r="G29" s="4"/>
      <c r="H29" s="7">
        <f t="shared" si="0"/>
        <v>44743</v>
      </c>
      <c r="I29" s="7">
        <v>45463.07</v>
      </c>
      <c r="J29" s="7"/>
      <c r="K29" s="7"/>
      <c r="L29" s="7"/>
      <c r="M29" s="7">
        <f t="shared" si="3"/>
        <v>45463.07</v>
      </c>
      <c r="N29" s="8">
        <f t="shared" si="2"/>
        <v>1.0160934671345239</v>
      </c>
    </row>
    <row r="30" spans="1:14" ht="39" customHeight="1">
      <c r="A30" s="78"/>
      <c r="B30" s="103"/>
      <c r="C30" s="15" t="s">
        <v>292</v>
      </c>
      <c r="D30" s="4">
        <v>4379</v>
      </c>
      <c r="E30" s="4"/>
      <c r="F30" s="4"/>
      <c r="G30" s="4"/>
      <c r="H30" s="7">
        <f t="shared" si="0"/>
        <v>4379</v>
      </c>
      <c r="I30" s="7"/>
      <c r="J30" s="7"/>
      <c r="K30" s="7"/>
      <c r="L30" s="7"/>
      <c r="M30" s="7">
        <f t="shared" si="3"/>
        <v>0</v>
      </c>
      <c r="N30" s="8">
        <f t="shared" si="2"/>
        <v>0</v>
      </c>
    </row>
    <row r="31" spans="1:14" ht="38.25" customHeight="1">
      <c r="A31" s="78"/>
      <c r="B31" s="15"/>
      <c r="C31" s="15" t="s">
        <v>295</v>
      </c>
      <c r="D31" s="4"/>
      <c r="E31" s="4"/>
      <c r="F31" s="4"/>
      <c r="G31" s="4"/>
      <c r="H31" s="7">
        <f t="shared" si="0"/>
        <v>0</v>
      </c>
      <c r="I31" s="7">
        <v>8804.39</v>
      </c>
      <c r="J31" s="7"/>
      <c r="K31" s="7"/>
      <c r="L31" s="7"/>
      <c r="M31" s="7">
        <f t="shared" si="3"/>
        <v>8804.39</v>
      </c>
      <c r="N31" s="8"/>
    </row>
    <row r="32" spans="1:14" ht="10.5" customHeight="1">
      <c r="A32" s="78"/>
      <c r="B32" s="26" t="s">
        <v>117</v>
      </c>
      <c r="C32" s="26"/>
      <c r="D32" s="6">
        <f>SUM(D25:D31)</f>
        <v>119122</v>
      </c>
      <c r="E32" s="6">
        <f>SUM(E25:E31)</f>
        <v>0</v>
      </c>
      <c r="F32" s="6">
        <f>SUM(F25:F31)</f>
        <v>0</v>
      </c>
      <c r="G32" s="6">
        <f>SUM(G25:G31)</f>
        <v>0</v>
      </c>
      <c r="H32" s="6">
        <f t="shared" si="0"/>
        <v>119122</v>
      </c>
      <c r="I32" s="6">
        <f>SUM(I25:I31)</f>
        <v>108448.17</v>
      </c>
      <c r="J32" s="6">
        <f>SUM(J25:J31)</f>
        <v>9517.77</v>
      </c>
      <c r="K32" s="6">
        <f>SUM(K25:K31)</f>
        <v>0</v>
      </c>
      <c r="L32" s="6">
        <f>SUM(L25:L31)</f>
        <v>0</v>
      </c>
      <c r="M32" s="6">
        <f t="shared" si="3"/>
        <v>117965.94</v>
      </c>
      <c r="N32" s="25">
        <f t="shared" si="2"/>
        <v>0.9902951595842917</v>
      </c>
    </row>
    <row r="33" spans="1:14" ht="9.75" customHeight="1">
      <c r="A33" s="23" t="s">
        <v>65</v>
      </c>
      <c r="B33" s="21"/>
      <c r="C33" s="21"/>
      <c r="D33" s="22">
        <f>SUM(D32,D21,D10,D24)</f>
        <v>70917455</v>
      </c>
      <c r="E33" s="22">
        <f>SUM(E32,E21,E10,E24)</f>
        <v>85663230</v>
      </c>
      <c r="F33" s="22">
        <f>SUM(F32,F21,F10,F24)</f>
        <v>0</v>
      </c>
      <c r="G33" s="22">
        <f>SUM(G32,G21,G10,G24)</f>
        <v>0</v>
      </c>
      <c r="H33" s="22">
        <f t="shared" si="0"/>
        <v>156580685</v>
      </c>
      <c r="I33" s="22">
        <f>SUM(I32,I21,I10,I24)</f>
        <v>33816655.02</v>
      </c>
      <c r="J33" s="22">
        <f>SUM(J32,J21,J10,J24)</f>
        <v>6926936.18</v>
      </c>
      <c r="K33" s="22">
        <f>SUM(K32,K21,K10,K24)</f>
        <v>0</v>
      </c>
      <c r="L33" s="22">
        <f>SUM(L32,L21,L10,L24)</f>
        <v>0</v>
      </c>
      <c r="M33" s="22">
        <f t="shared" si="3"/>
        <v>40743591.2</v>
      </c>
      <c r="N33" s="27">
        <f t="shared" si="2"/>
        <v>0.26020828303312127</v>
      </c>
    </row>
    <row r="34" spans="1:14" ht="48.75">
      <c r="A34" s="63" t="s">
        <v>251</v>
      </c>
      <c r="B34" s="19" t="s">
        <v>253</v>
      </c>
      <c r="C34" s="15" t="s">
        <v>322</v>
      </c>
      <c r="D34" s="4"/>
      <c r="E34" s="4"/>
      <c r="F34" s="4"/>
      <c r="G34" s="4"/>
      <c r="H34" s="7">
        <f t="shared" si="0"/>
        <v>0</v>
      </c>
      <c r="I34" s="7">
        <v>3080164.53</v>
      </c>
      <c r="J34" s="7"/>
      <c r="K34" s="7"/>
      <c r="L34" s="7"/>
      <c r="M34" s="7">
        <f t="shared" si="3"/>
        <v>3080164.53</v>
      </c>
      <c r="N34" s="8"/>
    </row>
    <row r="35" spans="1:14" ht="48.75" hidden="1">
      <c r="A35" s="63"/>
      <c r="B35" s="15"/>
      <c r="C35" s="15" t="s">
        <v>121</v>
      </c>
      <c r="D35" s="4"/>
      <c r="E35" s="4"/>
      <c r="F35" s="4"/>
      <c r="G35" s="4"/>
      <c r="H35" s="7">
        <f t="shared" si="0"/>
        <v>0</v>
      </c>
      <c r="I35" s="7"/>
      <c r="J35" s="7"/>
      <c r="K35" s="7"/>
      <c r="L35" s="7"/>
      <c r="M35" s="7">
        <f t="shared" si="3"/>
        <v>0</v>
      </c>
      <c r="N35" s="5" t="e">
        <f t="shared" si="2"/>
        <v>#DIV/0!</v>
      </c>
    </row>
    <row r="36" spans="1:14" s="10" customFormat="1" ht="9.75">
      <c r="A36" s="78"/>
      <c r="B36" s="31" t="s">
        <v>250</v>
      </c>
      <c r="C36" s="26"/>
      <c r="D36" s="6">
        <f>SUM(D34:D35)</f>
        <v>0</v>
      </c>
      <c r="E36" s="6">
        <f>SUM(E34:E35)</f>
        <v>0</v>
      </c>
      <c r="F36" s="6">
        <f>SUM(F34:F35)</f>
        <v>0</v>
      </c>
      <c r="G36" s="6">
        <f>SUM(G34:G35)</f>
        <v>0</v>
      </c>
      <c r="H36" s="6">
        <f t="shared" si="0"/>
        <v>0</v>
      </c>
      <c r="I36" s="6">
        <f>SUM(I34:I35)</f>
        <v>3080164.53</v>
      </c>
      <c r="J36" s="6">
        <f>SUM(J34:J35)</f>
        <v>0</v>
      </c>
      <c r="K36" s="6">
        <f>SUM(K34:K35)</f>
        <v>0</v>
      </c>
      <c r="L36" s="6">
        <f>SUM(L34:L35)</f>
        <v>0</v>
      </c>
      <c r="M36" s="6">
        <f t="shared" si="3"/>
        <v>3080164.53</v>
      </c>
      <c r="N36" s="25"/>
    </row>
    <row r="37" spans="1:14" s="10" customFormat="1" ht="10.5" customHeight="1">
      <c r="A37" s="129" t="s">
        <v>252</v>
      </c>
      <c r="B37" s="130"/>
      <c r="C37" s="56"/>
      <c r="D37" s="22">
        <f>SUM(D36)</f>
        <v>0</v>
      </c>
      <c r="E37" s="22">
        <f>SUM(E36)</f>
        <v>0</v>
      </c>
      <c r="F37" s="22">
        <f>SUM(F36)</f>
        <v>0</v>
      </c>
      <c r="G37" s="22">
        <f>SUM(G36)</f>
        <v>0</v>
      </c>
      <c r="H37" s="22">
        <f t="shared" si="0"/>
        <v>0</v>
      </c>
      <c r="I37" s="22">
        <f>SUM(I36)</f>
        <v>3080164.53</v>
      </c>
      <c r="J37" s="22">
        <f>SUM(J36)</f>
        <v>0</v>
      </c>
      <c r="K37" s="22">
        <f>SUM(K36)</f>
        <v>0</v>
      </c>
      <c r="L37" s="22">
        <f>SUM(L36)</f>
        <v>0</v>
      </c>
      <c r="M37" s="22">
        <f t="shared" si="3"/>
        <v>3080164.53</v>
      </c>
      <c r="N37" s="27"/>
    </row>
    <row r="38" spans="1:14" s="10" customFormat="1" ht="49.5" customHeight="1">
      <c r="A38" s="122" t="s">
        <v>8</v>
      </c>
      <c r="B38" s="76" t="s">
        <v>293</v>
      </c>
      <c r="C38" s="16" t="s">
        <v>104</v>
      </c>
      <c r="D38" s="4">
        <v>10059812</v>
      </c>
      <c r="E38" s="43"/>
      <c r="F38" s="43"/>
      <c r="G38" s="43"/>
      <c r="H38" s="7">
        <f aca="true" t="shared" si="4" ref="H38:H69">SUM(D38:G38)</f>
        <v>10059812</v>
      </c>
      <c r="I38" s="7">
        <v>4691222.86</v>
      </c>
      <c r="J38" s="43"/>
      <c r="K38" s="43"/>
      <c r="L38" s="43"/>
      <c r="M38" s="7">
        <f t="shared" si="3"/>
        <v>4691222.86</v>
      </c>
      <c r="N38" s="5">
        <f aca="true" t="shared" si="5" ref="N38:N69">M38/H38</f>
        <v>0.4663330547330308</v>
      </c>
    </row>
    <row r="39" spans="1:14" s="10" customFormat="1" ht="10.5" customHeight="1">
      <c r="A39" s="123"/>
      <c r="B39" s="101" t="s">
        <v>294</v>
      </c>
      <c r="C39" s="116"/>
      <c r="D39" s="75">
        <f>SUM(D38)</f>
        <v>10059812</v>
      </c>
      <c r="E39" s="75">
        <f>SUM(E38)</f>
        <v>0</v>
      </c>
      <c r="F39" s="75">
        <f>SUM(F38)</f>
        <v>0</v>
      </c>
      <c r="G39" s="75">
        <f>SUM(G38)</f>
        <v>0</v>
      </c>
      <c r="H39" s="75">
        <f t="shared" si="4"/>
        <v>10059812</v>
      </c>
      <c r="I39" s="75">
        <f>SUM(I38)</f>
        <v>4691222.86</v>
      </c>
      <c r="J39" s="75">
        <f>SUM(J38)</f>
        <v>0</v>
      </c>
      <c r="K39" s="75">
        <f>SUM(K38)</f>
        <v>0</v>
      </c>
      <c r="L39" s="75">
        <f>SUM(L38)</f>
        <v>0</v>
      </c>
      <c r="M39" s="75">
        <f t="shared" si="3"/>
        <v>4691222.86</v>
      </c>
      <c r="N39" s="25">
        <f t="shared" si="5"/>
        <v>0.4663330547330308</v>
      </c>
    </row>
    <row r="40" spans="1:14" ht="21" customHeight="1">
      <c r="A40" s="123"/>
      <c r="B40" s="99" t="s">
        <v>9</v>
      </c>
      <c r="C40" s="15" t="s">
        <v>78</v>
      </c>
      <c r="D40" s="4">
        <v>2200000</v>
      </c>
      <c r="E40" s="4"/>
      <c r="F40" s="4"/>
      <c r="G40" s="4"/>
      <c r="H40" s="7">
        <f t="shared" si="4"/>
        <v>2200000</v>
      </c>
      <c r="I40" s="7">
        <v>2271352.31</v>
      </c>
      <c r="J40" s="7"/>
      <c r="K40" s="7"/>
      <c r="L40" s="7"/>
      <c r="M40" s="7">
        <f t="shared" si="3"/>
        <v>2271352.31</v>
      </c>
      <c r="N40" s="5">
        <f t="shared" si="5"/>
        <v>1.0324328681818182</v>
      </c>
    </row>
    <row r="41" spans="1:14" ht="40.5" customHeight="1">
      <c r="A41" s="124"/>
      <c r="B41" s="121"/>
      <c r="C41" s="15" t="s">
        <v>290</v>
      </c>
      <c r="D41" s="4">
        <v>250000</v>
      </c>
      <c r="E41" s="4"/>
      <c r="F41" s="4"/>
      <c r="G41" s="4"/>
      <c r="H41" s="7">
        <f t="shared" si="4"/>
        <v>250000</v>
      </c>
      <c r="I41" s="7"/>
      <c r="J41" s="7"/>
      <c r="K41" s="7"/>
      <c r="L41" s="7"/>
      <c r="M41" s="7">
        <f t="shared" si="3"/>
        <v>0</v>
      </c>
      <c r="N41" s="5">
        <f t="shared" si="5"/>
        <v>0</v>
      </c>
    </row>
    <row r="42" spans="1:14" ht="48" customHeight="1">
      <c r="A42" s="78"/>
      <c r="B42" s="17"/>
      <c r="C42" s="16" t="s">
        <v>104</v>
      </c>
      <c r="D42" s="4">
        <v>6800000</v>
      </c>
      <c r="E42" s="4"/>
      <c r="F42" s="4"/>
      <c r="G42" s="4"/>
      <c r="H42" s="7">
        <f t="shared" si="4"/>
        <v>6800000</v>
      </c>
      <c r="I42" s="7">
        <v>3412757.66</v>
      </c>
      <c r="J42" s="9"/>
      <c r="K42" s="9"/>
      <c r="L42" s="9"/>
      <c r="M42" s="7">
        <f t="shared" si="3"/>
        <v>3412757.66</v>
      </c>
      <c r="N42" s="5">
        <f t="shared" si="5"/>
        <v>0.5018761264705882</v>
      </c>
    </row>
    <row r="43" spans="1:14" ht="30" customHeight="1">
      <c r="A43" s="78"/>
      <c r="B43" s="17"/>
      <c r="C43" s="16" t="s">
        <v>75</v>
      </c>
      <c r="D43" s="4">
        <v>760000</v>
      </c>
      <c r="E43" s="4"/>
      <c r="F43" s="4"/>
      <c r="G43" s="4"/>
      <c r="H43" s="7">
        <f t="shared" si="4"/>
        <v>760000</v>
      </c>
      <c r="I43" s="7">
        <v>857852.14</v>
      </c>
      <c r="J43" s="7"/>
      <c r="K43" s="7"/>
      <c r="L43" s="7"/>
      <c r="M43" s="7">
        <f t="shared" si="3"/>
        <v>857852.14</v>
      </c>
      <c r="N43" s="5">
        <f t="shared" si="5"/>
        <v>1.1287528157894737</v>
      </c>
    </row>
    <row r="44" spans="1:14" ht="30" customHeight="1">
      <c r="A44" s="78"/>
      <c r="B44" s="17"/>
      <c r="C44" s="16" t="s">
        <v>231</v>
      </c>
      <c r="D44" s="4">
        <f>22650000+1200000+1000000</f>
        <v>24850000</v>
      </c>
      <c r="E44" s="4"/>
      <c r="F44" s="4"/>
      <c r="G44" s="4"/>
      <c r="H44" s="7">
        <f t="shared" si="4"/>
        <v>24850000</v>
      </c>
      <c r="I44" s="7">
        <v>22039410.67</v>
      </c>
      <c r="J44" s="7"/>
      <c r="K44" s="7"/>
      <c r="L44" s="7"/>
      <c r="M44" s="7">
        <f t="shared" si="3"/>
        <v>22039410.67</v>
      </c>
      <c r="N44" s="5">
        <f t="shared" si="5"/>
        <v>0.8868978136820926</v>
      </c>
    </row>
    <row r="45" spans="1:14" ht="9.75">
      <c r="A45" s="78"/>
      <c r="B45" s="17"/>
      <c r="C45" s="16" t="s">
        <v>76</v>
      </c>
      <c r="D45" s="4"/>
      <c r="E45" s="4"/>
      <c r="F45" s="4"/>
      <c r="G45" s="4"/>
      <c r="H45" s="7">
        <f t="shared" si="4"/>
        <v>0</v>
      </c>
      <c r="I45" s="7">
        <v>41303.11</v>
      </c>
      <c r="J45" s="7"/>
      <c r="K45" s="7"/>
      <c r="L45" s="7"/>
      <c r="M45" s="7">
        <f t="shared" si="3"/>
        <v>41303.11</v>
      </c>
      <c r="N45" s="5"/>
    </row>
    <row r="46" spans="1:14" ht="9.75">
      <c r="A46" s="78"/>
      <c r="B46" s="17"/>
      <c r="C46" s="16" t="s">
        <v>72</v>
      </c>
      <c r="D46" s="4"/>
      <c r="E46" s="4"/>
      <c r="F46" s="4"/>
      <c r="G46" s="4"/>
      <c r="H46" s="7">
        <f t="shared" si="4"/>
        <v>0</v>
      </c>
      <c r="I46" s="7">
        <v>41745.07</v>
      </c>
      <c r="J46" s="7"/>
      <c r="K46" s="7"/>
      <c r="L46" s="7"/>
      <c r="M46" s="7">
        <f t="shared" si="3"/>
        <v>41745.07</v>
      </c>
      <c r="N46" s="5"/>
    </row>
    <row r="47" spans="1:14" ht="9.75" hidden="1">
      <c r="A47" s="78"/>
      <c r="B47" s="17"/>
      <c r="C47" s="16" t="s">
        <v>74</v>
      </c>
      <c r="D47" s="4"/>
      <c r="E47" s="4"/>
      <c r="F47" s="4"/>
      <c r="G47" s="4"/>
      <c r="H47" s="7">
        <f t="shared" si="4"/>
        <v>0</v>
      </c>
      <c r="I47" s="7"/>
      <c r="J47" s="7"/>
      <c r="K47" s="7"/>
      <c r="L47" s="7"/>
      <c r="M47" s="7">
        <f t="shared" si="3"/>
        <v>0</v>
      </c>
      <c r="N47" s="5" t="e">
        <f t="shared" si="5"/>
        <v>#DIV/0!</v>
      </c>
    </row>
    <row r="48" spans="1:14" ht="39.75" customHeight="1">
      <c r="A48" s="78"/>
      <c r="B48" s="17"/>
      <c r="C48" s="16" t="s">
        <v>69</v>
      </c>
      <c r="D48" s="4"/>
      <c r="E48" s="4"/>
      <c r="F48" s="4"/>
      <c r="G48" s="4">
        <f>130000+203600+51739+3658279</f>
        <v>4043618</v>
      </c>
      <c r="H48" s="7">
        <f t="shared" si="4"/>
        <v>4043618</v>
      </c>
      <c r="I48" s="7"/>
      <c r="J48" s="7"/>
      <c r="K48" s="7"/>
      <c r="L48" s="7">
        <v>3967098</v>
      </c>
      <c r="M48" s="7">
        <f t="shared" si="3"/>
        <v>3967098</v>
      </c>
      <c r="N48" s="5">
        <f t="shared" si="5"/>
        <v>0.9810763529096962</v>
      </c>
    </row>
    <row r="49" spans="1:14" ht="29.25" customHeight="1">
      <c r="A49" s="78"/>
      <c r="B49" s="17"/>
      <c r="C49" s="19" t="s">
        <v>77</v>
      </c>
      <c r="D49" s="4"/>
      <c r="E49" s="4">
        <v>2125000</v>
      </c>
      <c r="F49" s="4"/>
      <c r="G49" s="4"/>
      <c r="H49" s="7">
        <f t="shared" si="4"/>
        <v>2125000</v>
      </c>
      <c r="I49" s="7"/>
      <c r="J49" s="7">
        <v>1834580.3</v>
      </c>
      <c r="K49" s="9"/>
      <c r="L49" s="9"/>
      <c r="M49" s="7">
        <f t="shared" si="3"/>
        <v>1834580.3</v>
      </c>
      <c r="N49" s="5">
        <f t="shared" si="5"/>
        <v>0.863331905882353</v>
      </c>
    </row>
    <row r="50" spans="1:14" ht="48" customHeight="1" hidden="1">
      <c r="A50" s="78"/>
      <c r="B50" s="17"/>
      <c r="C50" s="19" t="s">
        <v>70</v>
      </c>
      <c r="D50" s="4"/>
      <c r="E50" s="4"/>
      <c r="F50" s="4"/>
      <c r="G50" s="4"/>
      <c r="H50" s="7">
        <f t="shared" si="4"/>
        <v>0</v>
      </c>
      <c r="J50" s="7"/>
      <c r="K50" s="9"/>
      <c r="L50" s="9"/>
      <c r="M50" s="7">
        <f t="shared" si="3"/>
        <v>0</v>
      </c>
      <c r="N50" s="5" t="e">
        <f t="shared" si="5"/>
        <v>#DIV/0!</v>
      </c>
    </row>
    <row r="51" spans="1:14" ht="38.25" customHeight="1">
      <c r="A51" s="78"/>
      <c r="B51" s="17"/>
      <c r="C51" s="19" t="s">
        <v>79</v>
      </c>
      <c r="D51" s="4">
        <v>4943</v>
      </c>
      <c r="E51" s="4"/>
      <c r="F51" s="4"/>
      <c r="G51" s="4"/>
      <c r="H51" s="7">
        <f t="shared" si="4"/>
        <v>4943</v>
      </c>
      <c r="I51" s="7">
        <v>4943.01</v>
      </c>
      <c r="J51" s="7"/>
      <c r="K51" s="9"/>
      <c r="L51" s="9"/>
      <c r="M51" s="7">
        <f t="shared" si="3"/>
        <v>4943.01</v>
      </c>
      <c r="N51" s="5">
        <f t="shared" si="5"/>
        <v>1.0000020230629174</v>
      </c>
    </row>
    <row r="52" spans="1:14" ht="9.75">
      <c r="A52" s="78"/>
      <c r="B52" s="26" t="s">
        <v>118</v>
      </c>
      <c r="C52" s="26"/>
      <c r="D52" s="6">
        <f>SUM(D40:D51)</f>
        <v>34864943</v>
      </c>
      <c r="E52" s="6">
        <f>SUM(E40:E51)</f>
        <v>2125000</v>
      </c>
      <c r="F52" s="6">
        <f>SUM(F40:F51)</f>
        <v>0</v>
      </c>
      <c r="G52" s="6">
        <f>SUM(G40:G51)</f>
        <v>4043618</v>
      </c>
      <c r="H52" s="6">
        <f t="shared" si="4"/>
        <v>41033561</v>
      </c>
      <c r="I52" s="6">
        <f>SUM(I40:I51)</f>
        <v>28669363.970000003</v>
      </c>
      <c r="J52" s="6">
        <f>SUM(J40:J51)</f>
        <v>1834580.3</v>
      </c>
      <c r="K52" s="6">
        <f>SUM(K40:K51)</f>
        <v>0</v>
      </c>
      <c r="L52" s="6">
        <f>SUM(L40:L51)</f>
        <v>3967098</v>
      </c>
      <c r="M52" s="6">
        <f t="shared" si="3"/>
        <v>34471042.27</v>
      </c>
      <c r="N52" s="25">
        <f t="shared" si="5"/>
        <v>0.8400694804430939</v>
      </c>
    </row>
    <row r="53" spans="1:14" s="10" customFormat="1" ht="48.75" customHeight="1">
      <c r="A53" s="78"/>
      <c r="B53" s="102" t="s">
        <v>10</v>
      </c>
      <c r="C53" s="16" t="s">
        <v>104</v>
      </c>
      <c r="D53" s="4">
        <v>5550000</v>
      </c>
      <c r="E53" s="4"/>
      <c r="F53" s="4"/>
      <c r="G53" s="4"/>
      <c r="H53" s="7">
        <f t="shared" si="4"/>
        <v>5550000</v>
      </c>
      <c r="I53" s="7">
        <v>2404038.32</v>
      </c>
      <c r="J53" s="13"/>
      <c r="K53" s="13"/>
      <c r="L53" s="13"/>
      <c r="M53" s="7">
        <f t="shared" si="3"/>
        <v>2404038.32</v>
      </c>
      <c r="N53" s="5">
        <f t="shared" si="5"/>
        <v>0.43316005765765764</v>
      </c>
    </row>
    <row r="54" spans="1:14" s="10" customFormat="1" ht="9.75" customHeight="1">
      <c r="A54" s="78"/>
      <c r="B54" s="103"/>
      <c r="C54" s="16" t="s">
        <v>72</v>
      </c>
      <c r="D54" s="4"/>
      <c r="E54" s="4"/>
      <c r="F54" s="4"/>
      <c r="G54" s="4"/>
      <c r="H54" s="7">
        <f t="shared" si="4"/>
        <v>0</v>
      </c>
      <c r="I54" s="7">
        <v>17626.46</v>
      </c>
      <c r="J54" s="13"/>
      <c r="K54" s="13"/>
      <c r="L54" s="13"/>
      <c r="M54" s="7">
        <f t="shared" si="3"/>
        <v>17626.46</v>
      </c>
      <c r="N54" s="5"/>
    </row>
    <row r="55" spans="1:14" s="10" customFormat="1" ht="9.75" hidden="1">
      <c r="A55" s="78"/>
      <c r="B55" s="103"/>
      <c r="C55" s="16" t="s">
        <v>74</v>
      </c>
      <c r="D55" s="4"/>
      <c r="E55" s="4"/>
      <c r="F55" s="4"/>
      <c r="G55" s="4"/>
      <c r="H55" s="7">
        <f t="shared" si="4"/>
        <v>0</v>
      </c>
      <c r="I55" s="7"/>
      <c r="J55" s="13"/>
      <c r="K55" s="13"/>
      <c r="L55" s="13"/>
      <c r="M55" s="7">
        <f t="shared" si="3"/>
        <v>0</v>
      </c>
      <c r="N55" s="5" t="e">
        <f t="shared" si="5"/>
        <v>#DIV/0!</v>
      </c>
    </row>
    <row r="56" spans="1:14" s="10" customFormat="1" ht="47.25" customHeight="1" hidden="1">
      <c r="A56" s="79"/>
      <c r="B56" s="64"/>
      <c r="C56" s="65" t="s">
        <v>70</v>
      </c>
      <c r="D56" s="7"/>
      <c r="E56" s="7"/>
      <c r="F56" s="7"/>
      <c r="G56" s="7"/>
      <c r="H56" s="7">
        <f t="shared" si="4"/>
        <v>0</v>
      </c>
      <c r="I56" s="7"/>
      <c r="J56" s="13"/>
      <c r="K56" s="13"/>
      <c r="L56" s="13"/>
      <c r="M56" s="7">
        <f t="shared" si="3"/>
        <v>0</v>
      </c>
      <c r="N56" s="8" t="e">
        <f t="shared" si="5"/>
        <v>#DIV/0!</v>
      </c>
    </row>
    <row r="57" spans="1:14" s="11" customFormat="1" ht="9.75">
      <c r="A57" s="78"/>
      <c r="B57" s="26" t="s">
        <v>119</v>
      </c>
      <c r="C57" s="26"/>
      <c r="D57" s="6">
        <f>SUM(D53:D56)</f>
        <v>5550000</v>
      </c>
      <c r="E57" s="6">
        <f>SUM(E53:E56)</f>
        <v>0</v>
      </c>
      <c r="F57" s="6">
        <f>SUM(F53:F56)</f>
        <v>0</v>
      </c>
      <c r="G57" s="6">
        <f>SUM(G53:G56)</f>
        <v>0</v>
      </c>
      <c r="H57" s="6">
        <f t="shared" si="4"/>
        <v>5550000</v>
      </c>
      <c r="I57" s="6">
        <f>SUM(I53:I56)</f>
        <v>2421664.78</v>
      </c>
      <c r="J57" s="6">
        <f>SUM(J53:J56)</f>
        <v>0</v>
      </c>
      <c r="K57" s="6">
        <f>SUM(K53:K56)</f>
        <v>0</v>
      </c>
      <c r="L57" s="6">
        <f>SUM(L53:L56)</f>
        <v>0</v>
      </c>
      <c r="M57" s="6">
        <f>SUM(M53:M56)</f>
        <v>2421664.78</v>
      </c>
      <c r="N57" s="25">
        <f t="shared" si="5"/>
        <v>0.43633599639639636</v>
      </c>
    </row>
    <row r="58" spans="1:14" ht="10.5" customHeight="1">
      <c r="A58" s="23" t="s">
        <v>11</v>
      </c>
      <c r="B58" s="21"/>
      <c r="C58" s="21"/>
      <c r="D58" s="72">
        <f>SUM(D57,D39,D52)</f>
        <v>50474755</v>
      </c>
      <c r="E58" s="72">
        <f>SUM(E57,E39,E52)</f>
        <v>2125000</v>
      </c>
      <c r="F58" s="72">
        <f>SUM(F57,F39,F52)</f>
        <v>0</v>
      </c>
      <c r="G58" s="72">
        <f>SUM(G57,G39,G52)</f>
        <v>4043618</v>
      </c>
      <c r="H58" s="22">
        <f t="shared" si="4"/>
        <v>56643373</v>
      </c>
      <c r="I58" s="22">
        <f>SUM(I57,I39,I52)</f>
        <v>35782251.61</v>
      </c>
      <c r="J58" s="22">
        <f>SUM(J57,J39,J52)</f>
        <v>1834580.3</v>
      </c>
      <c r="K58" s="22">
        <f>SUM(K57,K39,K52)</f>
        <v>0</v>
      </c>
      <c r="L58" s="22">
        <f>SUM(L57,L39,L52)</f>
        <v>3967098</v>
      </c>
      <c r="M58" s="22">
        <f aca="true" t="shared" si="6" ref="M58:M103">SUM(I58:L58)</f>
        <v>41583929.91</v>
      </c>
      <c r="N58" s="27">
        <f t="shared" si="5"/>
        <v>0.7341358345662077</v>
      </c>
    </row>
    <row r="59" spans="1:14" s="10" customFormat="1" ht="39.75" customHeight="1">
      <c r="A59" s="122" t="s">
        <v>12</v>
      </c>
      <c r="B59" s="102" t="s">
        <v>120</v>
      </c>
      <c r="C59" s="15" t="s">
        <v>189</v>
      </c>
      <c r="D59" s="4">
        <v>6302</v>
      </c>
      <c r="E59" s="43"/>
      <c r="F59" s="43"/>
      <c r="G59" s="43"/>
      <c r="H59" s="7">
        <f t="shared" si="4"/>
        <v>6302</v>
      </c>
      <c r="I59" s="7">
        <v>6635.47</v>
      </c>
      <c r="J59" s="43"/>
      <c r="K59" s="43"/>
      <c r="L59" s="43"/>
      <c r="M59" s="7">
        <f t="shared" si="6"/>
        <v>6635.47</v>
      </c>
      <c r="N59" s="5">
        <f t="shared" si="5"/>
        <v>1.0529149476356712</v>
      </c>
    </row>
    <row r="60" spans="1:14" ht="48" customHeight="1" hidden="1">
      <c r="A60" s="123"/>
      <c r="B60" s="104"/>
      <c r="C60" s="16" t="s">
        <v>121</v>
      </c>
      <c r="D60" s="4"/>
      <c r="E60" s="4"/>
      <c r="F60" s="4"/>
      <c r="G60" s="4"/>
      <c r="H60" s="7">
        <f t="shared" si="4"/>
        <v>0</v>
      </c>
      <c r="I60" s="7"/>
      <c r="J60" s="7"/>
      <c r="K60" s="7"/>
      <c r="L60" s="7"/>
      <c r="M60" s="7">
        <f t="shared" si="6"/>
        <v>0</v>
      </c>
      <c r="N60" s="5" t="e">
        <f t="shared" si="5"/>
        <v>#DIV/0!</v>
      </c>
    </row>
    <row r="61" spans="1:14" ht="9" customHeight="1">
      <c r="A61" s="123"/>
      <c r="B61" s="26" t="s">
        <v>122</v>
      </c>
      <c r="C61" s="26"/>
      <c r="D61" s="6">
        <f>SUM(D59:D60)</f>
        <v>6302</v>
      </c>
      <c r="E61" s="6">
        <f>SUM(E59:E60)</f>
        <v>0</v>
      </c>
      <c r="F61" s="6">
        <f>SUM(F59:F60)</f>
        <v>0</v>
      </c>
      <c r="G61" s="6">
        <f>SUM(G59:G60)</f>
        <v>0</v>
      </c>
      <c r="H61" s="6">
        <f t="shared" si="4"/>
        <v>6302</v>
      </c>
      <c r="I61" s="6">
        <f>SUM(I59:I60)</f>
        <v>6635.47</v>
      </c>
      <c r="J61" s="6">
        <f>SUM(J59:J60)</f>
        <v>0</v>
      </c>
      <c r="K61" s="6">
        <f>SUM(K59:K60)</f>
        <v>0</v>
      </c>
      <c r="L61" s="6">
        <f>SUM(L59:L60)</f>
        <v>0</v>
      </c>
      <c r="M61" s="6">
        <f t="shared" si="6"/>
        <v>6635.47</v>
      </c>
      <c r="N61" s="25">
        <f t="shared" si="5"/>
        <v>1.0529149476356712</v>
      </c>
    </row>
    <row r="62" spans="1:14" ht="38.25" customHeight="1">
      <c r="A62" s="124"/>
      <c r="B62" s="20" t="s">
        <v>13</v>
      </c>
      <c r="C62" s="24" t="s">
        <v>69</v>
      </c>
      <c r="D62" s="4"/>
      <c r="E62" s="4"/>
      <c r="F62" s="4"/>
      <c r="G62" s="4">
        <v>175000</v>
      </c>
      <c r="H62" s="7">
        <f t="shared" si="4"/>
        <v>175000</v>
      </c>
      <c r="I62" s="13"/>
      <c r="J62" s="13"/>
      <c r="K62" s="13"/>
      <c r="L62" s="13"/>
      <c r="M62" s="7">
        <f t="shared" si="6"/>
        <v>0</v>
      </c>
      <c r="N62" s="5">
        <f t="shared" si="5"/>
        <v>0</v>
      </c>
    </row>
    <row r="63" spans="1:14" s="11" customFormat="1" ht="9.75">
      <c r="A63" s="78"/>
      <c r="B63" s="26" t="s">
        <v>123</v>
      </c>
      <c r="C63" s="26"/>
      <c r="D63" s="6">
        <f>SUM(D62)</f>
        <v>0</v>
      </c>
      <c r="E63" s="6">
        <f>SUM(E62)</f>
        <v>0</v>
      </c>
      <c r="F63" s="6">
        <f>SUM(F62)</f>
        <v>0</v>
      </c>
      <c r="G63" s="6">
        <f>SUM(G62)</f>
        <v>175000</v>
      </c>
      <c r="H63" s="6">
        <f t="shared" si="4"/>
        <v>175000</v>
      </c>
      <c r="I63" s="6">
        <f>SUM(I62)</f>
        <v>0</v>
      </c>
      <c r="J63" s="6">
        <f>SUM(J62)</f>
        <v>0</v>
      </c>
      <c r="K63" s="6">
        <f>SUM(K62)</f>
        <v>0</v>
      </c>
      <c r="L63" s="6">
        <f>SUM(L62)</f>
        <v>0</v>
      </c>
      <c r="M63" s="6">
        <f t="shared" si="6"/>
        <v>0</v>
      </c>
      <c r="N63" s="25">
        <f t="shared" si="5"/>
        <v>0</v>
      </c>
    </row>
    <row r="64" spans="1:14" ht="40.5" customHeight="1">
      <c r="A64" s="78"/>
      <c r="B64" s="20" t="s">
        <v>14</v>
      </c>
      <c r="C64" s="24" t="s">
        <v>69</v>
      </c>
      <c r="D64" s="4"/>
      <c r="E64" s="4"/>
      <c r="F64" s="4"/>
      <c r="G64" s="4">
        <v>60000</v>
      </c>
      <c r="H64" s="7">
        <f t="shared" si="4"/>
        <v>60000</v>
      </c>
      <c r="I64" s="7"/>
      <c r="J64" s="7"/>
      <c r="K64" s="7"/>
      <c r="L64" s="7"/>
      <c r="M64" s="7">
        <f t="shared" si="6"/>
        <v>0</v>
      </c>
      <c r="N64" s="5">
        <f t="shared" si="5"/>
        <v>0</v>
      </c>
    </row>
    <row r="65" spans="1:14" ht="9.75">
      <c r="A65" s="78"/>
      <c r="B65" s="26" t="s">
        <v>124</v>
      </c>
      <c r="C65" s="26"/>
      <c r="D65" s="6">
        <f>SUM(D64)</f>
        <v>0</v>
      </c>
      <c r="E65" s="6">
        <f>SUM(E64)</f>
        <v>0</v>
      </c>
      <c r="F65" s="6">
        <f>SUM(F64)</f>
        <v>0</v>
      </c>
      <c r="G65" s="6">
        <f>SUM(G64)</f>
        <v>60000</v>
      </c>
      <c r="H65" s="6">
        <f t="shared" si="4"/>
        <v>60000</v>
      </c>
      <c r="I65" s="6">
        <f>SUM(I64)</f>
        <v>0</v>
      </c>
      <c r="J65" s="6">
        <f>SUM(J64)</f>
        <v>0</v>
      </c>
      <c r="K65" s="6">
        <f>SUM(K64)</f>
        <v>0</v>
      </c>
      <c r="L65" s="6">
        <f>SUM(L64)</f>
        <v>0</v>
      </c>
      <c r="M65" s="6">
        <f t="shared" si="6"/>
        <v>0</v>
      </c>
      <c r="N65" s="25">
        <f t="shared" si="5"/>
        <v>0</v>
      </c>
    </row>
    <row r="66" spans="1:14" s="10" customFormat="1" ht="11.25" customHeight="1">
      <c r="A66" s="79"/>
      <c r="B66" s="102" t="s">
        <v>15</v>
      </c>
      <c r="C66" s="16" t="s">
        <v>71</v>
      </c>
      <c r="D66" s="13"/>
      <c r="E66" s="13"/>
      <c r="F66" s="13"/>
      <c r="G66" s="13"/>
      <c r="H66" s="7">
        <f t="shared" si="4"/>
        <v>0</v>
      </c>
      <c r="I66" s="13"/>
      <c r="J66" s="13">
        <v>84.8</v>
      </c>
      <c r="K66" s="13"/>
      <c r="L66" s="13"/>
      <c r="M66" s="7">
        <f t="shared" si="6"/>
        <v>84.8</v>
      </c>
      <c r="N66" s="5"/>
    </row>
    <row r="67" spans="1:14" s="10" customFormat="1" ht="9.75">
      <c r="A67" s="79"/>
      <c r="B67" s="103"/>
      <c r="C67" s="16" t="s">
        <v>72</v>
      </c>
      <c r="D67" s="13"/>
      <c r="E67" s="13"/>
      <c r="F67" s="13"/>
      <c r="G67" s="13"/>
      <c r="H67" s="7">
        <f t="shared" si="4"/>
        <v>0</v>
      </c>
      <c r="I67" s="13"/>
      <c r="J67" s="7">
        <v>346.6</v>
      </c>
      <c r="K67" s="13"/>
      <c r="L67" s="13"/>
      <c r="M67" s="7">
        <f t="shared" si="6"/>
        <v>346.6</v>
      </c>
      <c r="N67" s="5"/>
    </row>
    <row r="68" spans="1:14" ht="37.5" customHeight="1">
      <c r="A68" s="78"/>
      <c r="B68" s="103"/>
      <c r="C68" s="16" t="s">
        <v>69</v>
      </c>
      <c r="D68" s="4"/>
      <c r="E68" s="4"/>
      <c r="F68" s="4"/>
      <c r="G68" s="4">
        <v>492000</v>
      </c>
      <c r="H68" s="7">
        <f t="shared" si="4"/>
        <v>492000</v>
      </c>
      <c r="I68" s="7"/>
      <c r="J68" s="7"/>
      <c r="K68" s="7"/>
      <c r="L68" s="7">
        <v>263700</v>
      </c>
      <c r="M68" s="7">
        <f t="shared" si="6"/>
        <v>263700</v>
      </c>
      <c r="N68" s="5">
        <f t="shared" si="5"/>
        <v>0.5359756097560976</v>
      </c>
    </row>
    <row r="69" spans="1:14" ht="39.75" customHeight="1" hidden="1">
      <c r="A69" s="78"/>
      <c r="B69" s="104"/>
      <c r="C69" s="19" t="s">
        <v>77</v>
      </c>
      <c r="D69" s="4"/>
      <c r="E69" s="4"/>
      <c r="F69" s="4"/>
      <c r="G69" s="4"/>
      <c r="H69" s="7">
        <f t="shared" si="4"/>
        <v>0</v>
      </c>
      <c r="I69" s="7"/>
      <c r="J69" s="7"/>
      <c r="K69" s="7"/>
      <c r="L69" s="7"/>
      <c r="M69" s="7">
        <f t="shared" si="6"/>
        <v>0</v>
      </c>
      <c r="N69" s="5" t="e">
        <f t="shared" si="5"/>
        <v>#DIV/0!</v>
      </c>
    </row>
    <row r="70" spans="1:14" ht="9.75">
      <c r="A70" s="78"/>
      <c r="B70" s="26" t="s">
        <v>125</v>
      </c>
      <c r="C70" s="26"/>
      <c r="D70" s="6">
        <f>SUM(D66:D69)</f>
        <v>0</v>
      </c>
      <c r="E70" s="6">
        <f>SUM(E66:E69)</f>
        <v>0</v>
      </c>
      <c r="F70" s="6">
        <f>SUM(F66:F69)</f>
        <v>0</v>
      </c>
      <c r="G70" s="6">
        <f>SUM(G66:G69)</f>
        <v>492000</v>
      </c>
      <c r="H70" s="6">
        <f aca="true" t="shared" si="7" ref="H70:H102">SUM(D70:G70)</f>
        <v>492000</v>
      </c>
      <c r="I70" s="6">
        <f>SUM(I66:I69)</f>
        <v>0</v>
      </c>
      <c r="J70" s="6">
        <f>SUM(J66:J69)</f>
        <v>431.40000000000003</v>
      </c>
      <c r="K70" s="6">
        <f>SUM(K66:K69)</f>
        <v>0</v>
      </c>
      <c r="L70" s="6">
        <f>SUM(L66:L69)</f>
        <v>263700</v>
      </c>
      <c r="M70" s="6">
        <f t="shared" si="6"/>
        <v>264131.4</v>
      </c>
      <c r="N70" s="25">
        <f aca="true" t="shared" si="8" ref="N70:N102">M70/H70</f>
        <v>0.5368524390243903</v>
      </c>
    </row>
    <row r="71" spans="1:14" s="10" customFormat="1" ht="9.75" hidden="1">
      <c r="A71" s="79"/>
      <c r="B71" s="114" t="s">
        <v>62</v>
      </c>
      <c r="C71" s="16" t="s">
        <v>71</v>
      </c>
      <c r="D71" s="13"/>
      <c r="E71" s="13"/>
      <c r="F71" s="13"/>
      <c r="G71" s="13"/>
      <c r="H71" s="7">
        <f t="shared" si="7"/>
        <v>0</v>
      </c>
      <c r="I71" s="7"/>
      <c r="J71" s="13"/>
      <c r="K71" s="13"/>
      <c r="L71" s="13"/>
      <c r="M71" s="7">
        <f t="shared" si="6"/>
        <v>0</v>
      </c>
      <c r="N71" s="5" t="e">
        <f t="shared" si="8"/>
        <v>#DIV/0!</v>
      </c>
    </row>
    <row r="72" spans="1:14" s="10" customFormat="1" ht="10.5" customHeight="1" hidden="1">
      <c r="A72" s="79"/>
      <c r="B72" s="114"/>
      <c r="C72" s="16" t="s">
        <v>72</v>
      </c>
      <c r="D72" s="13"/>
      <c r="E72" s="13"/>
      <c r="F72" s="13"/>
      <c r="G72" s="13"/>
      <c r="H72" s="7">
        <f t="shared" si="7"/>
        <v>0</v>
      </c>
      <c r="I72" s="7"/>
      <c r="J72" s="13"/>
      <c r="K72" s="13"/>
      <c r="L72" s="13"/>
      <c r="M72" s="7">
        <f t="shared" si="6"/>
        <v>0</v>
      </c>
      <c r="N72" s="5" t="e">
        <f t="shared" si="8"/>
        <v>#DIV/0!</v>
      </c>
    </row>
    <row r="73" spans="1:14" ht="37.5" customHeight="1" hidden="1">
      <c r="A73" s="78"/>
      <c r="B73" s="114"/>
      <c r="C73" s="24" t="s">
        <v>80</v>
      </c>
      <c r="D73" s="4"/>
      <c r="E73" s="4"/>
      <c r="F73" s="4"/>
      <c r="G73" s="4"/>
      <c r="H73" s="7">
        <f t="shared" si="7"/>
        <v>0</v>
      </c>
      <c r="I73" s="7"/>
      <c r="J73" s="7"/>
      <c r="K73" s="7"/>
      <c r="L73" s="7"/>
      <c r="M73" s="7">
        <f t="shared" si="6"/>
        <v>0</v>
      </c>
      <c r="N73" s="5" t="e">
        <f t="shared" si="8"/>
        <v>#DIV/0!</v>
      </c>
    </row>
    <row r="74" spans="1:14" ht="9.75" hidden="1">
      <c r="A74" s="78"/>
      <c r="B74" s="26" t="s">
        <v>126</v>
      </c>
      <c r="C74" s="26"/>
      <c r="D74" s="6">
        <f>SUM(D71:D73)</f>
        <v>0</v>
      </c>
      <c r="E74" s="6">
        <f>SUM(E71:E73)</f>
        <v>0</v>
      </c>
      <c r="F74" s="6">
        <f>SUM(F71:F73)</f>
        <v>0</v>
      </c>
      <c r="G74" s="6">
        <f>SUM(G71:G73)</f>
        <v>0</v>
      </c>
      <c r="H74" s="6">
        <f t="shared" si="7"/>
        <v>0</v>
      </c>
      <c r="I74" s="6">
        <f>SUM(I71:I73)</f>
        <v>0</v>
      </c>
      <c r="J74" s="6">
        <f>SUM(J71:J73)</f>
        <v>0</v>
      </c>
      <c r="K74" s="6">
        <f>SUM(K71:K73)</f>
        <v>0</v>
      </c>
      <c r="L74" s="6">
        <f>SUM(L71:L73)</f>
        <v>0</v>
      </c>
      <c r="M74" s="6">
        <f t="shared" si="6"/>
        <v>0</v>
      </c>
      <c r="N74" s="25" t="e">
        <f t="shared" si="8"/>
        <v>#DIV/0!</v>
      </c>
    </row>
    <row r="75" spans="1:14" ht="48" customHeight="1">
      <c r="A75" s="78"/>
      <c r="B75" s="102" t="s">
        <v>16</v>
      </c>
      <c r="C75" s="15" t="s">
        <v>104</v>
      </c>
      <c r="D75" s="4">
        <v>510000</v>
      </c>
      <c r="E75" s="4"/>
      <c r="F75" s="4"/>
      <c r="G75" s="4"/>
      <c r="H75" s="7">
        <f t="shared" si="7"/>
        <v>510000</v>
      </c>
      <c r="I75" s="7">
        <v>135818.42</v>
      </c>
      <c r="J75" s="7"/>
      <c r="K75" s="7"/>
      <c r="L75" s="7"/>
      <c r="M75" s="7">
        <f t="shared" si="6"/>
        <v>135818.42</v>
      </c>
      <c r="N75" s="5">
        <f t="shared" si="8"/>
        <v>0.26631062745098044</v>
      </c>
    </row>
    <row r="76" spans="1:14" ht="9.75">
      <c r="A76" s="78"/>
      <c r="B76" s="103"/>
      <c r="C76" s="16" t="s">
        <v>76</v>
      </c>
      <c r="D76" s="4">
        <v>480000</v>
      </c>
      <c r="E76" s="4"/>
      <c r="F76" s="4"/>
      <c r="G76" s="4"/>
      <c r="H76" s="7">
        <f t="shared" si="7"/>
        <v>480000</v>
      </c>
      <c r="I76" s="7">
        <v>229046.8</v>
      </c>
      <c r="J76" s="7"/>
      <c r="K76" s="7"/>
      <c r="L76" s="7"/>
      <c r="M76" s="7">
        <f t="shared" si="6"/>
        <v>229046.8</v>
      </c>
      <c r="N76" s="5">
        <f t="shared" si="8"/>
        <v>0.47718083333333333</v>
      </c>
    </row>
    <row r="77" spans="1:14" ht="29.25" hidden="1">
      <c r="A77" s="78"/>
      <c r="B77" s="103"/>
      <c r="C77" s="16" t="s">
        <v>287</v>
      </c>
      <c r="D77" s="4"/>
      <c r="E77" s="4"/>
      <c r="F77" s="4"/>
      <c r="G77" s="4"/>
      <c r="H77" s="7">
        <f t="shared" si="7"/>
        <v>0</v>
      </c>
      <c r="I77" s="7"/>
      <c r="J77" s="7"/>
      <c r="K77" s="7"/>
      <c r="L77" s="7"/>
      <c r="M77" s="7">
        <f t="shared" si="6"/>
        <v>0</v>
      </c>
      <c r="N77" s="5" t="e">
        <f t="shared" si="8"/>
        <v>#DIV/0!</v>
      </c>
    </row>
    <row r="78" spans="1:14" ht="9.75" customHeight="1">
      <c r="A78" s="78"/>
      <c r="B78" s="103"/>
      <c r="C78" s="16" t="s">
        <v>72</v>
      </c>
      <c r="D78" s="4"/>
      <c r="E78" s="4"/>
      <c r="F78" s="4"/>
      <c r="G78" s="4"/>
      <c r="H78" s="7">
        <f t="shared" si="7"/>
        <v>0</v>
      </c>
      <c r="I78" s="7">
        <v>724.31</v>
      </c>
      <c r="J78" s="7"/>
      <c r="K78" s="7"/>
      <c r="L78" s="7"/>
      <c r="M78" s="7">
        <f t="shared" si="6"/>
        <v>724.31</v>
      </c>
      <c r="N78" s="5"/>
    </row>
    <row r="79" spans="1:14" ht="39.75" customHeight="1" hidden="1">
      <c r="A79" s="78"/>
      <c r="B79" s="103"/>
      <c r="C79" s="19" t="s">
        <v>127</v>
      </c>
      <c r="D79" s="4"/>
      <c r="E79" s="4"/>
      <c r="F79" s="4"/>
      <c r="G79" s="4"/>
      <c r="H79" s="7">
        <f t="shared" si="7"/>
        <v>0</v>
      </c>
      <c r="I79" s="9"/>
      <c r="J79" s="9"/>
      <c r="K79" s="9"/>
      <c r="L79" s="9"/>
      <c r="M79" s="7">
        <f t="shared" si="6"/>
        <v>0</v>
      </c>
      <c r="N79" s="5" t="e">
        <f t="shared" si="8"/>
        <v>#DIV/0!</v>
      </c>
    </row>
    <row r="80" spans="1:14" ht="11.25" customHeight="1">
      <c r="A80" s="78"/>
      <c r="B80" s="103"/>
      <c r="C80" s="16" t="s">
        <v>74</v>
      </c>
      <c r="D80" s="4"/>
      <c r="E80" s="4"/>
      <c r="F80" s="4"/>
      <c r="G80" s="4"/>
      <c r="H80" s="7">
        <f t="shared" si="7"/>
        <v>0</v>
      </c>
      <c r="I80" s="7">
        <v>4010.66</v>
      </c>
      <c r="J80" s="9"/>
      <c r="K80" s="9"/>
      <c r="L80" s="9"/>
      <c r="M80" s="7">
        <f t="shared" si="6"/>
        <v>4010.66</v>
      </c>
      <c r="N80" s="5"/>
    </row>
    <row r="81" spans="1:14" ht="29.25" customHeight="1">
      <c r="A81" s="78"/>
      <c r="B81" s="103"/>
      <c r="C81" s="19" t="s">
        <v>243</v>
      </c>
      <c r="D81" s="4">
        <v>10000</v>
      </c>
      <c r="E81" s="4"/>
      <c r="F81" s="4"/>
      <c r="G81" s="4"/>
      <c r="H81" s="7">
        <f t="shared" si="7"/>
        <v>10000</v>
      </c>
      <c r="I81" s="7">
        <v>4000</v>
      </c>
      <c r="J81" s="9"/>
      <c r="K81" s="9"/>
      <c r="L81" s="9"/>
      <c r="M81" s="7">
        <f t="shared" si="6"/>
        <v>4000</v>
      </c>
      <c r="N81" s="5">
        <f t="shared" si="8"/>
        <v>0.4</v>
      </c>
    </row>
    <row r="82" spans="1:14" ht="50.25" customHeight="1" hidden="1">
      <c r="A82" s="78"/>
      <c r="B82" s="103"/>
      <c r="C82" s="19" t="s">
        <v>240</v>
      </c>
      <c r="D82" s="4"/>
      <c r="E82" s="4"/>
      <c r="F82" s="4"/>
      <c r="G82" s="4"/>
      <c r="H82" s="7">
        <f t="shared" si="7"/>
        <v>0</v>
      </c>
      <c r="I82" s="7"/>
      <c r="J82" s="9"/>
      <c r="K82" s="9"/>
      <c r="L82" s="9"/>
      <c r="M82" s="7">
        <f t="shared" si="6"/>
        <v>0</v>
      </c>
      <c r="N82" s="5" t="e">
        <f t="shared" si="8"/>
        <v>#DIV/0!</v>
      </c>
    </row>
    <row r="83" spans="1:14" ht="48" customHeight="1" hidden="1">
      <c r="A83" s="78"/>
      <c r="B83" s="24"/>
      <c r="C83" s="19" t="s">
        <v>269</v>
      </c>
      <c r="D83" s="4"/>
      <c r="E83" s="4"/>
      <c r="F83" s="4"/>
      <c r="G83" s="4"/>
      <c r="H83" s="7">
        <f t="shared" si="7"/>
        <v>0</v>
      </c>
      <c r="I83" s="7"/>
      <c r="J83" s="9"/>
      <c r="K83" s="9"/>
      <c r="L83" s="9"/>
      <c r="M83" s="7">
        <f t="shared" si="6"/>
        <v>0</v>
      </c>
      <c r="N83" s="5" t="e">
        <f t="shared" si="8"/>
        <v>#DIV/0!</v>
      </c>
    </row>
    <row r="84" spans="1:14" ht="39" customHeight="1" hidden="1">
      <c r="A84" s="78"/>
      <c r="B84" s="24"/>
      <c r="C84" s="16" t="s">
        <v>212</v>
      </c>
      <c r="D84" s="4"/>
      <c r="E84" s="4"/>
      <c r="F84" s="4"/>
      <c r="G84" s="4"/>
      <c r="H84" s="7">
        <f t="shared" si="7"/>
        <v>0</v>
      </c>
      <c r="I84" s="7"/>
      <c r="J84" s="9"/>
      <c r="K84" s="9"/>
      <c r="L84" s="9"/>
      <c r="M84" s="7">
        <f t="shared" si="6"/>
        <v>0</v>
      </c>
      <c r="N84" s="5" t="e">
        <f t="shared" si="8"/>
        <v>#DIV/0!</v>
      </c>
    </row>
    <row r="85" spans="1:14" ht="39" customHeight="1">
      <c r="A85" s="78"/>
      <c r="B85" s="15"/>
      <c r="C85" s="19" t="s">
        <v>121</v>
      </c>
      <c r="D85" s="4">
        <v>5410000</v>
      </c>
      <c r="E85" s="4"/>
      <c r="F85" s="4"/>
      <c r="G85" s="4"/>
      <c r="H85" s="7">
        <f t="shared" si="7"/>
        <v>5410000</v>
      </c>
      <c r="I85" s="7">
        <v>2517078.26</v>
      </c>
      <c r="J85" s="9"/>
      <c r="K85" s="9"/>
      <c r="L85" s="9"/>
      <c r="M85" s="7">
        <f t="shared" si="6"/>
        <v>2517078.26</v>
      </c>
      <c r="N85" s="5">
        <f t="shared" si="8"/>
        <v>0.4652640036968576</v>
      </c>
    </row>
    <row r="86" spans="1:14" ht="9.75">
      <c r="A86" s="78"/>
      <c r="B86" s="26" t="s">
        <v>128</v>
      </c>
      <c r="C86" s="26"/>
      <c r="D86" s="6">
        <f>SUM(D75:D85)</f>
        <v>6410000</v>
      </c>
      <c r="E86" s="6">
        <f>SUM(E75:E85)</f>
        <v>0</v>
      </c>
      <c r="F86" s="6">
        <f>SUM(F75:F85)</f>
        <v>0</v>
      </c>
      <c r="G86" s="6">
        <f>SUM(G75:G85)</f>
        <v>0</v>
      </c>
      <c r="H86" s="6">
        <f t="shared" si="7"/>
        <v>6410000</v>
      </c>
      <c r="I86" s="6">
        <f>SUM(I75:I85)</f>
        <v>2890678.4499999997</v>
      </c>
      <c r="J86" s="6">
        <f>SUM(J75:J79)</f>
        <v>0</v>
      </c>
      <c r="K86" s="6">
        <f>SUM(K75:K79)</f>
        <v>0</v>
      </c>
      <c r="L86" s="6">
        <f>SUM(L75:L79)</f>
        <v>0</v>
      </c>
      <c r="M86" s="6">
        <f t="shared" si="6"/>
        <v>2890678.4499999997</v>
      </c>
      <c r="N86" s="25">
        <f t="shared" si="8"/>
        <v>0.45096387675507016</v>
      </c>
    </row>
    <row r="87" spans="1:14" ht="9.75" customHeight="1">
      <c r="A87" s="23" t="s">
        <v>17</v>
      </c>
      <c r="B87" s="21"/>
      <c r="C87" s="21"/>
      <c r="D87" s="22">
        <f>SUM(D86,D74,D70,D65,D63,D61)</f>
        <v>6416302</v>
      </c>
      <c r="E87" s="22">
        <f>SUM(E86,E74,E70,E65,E63,E61)</f>
        <v>0</v>
      </c>
      <c r="F87" s="22">
        <f>SUM(F86,F74,F70,F65,F63,F61)</f>
        <v>0</v>
      </c>
      <c r="G87" s="22">
        <f>SUM(G86,G74,G70,G65,G63,G61)</f>
        <v>727000</v>
      </c>
      <c r="H87" s="22">
        <f t="shared" si="7"/>
        <v>7143302</v>
      </c>
      <c r="I87" s="22">
        <f>SUM(I86,I74,I70,I65,I63,I61)</f>
        <v>2897313.92</v>
      </c>
      <c r="J87" s="22">
        <f>SUM(J86,J74,J70,J65,J63,J61)</f>
        <v>431.40000000000003</v>
      </c>
      <c r="K87" s="22">
        <f>SUM(K86,K74,K70,K65,K63,K61)</f>
        <v>0</v>
      </c>
      <c r="L87" s="22">
        <f>SUM(L86,L74,L70,L65,L63,L61)</f>
        <v>263700</v>
      </c>
      <c r="M87" s="22">
        <f t="shared" si="6"/>
        <v>3161445.32</v>
      </c>
      <c r="N87" s="27">
        <f t="shared" si="8"/>
        <v>0.44257478124262417</v>
      </c>
    </row>
    <row r="88" spans="1:14" ht="46.5" customHeight="1">
      <c r="A88" s="63" t="s">
        <v>18</v>
      </c>
      <c r="B88" s="20" t="s">
        <v>19</v>
      </c>
      <c r="C88" s="15" t="s">
        <v>129</v>
      </c>
      <c r="D88" s="4"/>
      <c r="E88" s="4"/>
      <c r="F88" s="4">
        <v>1099500</v>
      </c>
      <c r="G88" s="4"/>
      <c r="H88" s="7">
        <f t="shared" si="7"/>
        <v>1099500</v>
      </c>
      <c r="I88" s="7"/>
      <c r="J88" s="7"/>
      <c r="K88" s="7">
        <v>544690</v>
      </c>
      <c r="L88" s="7"/>
      <c r="M88" s="7">
        <f t="shared" si="6"/>
        <v>544690</v>
      </c>
      <c r="N88" s="5">
        <f t="shared" si="8"/>
        <v>0.4953979081400637</v>
      </c>
    </row>
    <row r="89" spans="1:14" ht="38.25" customHeight="1">
      <c r="A89" s="78"/>
      <c r="B89" s="17"/>
      <c r="C89" s="16" t="s">
        <v>69</v>
      </c>
      <c r="D89" s="4"/>
      <c r="E89" s="4"/>
      <c r="F89" s="4"/>
      <c r="G89" s="4">
        <v>537200</v>
      </c>
      <c r="H89" s="7">
        <f t="shared" si="7"/>
        <v>537200</v>
      </c>
      <c r="I89" s="7"/>
      <c r="J89" s="7"/>
      <c r="K89" s="7"/>
      <c r="L89" s="7">
        <v>268200</v>
      </c>
      <c r="M89" s="7">
        <f t="shared" si="6"/>
        <v>268200</v>
      </c>
      <c r="N89" s="5">
        <f t="shared" si="8"/>
        <v>0.4992553983618764</v>
      </c>
    </row>
    <row r="90" spans="1:14" ht="27.75" customHeight="1">
      <c r="A90" s="78"/>
      <c r="B90" s="17"/>
      <c r="C90" s="19" t="s">
        <v>77</v>
      </c>
      <c r="D90" s="4">
        <f>61325-9225</f>
        <v>52100</v>
      </c>
      <c r="E90" s="4"/>
      <c r="F90" s="4"/>
      <c r="G90" s="4"/>
      <c r="H90" s="7">
        <f t="shared" si="7"/>
        <v>52100</v>
      </c>
      <c r="I90" s="7">
        <v>25266.29</v>
      </c>
      <c r="J90" s="7">
        <v>33621.96</v>
      </c>
      <c r="K90" s="7"/>
      <c r="L90" s="7"/>
      <c r="M90" s="7">
        <f t="shared" si="6"/>
        <v>58888.25</v>
      </c>
      <c r="N90" s="5">
        <f t="shared" si="8"/>
        <v>1.1302927063339732</v>
      </c>
    </row>
    <row r="91" spans="1:14" ht="9" customHeight="1">
      <c r="A91" s="78"/>
      <c r="B91" s="26" t="s">
        <v>130</v>
      </c>
      <c r="C91" s="26"/>
      <c r="D91" s="6">
        <f>SUM(D88:D90)</f>
        <v>52100</v>
      </c>
      <c r="E91" s="6">
        <f>SUM(E88:E90)</f>
        <v>0</v>
      </c>
      <c r="F91" s="6">
        <f>SUM(F88:F90)</f>
        <v>1099500</v>
      </c>
      <c r="G91" s="6">
        <f>SUM(G88:G90)</f>
        <v>537200</v>
      </c>
      <c r="H91" s="6">
        <f t="shared" si="7"/>
        <v>1688800</v>
      </c>
      <c r="I91" s="6">
        <f>SUM(I88:I90)</f>
        <v>25266.29</v>
      </c>
      <c r="J91" s="6">
        <f>SUM(J88:J90)</f>
        <v>33621.96</v>
      </c>
      <c r="K91" s="6">
        <f>SUM(K88:K90)</f>
        <v>544690</v>
      </c>
      <c r="L91" s="6">
        <f>SUM(L88:L90)</f>
        <v>268200</v>
      </c>
      <c r="M91" s="6">
        <f t="shared" si="6"/>
        <v>871778.25</v>
      </c>
      <c r="N91" s="25">
        <f t="shared" si="8"/>
        <v>0.5162116591662719</v>
      </c>
    </row>
    <row r="92" spans="1:14" s="10" customFormat="1" ht="29.25" customHeight="1">
      <c r="A92" s="79"/>
      <c r="B92" s="102" t="s">
        <v>20</v>
      </c>
      <c r="C92" s="16" t="s">
        <v>242</v>
      </c>
      <c r="D92" s="13"/>
      <c r="E92" s="13"/>
      <c r="F92" s="13"/>
      <c r="G92" s="13"/>
      <c r="H92" s="7">
        <f t="shared" si="7"/>
        <v>0</v>
      </c>
      <c r="I92" s="7">
        <v>364.31</v>
      </c>
      <c r="J92" s="13"/>
      <c r="K92" s="13"/>
      <c r="L92" s="13"/>
      <c r="M92" s="7">
        <f t="shared" si="6"/>
        <v>364.31</v>
      </c>
      <c r="N92" s="5"/>
    </row>
    <row r="93" spans="1:14" ht="9.75" customHeight="1">
      <c r="A93" s="78"/>
      <c r="B93" s="103"/>
      <c r="C93" s="15" t="s">
        <v>82</v>
      </c>
      <c r="D93" s="4">
        <v>26000</v>
      </c>
      <c r="E93" s="4">
        <v>35000</v>
      </c>
      <c r="F93" s="4"/>
      <c r="G93" s="4"/>
      <c r="H93" s="7">
        <f t="shared" si="7"/>
        <v>61000</v>
      </c>
      <c r="I93" s="7">
        <v>11582.5</v>
      </c>
      <c r="J93" s="7">
        <v>94139</v>
      </c>
      <c r="K93" s="7"/>
      <c r="L93" s="7"/>
      <c r="M93" s="7">
        <f t="shared" si="6"/>
        <v>105721.5</v>
      </c>
      <c r="N93" s="5">
        <f t="shared" si="8"/>
        <v>1.733139344262295</v>
      </c>
    </row>
    <row r="94" spans="1:14" ht="11.25" customHeight="1">
      <c r="A94" s="78"/>
      <c r="B94" s="117"/>
      <c r="C94" s="16" t="s">
        <v>71</v>
      </c>
      <c r="D94" s="4">
        <v>420000</v>
      </c>
      <c r="E94" s="4">
        <v>23000</v>
      </c>
      <c r="F94" s="4"/>
      <c r="G94" s="4"/>
      <c r="H94" s="7">
        <f t="shared" si="7"/>
        <v>443000</v>
      </c>
      <c r="I94" s="7">
        <v>328083.67</v>
      </c>
      <c r="J94" s="7">
        <v>24630</v>
      </c>
      <c r="K94" s="7"/>
      <c r="L94" s="7"/>
      <c r="M94" s="7">
        <f t="shared" si="6"/>
        <v>352713.67</v>
      </c>
      <c r="N94" s="5">
        <f t="shared" si="8"/>
        <v>0.7961933860045146</v>
      </c>
    </row>
    <row r="95" spans="1:14" ht="48" customHeight="1">
      <c r="A95" s="78"/>
      <c r="B95" s="17"/>
      <c r="C95" s="16" t="s">
        <v>104</v>
      </c>
      <c r="D95" s="4"/>
      <c r="E95" s="4"/>
      <c r="F95" s="4"/>
      <c r="G95" s="4"/>
      <c r="H95" s="7">
        <f t="shared" si="7"/>
        <v>0</v>
      </c>
      <c r="I95" s="7">
        <v>162226.11</v>
      </c>
      <c r="J95" s="7"/>
      <c r="K95" s="7"/>
      <c r="L95" s="7"/>
      <c r="M95" s="7">
        <f t="shared" si="6"/>
        <v>162226.11</v>
      </c>
      <c r="N95" s="5"/>
    </row>
    <row r="96" spans="1:14" ht="19.5">
      <c r="A96" s="78"/>
      <c r="B96" s="17"/>
      <c r="C96" s="16" t="s">
        <v>161</v>
      </c>
      <c r="D96" s="4"/>
      <c r="E96" s="4"/>
      <c r="F96" s="4"/>
      <c r="G96" s="4"/>
      <c r="H96" s="7">
        <f t="shared" si="7"/>
        <v>0</v>
      </c>
      <c r="I96" s="7">
        <v>5500</v>
      </c>
      <c r="J96" s="7"/>
      <c r="K96" s="7"/>
      <c r="L96" s="7"/>
      <c r="M96" s="7">
        <f t="shared" si="6"/>
        <v>5500</v>
      </c>
      <c r="N96" s="5"/>
    </row>
    <row r="97" spans="1:14" ht="9.75" customHeight="1">
      <c r="A97" s="78"/>
      <c r="B97" s="17"/>
      <c r="C97" s="16" t="s">
        <v>72</v>
      </c>
      <c r="D97" s="4"/>
      <c r="E97" s="4"/>
      <c r="F97" s="4"/>
      <c r="G97" s="4"/>
      <c r="H97" s="7">
        <f t="shared" si="7"/>
        <v>0</v>
      </c>
      <c r="I97" s="7">
        <v>38027.45</v>
      </c>
      <c r="J97" s="7">
        <v>16801.35</v>
      </c>
      <c r="K97" s="7"/>
      <c r="L97" s="7"/>
      <c r="M97" s="7">
        <f t="shared" si="6"/>
        <v>54828.799999999996</v>
      </c>
      <c r="N97" s="5"/>
    </row>
    <row r="98" spans="1:14" ht="18.75" customHeight="1">
      <c r="A98" s="78"/>
      <c r="B98" s="17"/>
      <c r="C98" s="16" t="s">
        <v>204</v>
      </c>
      <c r="D98" s="4"/>
      <c r="E98" s="4"/>
      <c r="F98" s="4"/>
      <c r="G98" s="4"/>
      <c r="H98" s="7">
        <f t="shared" si="7"/>
        <v>0</v>
      </c>
      <c r="I98" s="7">
        <v>50</v>
      </c>
      <c r="J98" s="7"/>
      <c r="K98" s="7"/>
      <c r="L98" s="7"/>
      <c r="M98" s="7">
        <f t="shared" si="6"/>
        <v>50</v>
      </c>
      <c r="N98" s="5"/>
    </row>
    <row r="99" spans="1:14" ht="9.75" customHeight="1">
      <c r="A99" s="78"/>
      <c r="B99" s="17"/>
      <c r="C99" s="16" t="s">
        <v>74</v>
      </c>
      <c r="D99" s="4"/>
      <c r="E99" s="4"/>
      <c r="F99" s="4"/>
      <c r="G99" s="4"/>
      <c r="H99" s="7">
        <f t="shared" si="7"/>
        <v>0</v>
      </c>
      <c r="I99" s="7">
        <v>145259.18</v>
      </c>
      <c r="J99" s="7"/>
      <c r="K99" s="7"/>
      <c r="L99" s="7"/>
      <c r="M99" s="7">
        <f t="shared" si="6"/>
        <v>145259.18</v>
      </c>
      <c r="N99" s="5"/>
    </row>
    <row r="100" spans="1:14" ht="27.75" customHeight="1">
      <c r="A100" s="78"/>
      <c r="B100" s="17"/>
      <c r="C100" s="19" t="s">
        <v>83</v>
      </c>
      <c r="D100" s="4"/>
      <c r="E100" s="4">
        <v>12500</v>
      </c>
      <c r="F100" s="4"/>
      <c r="G100" s="4"/>
      <c r="H100" s="7">
        <f t="shared" si="7"/>
        <v>12500</v>
      </c>
      <c r="I100" s="9"/>
      <c r="J100" s="7">
        <v>8788.01</v>
      </c>
      <c r="K100" s="9"/>
      <c r="L100" s="9"/>
      <c r="M100" s="7">
        <f t="shared" si="6"/>
        <v>8788.01</v>
      </c>
      <c r="N100" s="5">
        <f t="shared" si="8"/>
        <v>0.7030408</v>
      </c>
    </row>
    <row r="101" spans="1:14" ht="18" customHeight="1" hidden="1">
      <c r="A101" s="78"/>
      <c r="B101" s="15"/>
      <c r="C101" s="19" t="s">
        <v>243</v>
      </c>
      <c r="D101" s="4"/>
      <c r="E101" s="4"/>
      <c r="F101" s="4"/>
      <c r="G101" s="4"/>
      <c r="H101" s="7">
        <f t="shared" si="7"/>
        <v>0</v>
      </c>
      <c r="I101" s="7"/>
      <c r="J101" s="7"/>
      <c r="K101" s="9"/>
      <c r="L101" s="9"/>
      <c r="M101" s="7">
        <f t="shared" si="6"/>
        <v>0</v>
      </c>
      <c r="N101" s="5" t="e">
        <f t="shared" si="8"/>
        <v>#DIV/0!</v>
      </c>
    </row>
    <row r="102" spans="1:14" ht="10.5" customHeight="1">
      <c r="A102" s="78"/>
      <c r="B102" s="30" t="s">
        <v>131</v>
      </c>
      <c r="C102" s="26"/>
      <c r="D102" s="6">
        <f>SUM(D92:D101)</f>
        <v>446000</v>
      </c>
      <c r="E102" s="6">
        <f>SUM(E92:E101)</f>
        <v>70500</v>
      </c>
      <c r="F102" s="6">
        <f>SUM(F92:F101)</f>
        <v>0</v>
      </c>
      <c r="G102" s="6">
        <f>SUM(G92:G101)</f>
        <v>0</v>
      </c>
      <c r="H102" s="6">
        <f t="shared" si="7"/>
        <v>516500</v>
      </c>
      <c r="I102" s="6">
        <f>SUM(I92:I101)</f>
        <v>691093.22</v>
      </c>
      <c r="J102" s="6">
        <f>SUM(J92:J101)</f>
        <v>144358.36000000002</v>
      </c>
      <c r="K102" s="6">
        <f>SUM(K92:K101)</f>
        <v>0</v>
      </c>
      <c r="L102" s="6">
        <f>SUM(L92:L101)</f>
        <v>0</v>
      </c>
      <c r="M102" s="6">
        <f t="shared" si="6"/>
        <v>835451.58</v>
      </c>
      <c r="N102" s="25">
        <f t="shared" si="8"/>
        <v>1.6175248402710551</v>
      </c>
    </row>
    <row r="103" spans="1:14" ht="38.25" customHeight="1">
      <c r="A103" s="78"/>
      <c r="B103" s="20" t="s">
        <v>21</v>
      </c>
      <c r="C103" s="24" t="s">
        <v>69</v>
      </c>
      <c r="D103" s="4"/>
      <c r="E103" s="4"/>
      <c r="F103" s="4"/>
      <c r="G103" s="4">
        <v>97200</v>
      </c>
      <c r="H103" s="7">
        <f aca="true" t="shared" si="9" ref="H103:H134">SUM(D103:G103)</f>
        <v>97200</v>
      </c>
      <c r="I103" s="7"/>
      <c r="J103" s="7"/>
      <c r="K103" s="7"/>
      <c r="L103" s="7">
        <v>97200</v>
      </c>
      <c r="M103" s="7">
        <f t="shared" si="6"/>
        <v>97200</v>
      </c>
      <c r="N103" s="5">
        <f aca="true" t="shared" si="10" ref="N103:N117">M103/H103</f>
        <v>1</v>
      </c>
    </row>
    <row r="104" spans="1:14" ht="10.5" customHeight="1">
      <c r="A104" s="78"/>
      <c r="B104" s="30" t="s">
        <v>132</v>
      </c>
      <c r="C104" s="26"/>
      <c r="D104" s="6">
        <f>SUM(D103)</f>
        <v>0</v>
      </c>
      <c r="E104" s="6">
        <f>SUM(E103)</f>
        <v>0</v>
      </c>
      <c r="F104" s="6">
        <f>SUM(F103)</f>
        <v>0</v>
      </c>
      <c r="G104" s="6">
        <f>SUM(G103)</f>
        <v>97200</v>
      </c>
      <c r="H104" s="6">
        <f t="shared" si="9"/>
        <v>97200</v>
      </c>
      <c r="I104" s="6">
        <f>SUM(I103)</f>
        <v>0</v>
      </c>
      <c r="J104" s="6">
        <f>SUM(J103)</f>
        <v>0</v>
      </c>
      <c r="K104" s="6">
        <f>SUM(K103)</f>
        <v>0</v>
      </c>
      <c r="L104" s="6">
        <f>SUM(L103)</f>
        <v>97200</v>
      </c>
      <c r="M104" s="6">
        <f>SUM(M103)</f>
        <v>97200</v>
      </c>
      <c r="N104" s="25">
        <f t="shared" si="10"/>
        <v>1</v>
      </c>
    </row>
    <row r="105" spans="1:14" s="10" customFormat="1" ht="9.75" hidden="1">
      <c r="A105" s="79"/>
      <c r="B105" s="102" t="s">
        <v>22</v>
      </c>
      <c r="C105" s="16" t="s">
        <v>72</v>
      </c>
      <c r="D105" s="13"/>
      <c r="E105" s="13"/>
      <c r="F105" s="13"/>
      <c r="G105" s="13"/>
      <c r="H105" s="7">
        <f t="shared" si="9"/>
        <v>0</v>
      </c>
      <c r="I105" s="7"/>
      <c r="J105" s="13"/>
      <c r="K105" s="13"/>
      <c r="L105" s="13"/>
      <c r="M105" s="7">
        <f aca="true" t="shared" si="11" ref="M105:M111">SUM(I105:L105)</f>
        <v>0</v>
      </c>
      <c r="N105" s="5" t="e">
        <f t="shared" si="10"/>
        <v>#DIV/0!</v>
      </c>
    </row>
    <row r="106" spans="1:14" s="10" customFormat="1" ht="9.75" hidden="1">
      <c r="A106" s="79"/>
      <c r="B106" s="103"/>
      <c r="C106" s="16" t="s">
        <v>74</v>
      </c>
      <c r="D106" s="13"/>
      <c r="E106" s="13"/>
      <c r="F106" s="13"/>
      <c r="G106" s="13"/>
      <c r="H106" s="7">
        <f t="shared" si="9"/>
        <v>0</v>
      </c>
      <c r="I106" s="7"/>
      <c r="J106" s="13"/>
      <c r="K106" s="13"/>
      <c r="L106" s="13"/>
      <c r="M106" s="7">
        <f t="shared" si="11"/>
        <v>0</v>
      </c>
      <c r="N106" s="5" t="e">
        <f t="shared" si="10"/>
        <v>#DIV/0!</v>
      </c>
    </row>
    <row r="107" spans="1:14" s="10" customFormat="1" ht="19.5" hidden="1">
      <c r="A107" s="79"/>
      <c r="B107" s="103"/>
      <c r="C107" s="16" t="s">
        <v>200</v>
      </c>
      <c r="D107" s="7"/>
      <c r="E107" s="13"/>
      <c r="F107" s="13"/>
      <c r="G107" s="13"/>
      <c r="H107" s="7">
        <f t="shared" si="9"/>
        <v>0</v>
      </c>
      <c r="I107" s="7"/>
      <c r="J107" s="13"/>
      <c r="K107" s="13"/>
      <c r="L107" s="13"/>
      <c r="M107" s="7">
        <f t="shared" si="11"/>
        <v>0</v>
      </c>
      <c r="N107" s="5" t="e">
        <f t="shared" si="10"/>
        <v>#DIV/0!</v>
      </c>
    </row>
    <row r="108" spans="1:14" ht="39.75" customHeight="1">
      <c r="A108" s="78"/>
      <c r="B108" s="104"/>
      <c r="C108" s="16" t="s">
        <v>70</v>
      </c>
      <c r="D108" s="4">
        <v>10000</v>
      </c>
      <c r="E108" s="4"/>
      <c r="F108" s="4"/>
      <c r="G108" s="4"/>
      <c r="H108" s="7">
        <f t="shared" si="9"/>
        <v>10000</v>
      </c>
      <c r="I108" s="7">
        <v>-26.55</v>
      </c>
      <c r="J108" s="9"/>
      <c r="K108" s="9"/>
      <c r="L108" s="9"/>
      <c r="M108" s="7">
        <f t="shared" si="11"/>
        <v>-26.55</v>
      </c>
      <c r="N108" s="5">
        <f t="shared" si="10"/>
        <v>-0.0026550000000000002</v>
      </c>
    </row>
    <row r="109" spans="1:14" ht="9.75" customHeight="1">
      <c r="A109" s="78"/>
      <c r="B109" s="34" t="s">
        <v>133</v>
      </c>
      <c r="C109" s="31"/>
      <c r="D109" s="6">
        <f>SUM(D105:D108)</f>
        <v>10000</v>
      </c>
      <c r="E109" s="6">
        <f>SUM(E105:E108)</f>
        <v>0</v>
      </c>
      <c r="F109" s="6">
        <f>SUM(F105:F108)</f>
        <v>0</v>
      </c>
      <c r="G109" s="6">
        <f>SUM(G105:G108)</f>
        <v>0</v>
      </c>
      <c r="H109" s="6">
        <f t="shared" si="9"/>
        <v>10000</v>
      </c>
      <c r="I109" s="6">
        <f>SUM(I105:I108)</f>
        <v>-26.55</v>
      </c>
      <c r="J109" s="6">
        <f>SUM(J105:J108)</f>
        <v>0</v>
      </c>
      <c r="K109" s="6">
        <f>SUM(K105:K108)</f>
        <v>0</v>
      </c>
      <c r="L109" s="6">
        <f>SUM(L105:L108)</f>
        <v>0</v>
      </c>
      <c r="M109" s="6">
        <f t="shared" si="11"/>
        <v>-26.55</v>
      </c>
      <c r="N109" s="25">
        <f t="shared" si="10"/>
        <v>-0.0026550000000000002</v>
      </c>
    </row>
    <row r="110" spans="1:14" ht="9.75" customHeight="1">
      <c r="A110" s="32" t="s">
        <v>23</v>
      </c>
      <c r="B110" s="33"/>
      <c r="C110" s="21"/>
      <c r="D110" s="22">
        <f>SUM(D109,D104,D102,D91)</f>
        <v>508100</v>
      </c>
      <c r="E110" s="22">
        <f>SUM(E109,E104,E102,E91)</f>
        <v>70500</v>
      </c>
      <c r="F110" s="22">
        <f>SUM(F109,F104,F102,F91)</f>
        <v>1099500</v>
      </c>
      <c r="G110" s="22">
        <f>SUM(G109,G104,G102,G91)</f>
        <v>634400</v>
      </c>
      <c r="H110" s="22">
        <f t="shared" si="9"/>
        <v>2312500</v>
      </c>
      <c r="I110" s="22">
        <f>SUM(I109,I104,I102,I91)</f>
        <v>716332.96</v>
      </c>
      <c r="J110" s="22">
        <f>SUM(J109,J104,J102,J91)</f>
        <v>177980.32</v>
      </c>
      <c r="K110" s="22">
        <f>SUM(K109,K104,K102,K91)</f>
        <v>544690</v>
      </c>
      <c r="L110" s="22">
        <f>SUM(L109,L104,L102,L91)</f>
        <v>365400</v>
      </c>
      <c r="M110" s="22">
        <f t="shared" si="11"/>
        <v>1804403.28</v>
      </c>
      <c r="N110" s="27">
        <f t="shared" si="10"/>
        <v>0.7802824994594595</v>
      </c>
    </row>
    <row r="111" spans="1:14" ht="99" customHeight="1">
      <c r="A111" s="105" t="s">
        <v>24</v>
      </c>
      <c r="B111" s="41" t="s">
        <v>25</v>
      </c>
      <c r="C111" s="24" t="s">
        <v>129</v>
      </c>
      <c r="D111" s="4"/>
      <c r="E111" s="4"/>
      <c r="F111" s="4">
        <f>38340-2150</f>
        <v>36190</v>
      </c>
      <c r="G111" s="4"/>
      <c r="H111" s="7">
        <f t="shared" si="9"/>
        <v>36190</v>
      </c>
      <c r="I111" s="7"/>
      <c r="J111" s="7"/>
      <c r="K111" s="7">
        <v>18096</v>
      </c>
      <c r="L111" s="7"/>
      <c r="M111" s="7">
        <f t="shared" si="11"/>
        <v>18096</v>
      </c>
      <c r="N111" s="5">
        <f t="shared" si="10"/>
        <v>0.5000276319425255</v>
      </c>
    </row>
    <row r="112" spans="1:14" ht="17.25" customHeight="1">
      <c r="A112" s="106"/>
      <c r="B112" s="133" t="s">
        <v>134</v>
      </c>
      <c r="C112" s="134"/>
      <c r="D112" s="6">
        <f>SUM(D111)</f>
        <v>0</v>
      </c>
      <c r="E112" s="6">
        <f>SUM(E111)</f>
        <v>0</v>
      </c>
      <c r="F112" s="6">
        <f>SUM(F111)</f>
        <v>36190</v>
      </c>
      <c r="G112" s="6">
        <f>SUM(G111)</f>
        <v>0</v>
      </c>
      <c r="H112" s="6">
        <f t="shared" si="9"/>
        <v>36190</v>
      </c>
      <c r="I112" s="6">
        <f>SUM(I111)</f>
        <v>0</v>
      </c>
      <c r="J112" s="6">
        <f>SUM(J111)</f>
        <v>0</v>
      </c>
      <c r="K112" s="6">
        <f>SUM(K111)</f>
        <v>18096</v>
      </c>
      <c r="L112" s="6">
        <f>SUM(L111)</f>
        <v>0</v>
      </c>
      <c r="M112" s="6">
        <f>SUM(M111)</f>
        <v>18096</v>
      </c>
      <c r="N112" s="25">
        <f t="shared" si="10"/>
        <v>0.5000276319425255</v>
      </c>
    </row>
    <row r="113" spans="1:14" s="10" customFormat="1" ht="49.5" customHeight="1" hidden="1">
      <c r="A113" s="106"/>
      <c r="B113" s="16" t="s">
        <v>275</v>
      </c>
      <c r="C113" s="24" t="s">
        <v>129</v>
      </c>
      <c r="D113" s="13"/>
      <c r="E113" s="13"/>
      <c r="F113" s="13"/>
      <c r="G113" s="13"/>
      <c r="H113" s="7">
        <f t="shared" si="9"/>
        <v>0</v>
      </c>
      <c r="I113" s="13"/>
      <c r="J113" s="13"/>
      <c r="K113" s="13"/>
      <c r="L113" s="13"/>
      <c r="M113" s="7">
        <f>SUM(I113:L113)</f>
        <v>0</v>
      </c>
      <c r="N113" s="5" t="e">
        <f t="shared" si="10"/>
        <v>#DIV/0!</v>
      </c>
    </row>
    <row r="114" spans="1:14" s="59" customFormat="1" ht="9" customHeight="1" hidden="1">
      <c r="A114" s="63"/>
      <c r="B114" s="34" t="s">
        <v>275</v>
      </c>
      <c r="C114" s="46"/>
      <c r="D114" s="6">
        <f>SUM(D113)</f>
        <v>0</v>
      </c>
      <c r="E114" s="6">
        <f>SUM(E113)</f>
        <v>0</v>
      </c>
      <c r="F114" s="6">
        <f>SUM(F113)</f>
        <v>0</v>
      </c>
      <c r="G114" s="6">
        <f>SUM(G113)</f>
        <v>0</v>
      </c>
      <c r="H114" s="6">
        <f t="shared" si="9"/>
        <v>0</v>
      </c>
      <c r="I114" s="6">
        <f>SUM(I113)</f>
        <v>0</v>
      </c>
      <c r="J114" s="6">
        <f>SUM(J113)</f>
        <v>0</v>
      </c>
      <c r="K114" s="6">
        <f>SUM(K113)</f>
        <v>0</v>
      </c>
      <c r="L114" s="6">
        <f>SUM(L113)</f>
        <v>0</v>
      </c>
      <c r="M114" s="6">
        <f>SUM(M113)</f>
        <v>0</v>
      </c>
      <c r="N114" s="25" t="e">
        <f t="shared" si="10"/>
        <v>#DIV/0!</v>
      </c>
    </row>
    <row r="115" spans="1:14" s="10" customFormat="1" ht="40.5" customHeight="1" hidden="1">
      <c r="A115" s="63"/>
      <c r="B115" s="16" t="s">
        <v>270</v>
      </c>
      <c r="C115" s="24" t="s">
        <v>129</v>
      </c>
      <c r="D115" s="13"/>
      <c r="E115" s="13"/>
      <c r="F115" s="13"/>
      <c r="G115" s="13"/>
      <c r="H115" s="7">
        <f t="shared" si="9"/>
        <v>0</v>
      </c>
      <c r="I115" s="13"/>
      <c r="J115" s="13"/>
      <c r="K115" s="13"/>
      <c r="L115" s="13"/>
      <c r="M115" s="7">
        <f>SUM(I115:L115)</f>
        <v>0</v>
      </c>
      <c r="N115" s="5" t="e">
        <f t="shared" si="10"/>
        <v>#DIV/0!</v>
      </c>
    </row>
    <row r="116" spans="1:14" s="59" customFormat="1" ht="12" customHeight="1" hidden="1">
      <c r="A116" s="62"/>
      <c r="B116" s="48" t="s">
        <v>271</v>
      </c>
      <c r="C116" s="31"/>
      <c r="D116" s="6">
        <f>SUM(D115)</f>
        <v>0</v>
      </c>
      <c r="E116" s="6">
        <f>SUM(E115)</f>
        <v>0</v>
      </c>
      <c r="F116" s="6">
        <f>SUM(F115)</f>
        <v>0</v>
      </c>
      <c r="G116" s="6">
        <f>SUM(G115)</f>
        <v>0</v>
      </c>
      <c r="H116" s="6">
        <f t="shared" si="9"/>
        <v>0</v>
      </c>
      <c r="I116" s="6">
        <f>SUM(I115)</f>
        <v>0</v>
      </c>
      <c r="J116" s="6">
        <f>SUM(J115)</f>
        <v>0</v>
      </c>
      <c r="K116" s="6">
        <f>SUM(K115)</f>
        <v>0</v>
      </c>
      <c r="L116" s="6">
        <f>SUM(L115)</f>
        <v>0</v>
      </c>
      <c r="M116" s="6">
        <f>SUM(M115)</f>
        <v>0</v>
      </c>
      <c r="N116" s="25" t="e">
        <f t="shared" si="10"/>
        <v>#DIV/0!</v>
      </c>
    </row>
    <row r="117" spans="1:14" ht="13.5" customHeight="1">
      <c r="A117" s="32" t="s">
        <v>26</v>
      </c>
      <c r="B117" s="33"/>
      <c r="C117" s="21"/>
      <c r="D117" s="22">
        <f>SUM(D116,D114,D112)</f>
        <v>0</v>
      </c>
      <c r="E117" s="22">
        <f>SUM(E116,E114,E112)</f>
        <v>0</v>
      </c>
      <c r="F117" s="22">
        <f>SUM(F116,F114,F112)</f>
        <v>36190</v>
      </c>
      <c r="G117" s="22">
        <f>SUM(G116,G114,G112)</f>
        <v>0</v>
      </c>
      <c r="H117" s="22">
        <f t="shared" si="9"/>
        <v>36190</v>
      </c>
      <c r="I117" s="22">
        <f>SUM(I112,I114,I116)</f>
        <v>0</v>
      </c>
      <c r="J117" s="22">
        <f>SUM(J112,J114,J116)</f>
        <v>0</v>
      </c>
      <c r="K117" s="22">
        <f>SUM(K112,K114,K116)</f>
        <v>18096</v>
      </c>
      <c r="L117" s="22">
        <f>SUM(L112,L114,L116)</f>
        <v>0</v>
      </c>
      <c r="M117" s="22">
        <f>SUM(M112,M114,M116)</f>
        <v>18096</v>
      </c>
      <c r="N117" s="27">
        <f t="shared" si="10"/>
        <v>0.5000276319425255</v>
      </c>
    </row>
    <row r="118" spans="1:14" s="10" customFormat="1" ht="11.25" customHeight="1">
      <c r="A118" s="122" t="s">
        <v>27</v>
      </c>
      <c r="B118" s="114" t="s">
        <v>28</v>
      </c>
      <c r="C118" s="16" t="s">
        <v>72</v>
      </c>
      <c r="D118" s="43"/>
      <c r="E118" s="43"/>
      <c r="F118" s="43"/>
      <c r="G118" s="43"/>
      <c r="H118" s="7">
        <f t="shared" si="9"/>
        <v>0</v>
      </c>
      <c r="I118" s="43"/>
      <c r="J118" s="7">
        <v>3914.64</v>
      </c>
      <c r="K118" s="43"/>
      <c r="L118" s="43"/>
      <c r="M118" s="7">
        <f aca="true" t="shared" si="12" ref="M118:M149">SUM(I118:L118)</f>
        <v>3914.64</v>
      </c>
      <c r="N118" s="5"/>
    </row>
    <row r="119" spans="1:14" ht="39" customHeight="1">
      <c r="A119" s="123"/>
      <c r="B119" s="114"/>
      <c r="C119" s="15" t="s">
        <v>69</v>
      </c>
      <c r="D119" s="4"/>
      <c r="E119" s="4"/>
      <c r="F119" s="4"/>
      <c r="G119" s="4">
        <f>8195000-189000</f>
        <v>8006000</v>
      </c>
      <c r="H119" s="7">
        <f t="shared" si="9"/>
        <v>8006000</v>
      </c>
      <c r="I119" s="7"/>
      <c r="J119" s="7"/>
      <c r="K119" s="7"/>
      <c r="L119" s="7">
        <v>4905129</v>
      </c>
      <c r="M119" s="7">
        <f t="shared" si="12"/>
        <v>4905129</v>
      </c>
      <c r="N119" s="5">
        <f aca="true" t="shared" si="13" ref="N119:N150">M119/H119</f>
        <v>0.6126816137896578</v>
      </c>
    </row>
    <row r="120" spans="1:14" ht="29.25" customHeight="1">
      <c r="A120" s="123"/>
      <c r="B120" s="114"/>
      <c r="C120" s="16" t="s">
        <v>77</v>
      </c>
      <c r="D120" s="4"/>
      <c r="E120" s="4">
        <f>850+150</f>
        <v>1000</v>
      </c>
      <c r="F120" s="4"/>
      <c r="G120" s="4"/>
      <c r="H120" s="7">
        <f t="shared" si="9"/>
        <v>1000</v>
      </c>
      <c r="I120" s="9"/>
      <c r="J120" s="7">
        <v>594.98</v>
      </c>
      <c r="K120" s="9"/>
      <c r="L120" s="9"/>
      <c r="M120" s="7">
        <f t="shared" si="12"/>
        <v>594.98</v>
      </c>
      <c r="N120" s="5">
        <f t="shared" si="13"/>
        <v>0.5949800000000001</v>
      </c>
    </row>
    <row r="121" spans="1:14" ht="48.75" customHeight="1">
      <c r="A121" s="123"/>
      <c r="B121" s="114"/>
      <c r="C121" s="19" t="s">
        <v>135</v>
      </c>
      <c r="D121" s="4"/>
      <c r="E121" s="4"/>
      <c r="F121" s="4"/>
      <c r="G121" s="4">
        <f>300000+30000</f>
        <v>330000</v>
      </c>
      <c r="H121" s="7">
        <f t="shared" si="9"/>
        <v>330000</v>
      </c>
      <c r="I121" s="7"/>
      <c r="J121" s="7"/>
      <c r="K121" s="7"/>
      <c r="L121" s="7">
        <v>83170</v>
      </c>
      <c r="M121" s="7">
        <f t="shared" si="12"/>
        <v>83170</v>
      </c>
      <c r="N121" s="5">
        <f t="shared" si="13"/>
        <v>0.25203030303030305</v>
      </c>
    </row>
    <row r="122" spans="1:14" ht="9.75">
      <c r="A122" s="123"/>
      <c r="B122" s="30" t="s">
        <v>136</v>
      </c>
      <c r="C122" s="26"/>
      <c r="D122" s="6">
        <f>SUM(D118:D121)</f>
        <v>0</v>
      </c>
      <c r="E122" s="6">
        <f>SUM(E118:E121)</f>
        <v>1000</v>
      </c>
      <c r="F122" s="6">
        <f>SUM(F118:F121)</f>
        <v>0</v>
      </c>
      <c r="G122" s="6">
        <f>SUM(G118:G121)</f>
        <v>8336000</v>
      </c>
      <c r="H122" s="6">
        <f t="shared" si="9"/>
        <v>8337000</v>
      </c>
      <c r="I122" s="6">
        <f>SUM(I118:I121)</f>
        <v>0</v>
      </c>
      <c r="J122" s="6">
        <f>SUM(J118:J121)</f>
        <v>4509.62</v>
      </c>
      <c r="K122" s="6">
        <f>SUM(K118:K121)</f>
        <v>0</v>
      </c>
      <c r="L122" s="6">
        <f>SUM(L118:L121)</f>
        <v>4988299</v>
      </c>
      <c r="M122" s="6">
        <f t="shared" si="12"/>
        <v>4992808.62</v>
      </c>
      <c r="N122" s="25">
        <f t="shared" si="13"/>
        <v>0.5988735300467795</v>
      </c>
    </row>
    <row r="123" spans="1:14" ht="21.75" customHeight="1">
      <c r="A123" s="123"/>
      <c r="B123" s="102" t="s">
        <v>58</v>
      </c>
      <c r="C123" s="24" t="s">
        <v>85</v>
      </c>
      <c r="D123" s="4">
        <v>50000</v>
      </c>
      <c r="E123" s="4"/>
      <c r="F123" s="4"/>
      <c r="G123" s="4"/>
      <c r="H123" s="7">
        <f t="shared" si="9"/>
        <v>50000</v>
      </c>
      <c r="I123" s="7">
        <v>51157.55</v>
      </c>
      <c r="J123" s="7"/>
      <c r="K123" s="7"/>
      <c r="L123" s="7"/>
      <c r="M123" s="7">
        <f t="shared" si="12"/>
        <v>51157.55</v>
      </c>
      <c r="N123" s="5">
        <f t="shared" si="13"/>
        <v>1.0231510000000001</v>
      </c>
    </row>
    <row r="124" spans="1:14" ht="11.25" customHeight="1">
      <c r="A124" s="123"/>
      <c r="B124" s="104"/>
      <c r="C124" s="16" t="s">
        <v>71</v>
      </c>
      <c r="D124" s="4"/>
      <c r="E124" s="4"/>
      <c r="F124" s="4"/>
      <c r="G124" s="4"/>
      <c r="H124" s="7">
        <f t="shared" si="9"/>
        <v>0</v>
      </c>
      <c r="I124" s="7">
        <v>17.2</v>
      </c>
      <c r="J124" s="7"/>
      <c r="K124" s="7"/>
      <c r="L124" s="7"/>
      <c r="M124" s="7">
        <f t="shared" si="12"/>
        <v>17.2</v>
      </c>
      <c r="N124" s="5"/>
    </row>
    <row r="125" spans="1:14" ht="9" customHeight="1">
      <c r="A125" s="136"/>
      <c r="B125" s="34" t="s">
        <v>137</v>
      </c>
      <c r="C125" s="31"/>
      <c r="D125" s="6">
        <f>SUM(D123:D124)</f>
        <v>50000</v>
      </c>
      <c r="E125" s="6">
        <f>SUM(E123:E124)</f>
        <v>0</v>
      </c>
      <c r="F125" s="6">
        <f>SUM(F123:F124)</f>
        <v>0</v>
      </c>
      <c r="G125" s="6">
        <f>SUM(G123:G124)</f>
        <v>0</v>
      </c>
      <c r="H125" s="6">
        <f t="shared" si="9"/>
        <v>50000</v>
      </c>
      <c r="I125" s="6">
        <f>SUM(I123:I124)</f>
        <v>51174.75</v>
      </c>
      <c r="J125" s="6">
        <f>SUM(J123:J124)</f>
        <v>0</v>
      </c>
      <c r="K125" s="6">
        <f>SUM(K123:K124)</f>
        <v>0</v>
      </c>
      <c r="L125" s="6">
        <f>SUM(L123:L124)</f>
        <v>0</v>
      </c>
      <c r="M125" s="6">
        <f t="shared" si="12"/>
        <v>51174.75</v>
      </c>
      <c r="N125" s="25">
        <f t="shared" si="13"/>
        <v>1.023495</v>
      </c>
    </row>
    <row r="126" spans="1:14" ht="11.25">
      <c r="A126" s="32" t="s">
        <v>29</v>
      </c>
      <c r="B126" s="33"/>
      <c r="C126" s="21"/>
      <c r="D126" s="22">
        <f>SUM(D125,D122)</f>
        <v>50000</v>
      </c>
      <c r="E126" s="22">
        <f>SUM(E125,E122)</f>
        <v>1000</v>
      </c>
      <c r="F126" s="22">
        <f>SUM(F125,F122)</f>
        <v>0</v>
      </c>
      <c r="G126" s="22">
        <f>SUM(G125,G122)</f>
        <v>8336000</v>
      </c>
      <c r="H126" s="22">
        <f t="shared" si="9"/>
        <v>8387000</v>
      </c>
      <c r="I126" s="22">
        <f>SUM(I125,I122)</f>
        <v>51174.75</v>
      </c>
      <c r="J126" s="22">
        <f>SUM(J125,J122)</f>
        <v>4509.62</v>
      </c>
      <c r="K126" s="22">
        <f>SUM(K125,K122)</f>
        <v>0</v>
      </c>
      <c r="L126" s="22">
        <f>SUM(L125,L122)</f>
        <v>4988299</v>
      </c>
      <c r="M126" s="22">
        <f t="shared" si="12"/>
        <v>5043983.37</v>
      </c>
      <c r="N126" s="27">
        <f t="shared" si="13"/>
        <v>0.601404956480267</v>
      </c>
    </row>
    <row r="127" spans="1:14" ht="28.5" customHeight="1">
      <c r="A127" s="122" t="s">
        <v>103</v>
      </c>
      <c r="B127" s="99" t="s">
        <v>30</v>
      </c>
      <c r="C127" s="15" t="s">
        <v>138</v>
      </c>
      <c r="D127" s="4">
        <v>1000000</v>
      </c>
      <c r="E127" s="4"/>
      <c r="F127" s="4"/>
      <c r="G127" s="4"/>
      <c r="H127" s="7">
        <f t="shared" si="9"/>
        <v>1000000</v>
      </c>
      <c r="I127" s="7">
        <v>483567.43</v>
      </c>
      <c r="J127" s="9"/>
      <c r="K127" s="9"/>
      <c r="L127" s="9"/>
      <c r="M127" s="7">
        <f t="shared" si="12"/>
        <v>483567.43</v>
      </c>
      <c r="N127" s="5">
        <f t="shared" si="13"/>
        <v>0.48356743</v>
      </c>
    </row>
    <row r="128" spans="1:14" ht="20.25" customHeight="1">
      <c r="A128" s="123"/>
      <c r="B128" s="100"/>
      <c r="C128" s="19" t="s">
        <v>86</v>
      </c>
      <c r="D128" s="4">
        <v>60000</v>
      </c>
      <c r="E128" s="4"/>
      <c r="F128" s="4"/>
      <c r="G128" s="4"/>
      <c r="H128" s="7">
        <f t="shared" si="9"/>
        <v>60000</v>
      </c>
      <c r="I128" s="7">
        <v>19654.59</v>
      </c>
      <c r="J128" s="7"/>
      <c r="K128" s="7"/>
      <c r="L128" s="7"/>
      <c r="M128" s="7">
        <f t="shared" si="12"/>
        <v>19654.59</v>
      </c>
      <c r="N128" s="5">
        <f t="shared" si="13"/>
        <v>0.3275765</v>
      </c>
    </row>
    <row r="129" spans="1:14" ht="9" customHeight="1">
      <c r="A129" s="123"/>
      <c r="B129" s="30" t="s">
        <v>139</v>
      </c>
      <c r="C129" s="26"/>
      <c r="D129" s="6">
        <f>SUM(D127:D128)</f>
        <v>1060000</v>
      </c>
      <c r="E129" s="6">
        <f>SUM(E127:E128)</f>
        <v>0</v>
      </c>
      <c r="F129" s="6">
        <f>SUM(F127:F128)</f>
        <v>0</v>
      </c>
      <c r="G129" s="6">
        <f>SUM(G127:G128)</f>
        <v>0</v>
      </c>
      <c r="H129" s="6">
        <f t="shared" si="9"/>
        <v>1060000</v>
      </c>
      <c r="I129" s="6">
        <f>SUM(I127:I128)</f>
        <v>503222.02</v>
      </c>
      <c r="J129" s="6">
        <f>SUM(J127:J128)</f>
        <v>0</v>
      </c>
      <c r="K129" s="6">
        <f>SUM(K127:K128)</f>
        <v>0</v>
      </c>
      <c r="L129" s="6">
        <f>SUM(L127:L128)</f>
        <v>0</v>
      </c>
      <c r="M129" s="6">
        <f t="shared" si="12"/>
        <v>503222.02</v>
      </c>
      <c r="N129" s="25">
        <f t="shared" si="13"/>
        <v>0.47473775471698115</v>
      </c>
    </row>
    <row r="130" spans="1:14" ht="9.75">
      <c r="A130" s="123"/>
      <c r="B130" s="102" t="s">
        <v>140</v>
      </c>
      <c r="C130" s="15" t="s">
        <v>87</v>
      </c>
      <c r="D130" s="4">
        <v>83100000</v>
      </c>
      <c r="E130" s="4"/>
      <c r="F130" s="4"/>
      <c r="G130" s="4"/>
      <c r="H130" s="7">
        <f t="shared" si="9"/>
        <v>83100000</v>
      </c>
      <c r="I130" s="7">
        <v>38509831.82</v>
      </c>
      <c r="J130" s="7"/>
      <c r="K130" s="7"/>
      <c r="L130" s="7"/>
      <c r="M130" s="7">
        <f t="shared" si="12"/>
        <v>38509831.82</v>
      </c>
      <c r="N130" s="5">
        <f t="shared" si="13"/>
        <v>0.46341554536702767</v>
      </c>
    </row>
    <row r="131" spans="1:14" ht="9.75">
      <c r="A131" s="123"/>
      <c r="B131" s="103"/>
      <c r="C131" s="16" t="s">
        <v>88</v>
      </c>
      <c r="D131" s="4">
        <v>400</v>
      </c>
      <c r="E131" s="4"/>
      <c r="F131" s="4"/>
      <c r="G131" s="4"/>
      <c r="H131" s="7">
        <f t="shared" si="9"/>
        <v>400</v>
      </c>
      <c r="I131" s="7">
        <v>742.5</v>
      </c>
      <c r="J131" s="9"/>
      <c r="K131" s="9"/>
      <c r="L131" s="9"/>
      <c r="M131" s="7">
        <f t="shared" si="12"/>
        <v>742.5</v>
      </c>
      <c r="N131" s="5">
        <f t="shared" si="13"/>
        <v>1.85625</v>
      </c>
    </row>
    <row r="132" spans="1:14" ht="9.75">
      <c r="A132" s="123"/>
      <c r="B132" s="103"/>
      <c r="C132" s="16" t="s">
        <v>89</v>
      </c>
      <c r="D132" s="4">
        <v>67000</v>
      </c>
      <c r="E132" s="4"/>
      <c r="F132" s="4"/>
      <c r="G132" s="4"/>
      <c r="H132" s="7">
        <f t="shared" si="9"/>
        <v>67000</v>
      </c>
      <c r="I132" s="7">
        <v>36948.5</v>
      </c>
      <c r="J132" s="7"/>
      <c r="K132" s="7"/>
      <c r="L132" s="7"/>
      <c r="M132" s="7">
        <f t="shared" si="12"/>
        <v>36948.5</v>
      </c>
      <c r="N132" s="5">
        <f t="shared" si="13"/>
        <v>0.5514701492537314</v>
      </c>
    </row>
    <row r="133" spans="1:14" ht="12" customHeight="1">
      <c r="A133" s="123"/>
      <c r="B133" s="103"/>
      <c r="C133" s="16" t="s">
        <v>90</v>
      </c>
      <c r="D133" s="4">
        <v>3600000</v>
      </c>
      <c r="E133" s="4"/>
      <c r="F133" s="4"/>
      <c r="G133" s="4"/>
      <c r="H133" s="7">
        <f t="shared" si="9"/>
        <v>3600000</v>
      </c>
      <c r="I133" s="7">
        <v>2222430.96</v>
      </c>
      <c r="J133" s="7"/>
      <c r="K133" s="7"/>
      <c r="L133" s="7"/>
      <c r="M133" s="7">
        <f t="shared" si="12"/>
        <v>2222430.96</v>
      </c>
      <c r="N133" s="5">
        <f t="shared" si="13"/>
        <v>0.6173419333333333</v>
      </c>
    </row>
    <row r="134" spans="1:14" ht="19.5" customHeight="1">
      <c r="A134" s="123"/>
      <c r="B134" s="103"/>
      <c r="C134" s="16" t="s">
        <v>91</v>
      </c>
      <c r="D134" s="4">
        <v>3000000</v>
      </c>
      <c r="E134" s="4"/>
      <c r="F134" s="4"/>
      <c r="G134" s="4"/>
      <c r="H134" s="7">
        <f t="shared" si="9"/>
        <v>3000000</v>
      </c>
      <c r="I134" s="7">
        <f>3018036.3</f>
        <v>3018036.3</v>
      </c>
      <c r="J134" s="9"/>
      <c r="K134" s="9"/>
      <c r="L134" s="9"/>
      <c r="M134" s="7">
        <f t="shared" si="12"/>
        <v>3018036.3</v>
      </c>
      <c r="N134" s="5">
        <f t="shared" si="13"/>
        <v>1.0060121</v>
      </c>
    </row>
    <row r="135" spans="1:14" ht="18.75" customHeight="1">
      <c r="A135" s="123"/>
      <c r="B135" s="103"/>
      <c r="C135" s="19" t="s">
        <v>86</v>
      </c>
      <c r="D135" s="4">
        <f>300000+600000</f>
        <v>900000</v>
      </c>
      <c r="E135" s="4"/>
      <c r="F135" s="4"/>
      <c r="G135" s="4"/>
      <c r="H135" s="7">
        <f aca="true" t="shared" si="14" ref="H135:H148">SUM(D135:G135)</f>
        <v>900000</v>
      </c>
      <c r="I135" s="7">
        <v>633072.78</v>
      </c>
      <c r="J135" s="13"/>
      <c r="K135" s="13"/>
      <c r="L135" s="13"/>
      <c r="M135" s="7">
        <f t="shared" si="12"/>
        <v>633072.78</v>
      </c>
      <c r="N135" s="5">
        <f t="shared" si="13"/>
        <v>0.7034142</v>
      </c>
    </row>
    <row r="136" spans="1:14" ht="28.5" customHeight="1">
      <c r="A136" s="123"/>
      <c r="B136" s="104"/>
      <c r="C136" s="19" t="s">
        <v>243</v>
      </c>
      <c r="D136" s="4"/>
      <c r="E136" s="4"/>
      <c r="F136" s="4"/>
      <c r="G136" s="4"/>
      <c r="H136" s="7">
        <f t="shared" si="14"/>
        <v>0</v>
      </c>
      <c r="I136" s="7">
        <v>200286</v>
      </c>
      <c r="J136" s="13"/>
      <c r="K136" s="13"/>
      <c r="L136" s="13"/>
      <c r="M136" s="7">
        <f t="shared" si="12"/>
        <v>200286</v>
      </c>
      <c r="N136" s="5"/>
    </row>
    <row r="137" spans="1:14" ht="9" customHeight="1">
      <c r="A137" s="123"/>
      <c r="B137" s="30" t="s">
        <v>141</v>
      </c>
      <c r="C137" s="26"/>
      <c r="D137" s="6">
        <f>SUM(D130:D136)</f>
        <v>90667400</v>
      </c>
      <c r="E137" s="6">
        <f>SUM(E130:E136)</f>
        <v>0</v>
      </c>
      <c r="F137" s="6">
        <f>SUM(F130:F136)</f>
        <v>0</v>
      </c>
      <c r="G137" s="6">
        <f>SUM(G130:G136)</f>
        <v>0</v>
      </c>
      <c r="H137" s="6">
        <f t="shared" si="14"/>
        <v>90667400</v>
      </c>
      <c r="I137" s="6">
        <f>SUM(I130:I136)</f>
        <v>44621348.86</v>
      </c>
      <c r="J137" s="6">
        <f>SUM(J130:J135)</f>
        <v>0</v>
      </c>
      <c r="K137" s="6">
        <f>SUM(K130:K135)</f>
        <v>0</v>
      </c>
      <c r="L137" s="6">
        <f>SUM(L130:L135)</f>
        <v>0</v>
      </c>
      <c r="M137" s="6">
        <f t="shared" si="12"/>
        <v>44621348.86</v>
      </c>
      <c r="N137" s="25">
        <f t="shared" si="13"/>
        <v>0.492143249503129</v>
      </c>
    </row>
    <row r="138" spans="1:14" ht="11.25" customHeight="1">
      <c r="A138" s="123"/>
      <c r="B138" s="115" t="s">
        <v>142</v>
      </c>
      <c r="C138" s="15" t="s">
        <v>87</v>
      </c>
      <c r="D138" s="4">
        <v>13350000</v>
      </c>
      <c r="E138" s="4"/>
      <c r="F138" s="4"/>
      <c r="G138" s="4"/>
      <c r="H138" s="7">
        <f t="shared" si="14"/>
        <v>13350000</v>
      </c>
      <c r="I138" s="7">
        <v>8562596.37</v>
      </c>
      <c r="J138" s="7"/>
      <c r="K138" s="7"/>
      <c r="L138" s="7"/>
      <c r="M138" s="7">
        <f t="shared" si="12"/>
        <v>8562596.37</v>
      </c>
      <c r="N138" s="5">
        <f t="shared" si="13"/>
        <v>0.6413929865168538</v>
      </c>
    </row>
    <row r="139" spans="1:14" ht="9.75">
      <c r="A139" s="124"/>
      <c r="B139" s="115"/>
      <c r="C139" s="16" t="s">
        <v>88</v>
      </c>
      <c r="D139" s="4">
        <v>29000</v>
      </c>
      <c r="E139" s="4"/>
      <c r="F139" s="4"/>
      <c r="G139" s="4"/>
      <c r="H139" s="7">
        <f t="shared" si="14"/>
        <v>29000</v>
      </c>
      <c r="I139" s="7">
        <v>19312.64</v>
      </c>
      <c r="J139" s="7"/>
      <c r="K139" s="7"/>
      <c r="L139" s="7"/>
      <c r="M139" s="7">
        <f t="shared" si="12"/>
        <v>19312.64</v>
      </c>
      <c r="N139" s="5">
        <f t="shared" si="13"/>
        <v>0.6659531034482759</v>
      </c>
    </row>
    <row r="140" spans="1:14" ht="9.75">
      <c r="A140" s="78"/>
      <c r="B140" s="115"/>
      <c r="C140" s="16" t="s">
        <v>89</v>
      </c>
      <c r="D140" s="4">
        <v>3200</v>
      </c>
      <c r="E140" s="4"/>
      <c r="F140" s="4"/>
      <c r="G140" s="4"/>
      <c r="H140" s="7">
        <f t="shared" si="14"/>
        <v>3200</v>
      </c>
      <c r="I140" s="7">
        <v>2397.4</v>
      </c>
      <c r="J140" s="9"/>
      <c r="K140" s="9"/>
      <c r="L140" s="9"/>
      <c r="M140" s="7">
        <f t="shared" si="12"/>
        <v>2397.4</v>
      </c>
      <c r="N140" s="5">
        <f t="shared" si="13"/>
        <v>0.7491875</v>
      </c>
    </row>
    <row r="141" spans="1:14" ht="12" customHeight="1">
      <c r="A141" s="78"/>
      <c r="B141" s="115"/>
      <c r="C141" s="16" t="s">
        <v>90</v>
      </c>
      <c r="D141" s="4">
        <v>2000000</v>
      </c>
      <c r="E141" s="4"/>
      <c r="F141" s="4"/>
      <c r="G141" s="4"/>
      <c r="H141" s="7">
        <f t="shared" si="14"/>
        <v>2000000</v>
      </c>
      <c r="I141" s="7">
        <v>1092894.88</v>
      </c>
      <c r="J141" s="7"/>
      <c r="K141" s="7"/>
      <c r="L141" s="7"/>
      <c r="M141" s="7">
        <f t="shared" si="12"/>
        <v>1092894.88</v>
      </c>
      <c r="N141" s="5">
        <f t="shared" si="13"/>
        <v>0.5464474399999999</v>
      </c>
    </row>
    <row r="142" spans="1:14" ht="12" customHeight="1">
      <c r="A142" s="78"/>
      <c r="B142" s="115"/>
      <c r="C142" s="16" t="s">
        <v>93</v>
      </c>
      <c r="D142" s="4">
        <v>3500000</v>
      </c>
      <c r="E142" s="4"/>
      <c r="F142" s="4"/>
      <c r="G142" s="4"/>
      <c r="H142" s="7">
        <f t="shared" si="14"/>
        <v>3500000</v>
      </c>
      <c r="I142" s="7">
        <v>2620955.92</v>
      </c>
      <c r="J142" s="7"/>
      <c r="K142" s="7"/>
      <c r="L142" s="7"/>
      <c r="M142" s="7">
        <f t="shared" si="12"/>
        <v>2620955.92</v>
      </c>
      <c r="N142" s="5">
        <f t="shared" si="13"/>
        <v>0.7488445485714286</v>
      </c>
    </row>
    <row r="143" spans="1:14" ht="12" customHeight="1">
      <c r="A143" s="78"/>
      <c r="B143" s="115"/>
      <c r="C143" s="16" t="s">
        <v>94</v>
      </c>
      <c r="D143" s="4">
        <v>100000</v>
      </c>
      <c r="E143" s="4"/>
      <c r="F143" s="4"/>
      <c r="G143" s="4"/>
      <c r="H143" s="7">
        <f t="shared" si="14"/>
        <v>100000</v>
      </c>
      <c r="I143" s="7">
        <v>75057.43</v>
      </c>
      <c r="J143" s="7"/>
      <c r="K143" s="7"/>
      <c r="L143" s="7"/>
      <c r="M143" s="7">
        <f t="shared" si="12"/>
        <v>75057.43</v>
      </c>
      <c r="N143" s="5">
        <f t="shared" si="13"/>
        <v>0.7505742999999999</v>
      </c>
    </row>
    <row r="144" spans="1:14" ht="9.75">
      <c r="A144" s="78"/>
      <c r="B144" s="115"/>
      <c r="C144" s="16" t="s">
        <v>95</v>
      </c>
      <c r="D144" s="4">
        <v>1300000</v>
      </c>
      <c r="E144" s="4"/>
      <c r="F144" s="4"/>
      <c r="G144" s="4"/>
      <c r="H144" s="7">
        <f t="shared" si="14"/>
        <v>1300000</v>
      </c>
      <c r="I144" s="7">
        <v>375174</v>
      </c>
      <c r="J144" s="7"/>
      <c r="K144" s="7"/>
      <c r="L144" s="7"/>
      <c r="M144" s="7">
        <f t="shared" si="12"/>
        <v>375174</v>
      </c>
      <c r="N144" s="5">
        <f t="shared" si="13"/>
        <v>0.28859538461538464</v>
      </c>
    </row>
    <row r="145" spans="1:14" ht="11.25" customHeight="1">
      <c r="A145" s="78"/>
      <c r="B145" s="115"/>
      <c r="C145" s="16" t="s">
        <v>96</v>
      </c>
      <c r="D145" s="4">
        <v>220000</v>
      </c>
      <c r="E145" s="4"/>
      <c r="F145" s="4"/>
      <c r="G145" s="4"/>
      <c r="H145" s="7">
        <f t="shared" si="14"/>
        <v>220000</v>
      </c>
      <c r="I145" s="7">
        <v>49555.91</v>
      </c>
      <c r="J145" s="7"/>
      <c r="K145" s="7"/>
      <c r="L145" s="7"/>
      <c r="M145" s="7">
        <f t="shared" si="12"/>
        <v>49555.91</v>
      </c>
      <c r="N145" s="5">
        <f t="shared" si="13"/>
        <v>0.2252541363636364</v>
      </c>
    </row>
    <row r="146" spans="1:14" ht="20.25" customHeight="1">
      <c r="A146" s="78"/>
      <c r="B146" s="115"/>
      <c r="C146" s="16" t="s">
        <v>97</v>
      </c>
      <c r="D146" s="4">
        <v>6000</v>
      </c>
      <c r="E146" s="4"/>
      <c r="F146" s="4"/>
      <c r="G146" s="4"/>
      <c r="H146" s="7">
        <f t="shared" si="14"/>
        <v>6000</v>
      </c>
      <c r="I146" s="7">
        <v>4866</v>
      </c>
      <c r="J146" s="7"/>
      <c r="K146" s="7"/>
      <c r="L146" s="7"/>
      <c r="M146" s="7">
        <f t="shared" si="12"/>
        <v>4866</v>
      </c>
      <c r="N146" s="5">
        <f t="shared" si="13"/>
        <v>0.811</v>
      </c>
    </row>
    <row r="147" spans="1:14" ht="20.25" customHeight="1">
      <c r="A147" s="78"/>
      <c r="B147" s="115"/>
      <c r="C147" s="16" t="s">
        <v>91</v>
      </c>
      <c r="D147" s="4">
        <v>14000000</v>
      </c>
      <c r="E147" s="4"/>
      <c r="F147" s="4"/>
      <c r="G147" s="4"/>
      <c r="H147" s="7">
        <f t="shared" si="14"/>
        <v>14000000</v>
      </c>
      <c r="I147" s="7">
        <v>8236352.15</v>
      </c>
      <c r="J147" s="7"/>
      <c r="K147" s="7"/>
      <c r="L147" s="7"/>
      <c r="M147" s="7">
        <f t="shared" si="12"/>
        <v>8236352.15</v>
      </c>
      <c r="N147" s="5">
        <f t="shared" si="13"/>
        <v>0.5883108678571429</v>
      </c>
    </row>
    <row r="148" spans="1:14" ht="10.5" customHeight="1">
      <c r="A148" s="78"/>
      <c r="B148" s="115"/>
      <c r="C148" s="16" t="s">
        <v>92</v>
      </c>
      <c r="D148" s="4">
        <v>2000</v>
      </c>
      <c r="E148" s="4"/>
      <c r="F148" s="4"/>
      <c r="G148" s="4"/>
      <c r="H148" s="7">
        <f t="shared" si="14"/>
        <v>2000</v>
      </c>
      <c r="I148" s="7">
        <v>879.59</v>
      </c>
      <c r="J148" s="7"/>
      <c r="K148" s="7"/>
      <c r="L148" s="7"/>
      <c r="M148" s="7">
        <f t="shared" si="12"/>
        <v>879.59</v>
      </c>
      <c r="N148" s="5">
        <f t="shared" si="13"/>
        <v>0.439795</v>
      </c>
    </row>
    <row r="149" spans="1:14" ht="30" customHeight="1">
      <c r="A149" s="78"/>
      <c r="B149" s="115"/>
      <c r="C149" s="19" t="s">
        <v>299</v>
      </c>
      <c r="D149" s="4"/>
      <c r="E149" s="4"/>
      <c r="F149" s="4"/>
      <c r="G149" s="4"/>
      <c r="H149" s="7"/>
      <c r="I149" s="7">
        <v>-60</v>
      </c>
      <c r="J149" s="7"/>
      <c r="K149" s="7"/>
      <c r="L149" s="7"/>
      <c r="M149" s="7">
        <f t="shared" si="12"/>
        <v>-60</v>
      </c>
      <c r="N149" s="5"/>
    </row>
    <row r="150" spans="1:14" ht="20.25" customHeight="1">
      <c r="A150" s="78"/>
      <c r="B150" s="115"/>
      <c r="C150" s="19" t="s">
        <v>86</v>
      </c>
      <c r="D150" s="4">
        <f>900000-600000</f>
        <v>300000</v>
      </c>
      <c r="E150" s="4"/>
      <c r="F150" s="4"/>
      <c r="G150" s="4"/>
      <c r="H150" s="7">
        <f aca="true" t="shared" si="15" ref="H150:H186">SUM(D150:G150)</f>
        <v>300000</v>
      </c>
      <c r="I150" s="7">
        <v>238563.28</v>
      </c>
      <c r="J150" s="7"/>
      <c r="K150" s="7"/>
      <c r="L150" s="7"/>
      <c r="M150" s="7">
        <f aca="true" t="shared" si="16" ref="M150:M181">SUM(I150:L150)</f>
        <v>238563.28</v>
      </c>
      <c r="N150" s="5">
        <f t="shared" si="13"/>
        <v>0.7952109333333334</v>
      </c>
    </row>
    <row r="151" spans="1:14" ht="9.75">
      <c r="A151" s="78"/>
      <c r="B151" s="30" t="s">
        <v>143</v>
      </c>
      <c r="C151" s="26"/>
      <c r="D151" s="6">
        <f>SUM(D138:D150)</f>
        <v>34810200</v>
      </c>
      <c r="E151" s="6">
        <f>SUM(E138:E150)</f>
        <v>0</v>
      </c>
      <c r="F151" s="6">
        <f>SUM(F138:F150)</f>
        <v>0</v>
      </c>
      <c r="G151" s="6">
        <f>SUM(G138:G150)</f>
        <v>0</v>
      </c>
      <c r="H151" s="6">
        <f t="shared" si="15"/>
        <v>34810200</v>
      </c>
      <c r="I151" s="6">
        <f>SUM(I138:I150)</f>
        <v>21278545.57</v>
      </c>
      <c r="J151" s="6">
        <f>SUM(J138:J150)</f>
        <v>0</v>
      </c>
      <c r="K151" s="6">
        <f>SUM(K138:K150)</f>
        <v>0</v>
      </c>
      <c r="L151" s="6">
        <f>SUM(L138:L150)</f>
        <v>0</v>
      </c>
      <c r="M151" s="6">
        <f t="shared" si="16"/>
        <v>21278545.57</v>
      </c>
      <c r="N151" s="25">
        <f aca="true" t="shared" si="17" ref="N151:N182">M151/H151</f>
        <v>0.6112732925981466</v>
      </c>
    </row>
    <row r="152" spans="1:14" ht="9.75" customHeight="1">
      <c r="A152" s="78"/>
      <c r="B152" s="99" t="s">
        <v>68</v>
      </c>
      <c r="C152" s="15" t="s">
        <v>98</v>
      </c>
      <c r="D152" s="4">
        <v>4738000</v>
      </c>
      <c r="E152" s="4"/>
      <c r="F152" s="4"/>
      <c r="G152" s="4"/>
      <c r="H152" s="7">
        <f t="shared" si="15"/>
        <v>4738000</v>
      </c>
      <c r="I152" s="7">
        <v>2726780.67</v>
      </c>
      <c r="J152" s="7"/>
      <c r="K152" s="7"/>
      <c r="L152" s="7"/>
      <c r="M152" s="7">
        <f t="shared" si="16"/>
        <v>2726780.67</v>
      </c>
      <c r="N152" s="5">
        <f t="shared" si="17"/>
        <v>0.5755130160405234</v>
      </c>
    </row>
    <row r="153" spans="1:14" ht="12" customHeight="1">
      <c r="A153" s="78"/>
      <c r="B153" s="115"/>
      <c r="C153" s="16" t="s">
        <v>81</v>
      </c>
      <c r="D153" s="4"/>
      <c r="E153" s="4">
        <v>4500000</v>
      </c>
      <c r="F153" s="4"/>
      <c r="G153" s="4"/>
      <c r="H153" s="7">
        <f t="shared" si="15"/>
        <v>4500000</v>
      </c>
      <c r="I153" s="7"/>
      <c r="J153" s="7">
        <v>3138403</v>
      </c>
      <c r="K153" s="7"/>
      <c r="L153" s="7"/>
      <c r="M153" s="7">
        <f t="shared" si="16"/>
        <v>3138403</v>
      </c>
      <c r="N153" s="5">
        <f t="shared" si="17"/>
        <v>0.6974228888888889</v>
      </c>
    </row>
    <row r="154" spans="1:14" ht="21" customHeight="1">
      <c r="A154" s="78"/>
      <c r="B154" s="115"/>
      <c r="C154" s="16" t="s">
        <v>84</v>
      </c>
      <c r="D154" s="4">
        <v>4180000</v>
      </c>
      <c r="E154" s="4"/>
      <c r="F154" s="4"/>
      <c r="G154" s="4"/>
      <c r="H154" s="7">
        <f t="shared" si="15"/>
        <v>4180000</v>
      </c>
      <c r="I154" s="7">
        <v>3340363.37</v>
      </c>
      <c r="J154" s="7"/>
      <c r="K154" s="7"/>
      <c r="L154" s="7"/>
      <c r="M154" s="7">
        <f t="shared" si="16"/>
        <v>3340363.37</v>
      </c>
      <c r="N154" s="5">
        <f t="shared" si="17"/>
        <v>0.7991299928229665</v>
      </c>
    </row>
    <row r="155" spans="1:14" ht="9.75" customHeight="1" hidden="1">
      <c r="A155" s="78"/>
      <c r="B155" s="115"/>
      <c r="C155" s="16" t="s">
        <v>71</v>
      </c>
      <c r="D155" s="4"/>
      <c r="E155" s="4"/>
      <c r="F155" s="4"/>
      <c r="G155" s="4"/>
      <c r="H155" s="7">
        <f t="shared" si="15"/>
        <v>0</v>
      </c>
      <c r="I155" s="7"/>
      <c r="J155" s="7"/>
      <c r="K155" s="7"/>
      <c r="L155" s="7"/>
      <c r="M155" s="7">
        <f t="shared" si="16"/>
        <v>0</v>
      </c>
      <c r="N155" s="5" t="e">
        <f t="shared" si="17"/>
        <v>#DIV/0!</v>
      </c>
    </row>
    <row r="156" spans="1:14" ht="13.5" customHeight="1" hidden="1">
      <c r="A156" s="78"/>
      <c r="B156" s="115"/>
      <c r="C156" s="16" t="s">
        <v>71</v>
      </c>
      <c r="D156" s="4"/>
      <c r="E156" s="4"/>
      <c r="F156" s="4"/>
      <c r="G156" s="4"/>
      <c r="H156" s="7">
        <f t="shared" si="15"/>
        <v>0</v>
      </c>
      <c r="I156" s="7"/>
      <c r="J156" s="7"/>
      <c r="K156" s="7"/>
      <c r="L156" s="7"/>
      <c r="M156" s="7">
        <f t="shared" si="16"/>
        <v>0</v>
      </c>
      <c r="N156" s="5" t="e">
        <f t="shared" si="17"/>
        <v>#DIV/0!</v>
      </c>
    </row>
    <row r="157" spans="1:14" ht="21" customHeight="1">
      <c r="A157" s="78"/>
      <c r="B157" s="100"/>
      <c r="C157" s="19" t="s">
        <v>86</v>
      </c>
      <c r="D157" s="4">
        <v>40000</v>
      </c>
      <c r="E157" s="4"/>
      <c r="F157" s="4"/>
      <c r="G157" s="4"/>
      <c r="H157" s="7">
        <f t="shared" si="15"/>
        <v>40000</v>
      </c>
      <c r="I157" s="7">
        <v>5233.55</v>
      </c>
      <c r="J157" s="9"/>
      <c r="K157" s="9"/>
      <c r="L157" s="9"/>
      <c r="M157" s="7">
        <f t="shared" si="16"/>
        <v>5233.55</v>
      </c>
      <c r="N157" s="5">
        <f t="shared" si="17"/>
        <v>0.13083875</v>
      </c>
    </row>
    <row r="158" spans="1:14" ht="12" customHeight="1">
      <c r="A158" s="78"/>
      <c r="B158" s="30" t="s">
        <v>144</v>
      </c>
      <c r="C158" s="26"/>
      <c r="D158" s="6">
        <f>SUM(D152:D157)</f>
        <v>8958000</v>
      </c>
      <c r="E158" s="6">
        <f>SUM(E152:E157)</f>
        <v>4500000</v>
      </c>
      <c r="F158" s="6">
        <f>SUM(F152:F157)</f>
        <v>0</v>
      </c>
      <c r="G158" s="6">
        <f>SUM(G152:G157)</f>
        <v>0</v>
      </c>
      <c r="H158" s="6">
        <f t="shared" si="15"/>
        <v>13458000</v>
      </c>
      <c r="I158" s="6">
        <f>SUM(I152:I157)</f>
        <v>6072377.59</v>
      </c>
      <c r="J158" s="6">
        <f>SUM(J152:J157)</f>
        <v>3138403</v>
      </c>
      <c r="K158" s="6">
        <f>SUM(K152:K157)</f>
        <v>0</v>
      </c>
      <c r="L158" s="6">
        <f>SUM(L152:L157)</f>
        <v>0</v>
      </c>
      <c r="M158" s="6">
        <f t="shared" si="16"/>
        <v>9210780.59</v>
      </c>
      <c r="N158" s="25">
        <f t="shared" si="17"/>
        <v>0.6844093171347897</v>
      </c>
    </row>
    <row r="159" spans="1:14" ht="21" customHeight="1">
      <c r="A159" s="78"/>
      <c r="B159" s="115" t="s">
        <v>31</v>
      </c>
      <c r="C159" s="15" t="s">
        <v>99</v>
      </c>
      <c r="D159" s="4">
        <f>158895170+1494462</f>
        <v>160389632</v>
      </c>
      <c r="E159" s="4"/>
      <c r="F159" s="4"/>
      <c r="G159" s="4"/>
      <c r="H159" s="7">
        <f t="shared" si="15"/>
        <v>160389632</v>
      </c>
      <c r="I159" s="7">
        <v>67954075</v>
      </c>
      <c r="J159" s="9"/>
      <c r="K159" s="9"/>
      <c r="L159" s="9"/>
      <c r="M159" s="7">
        <f t="shared" si="16"/>
        <v>67954075</v>
      </c>
      <c r="N159" s="5">
        <f t="shared" si="17"/>
        <v>0.4236812202424656</v>
      </c>
    </row>
    <row r="160" spans="1:14" ht="36" customHeight="1">
      <c r="A160" s="78"/>
      <c r="B160" s="115"/>
      <c r="C160" s="19" t="s">
        <v>100</v>
      </c>
      <c r="D160" s="4">
        <v>10930000</v>
      </c>
      <c r="E160" s="4"/>
      <c r="F160" s="4"/>
      <c r="G160" s="4"/>
      <c r="H160" s="7">
        <f t="shared" si="15"/>
        <v>10930000</v>
      </c>
      <c r="I160" s="7">
        <v>8608327.95</v>
      </c>
      <c r="J160" s="7"/>
      <c r="K160" s="7"/>
      <c r="L160" s="7"/>
      <c r="M160" s="7">
        <f t="shared" si="16"/>
        <v>8608327.95</v>
      </c>
      <c r="N160" s="5">
        <f t="shared" si="17"/>
        <v>0.7875871866422689</v>
      </c>
    </row>
    <row r="161" spans="1:14" ht="12" customHeight="1">
      <c r="A161" s="78"/>
      <c r="B161" s="30" t="s">
        <v>145</v>
      </c>
      <c r="C161" s="26"/>
      <c r="D161" s="6">
        <f>SUM(D159:D160)</f>
        <v>171319632</v>
      </c>
      <c r="E161" s="6">
        <f>SUM(E159:E160)</f>
        <v>0</v>
      </c>
      <c r="F161" s="6">
        <f>SUM(F159:F160)</f>
        <v>0</v>
      </c>
      <c r="G161" s="6">
        <f>SUM(G159:G160)</f>
        <v>0</v>
      </c>
      <c r="H161" s="6">
        <f t="shared" si="15"/>
        <v>171319632</v>
      </c>
      <c r="I161" s="6">
        <f>SUM(I159:I160)</f>
        <v>76562402.95</v>
      </c>
      <c r="J161" s="6">
        <f>SUM(J159:J160)</f>
        <v>0</v>
      </c>
      <c r="K161" s="6">
        <f>SUM(K159:K160)</f>
        <v>0</v>
      </c>
      <c r="L161" s="6">
        <f>SUM(L159:L160)</f>
        <v>0</v>
      </c>
      <c r="M161" s="6">
        <f t="shared" si="16"/>
        <v>76562402.95</v>
      </c>
      <c r="N161" s="25">
        <f t="shared" si="17"/>
        <v>0.44689801195697176</v>
      </c>
    </row>
    <row r="162" spans="1:14" ht="19.5">
      <c r="A162" s="78"/>
      <c r="B162" s="115" t="s">
        <v>32</v>
      </c>
      <c r="C162" s="15" t="s">
        <v>99</v>
      </c>
      <c r="D162" s="4"/>
      <c r="E162" s="4">
        <f>45303908+426100</f>
        <v>45730008</v>
      </c>
      <c r="F162" s="4"/>
      <c r="G162" s="4"/>
      <c r="H162" s="7">
        <f t="shared" si="15"/>
        <v>45730008</v>
      </c>
      <c r="I162" s="7"/>
      <c r="J162" s="7">
        <v>19374945</v>
      </c>
      <c r="K162" s="7"/>
      <c r="L162" s="7"/>
      <c r="M162" s="7">
        <f t="shared" si="16"/>
        <v>19374945</v>
      </c>
      <c r="N162" s="5">
        <f t="shared" si="17"/>
        <v>0.4236812073157739</v>
      </c>
    </row>
    <row r="163" spans="1:14" ht="37.5" customHeight="1">
      <c r="A163" s="78"/>
      <c r="B163" s="115"/>
      <c r="C163" s="19" t="s">
        <v>100</v>
      </c>
      <c r="D163" s="4"/>
      <c r="E163" s="4">
        <v>2670000</v>
      </c>
      <c r="F163" s="4"/>
      <c r="G163" s="4"/>
      <c r="H163" s="7">
        <f t="shared" si="15"/>
        <v>2670000</v>
      </c>
      <c r="I163" s="7"/>
      <c r="J163" s="7">
        <v>1364684.07</v>
      </c>
      <c r="K163" s="7"/>
      <c r="L163" s="7"/>
      <c r="M163" s="7">
        <f t="shared" si="16"/>
        <v>1364684.07</v>
      </c>
      <c r="N163" s="5">
        <f t="shared" si="17"/>
        <v>0.5111176292134831</v>
      </c>
    </row>
    <row r="164" spans="1:14" ht="9.75">
      <c r="A164" s="78"/>
      <c r="B164" s="34" t="s">
        <v>146</v>
      </c>
      <c r="C164" s="31"/>
      <c r="D164" s="6">
        <f>SUM(D162:D163)</f>
        <v>0</v>
      </c>
      <c r="E164" s="6">
        <f>SUM(E162:E163)</f>
        <v>48400008</v>
      </c>
      <c r="F164" s="6">
        <f>SUM(F162:F163)</f>
        <v>0</v>
      </c>
      <c r="G164" s="6">
        <f>SUM(G162:G163)</f>
        <v>0</v>
      </c>
      <c r="H164" s="6">
        <f t="shared" si="15"/>
        <v>48400008</v>
      </c>
      <c r="I164" s="6">
        <f>SUM(I162:I163)</f>
        <v>0</v>
      </c>
      <c r="J164" s="6">
        <f>SUM(J162:J163)</f>
        <v>20739629.07</v>
      </c>
      <c r="K164" s="6">
        <f>SUM(K162:K163)</f>
        <v>0</v>
      </c>
      <c r="L164" s="6">
        <f>SUM(L162:L163)</f>
        <v>0</v>
      </c>
      <c r="M164" s="6">
        <f t="shared" si="16"/>
        <v>20739629.07</v>
      </c>
      <c r="N164" s="25">
        <f t="shared" si="17"/>
        <v>0.4285046620240228</v>
      </c>
    </row>
    <row r="165" spans="1:14" ht="12" customHeight="1">
      <c r="A165" s="23" t="s">
        <v>147</v>
      </c>
      <c r="B165" s="35"/>
      <c r="C165" s="21"/>
      <c r="D165" s="22">
        <f>SUM(D164,D161,D158,D151,D137,D129)</f>
        <v>306815232</v>
      </c>
      <c r="E165" s="22">
        <f>SUM(E164,E161,E158,E151,E137,E129)</f>
        <v>52900008</v>
      </c>
      <c r="F165" s="22">
        <f>SUM(F164,F161,F158,F151,F137,F129)</f>
        <v>0</v>
      </c>
      <c r="G165" s="22">
        <f>SUM(G164,G161,G158,G151,G137,G129)</f>
        <v>0</v>
      </c>
      <c r="H165" s="22">
        <f t="shared" si="15"/>
        <v>359715240</v>
      </c>
      <c r="I165" s="22">
        <f>SUM(I164,I161,I158,I151,I137,I129)</f>
        <v>149037896.99000004</v>
      </c>
      <c r="J165" s="22">
        <f>SUM(J164,J161,J158,J151,J137,J129)</f>
        <v>23878032.07</v>
      </c>
      <c r="K165" s="22">
        <f>SUM(K164,K161,K158,K151,K137,K129)</f>
        <v>0</v>
      </c>
      <c r="L165" s="22">
        <f>SUM(L164,L161,L158,L151,L137,L129)</f>
        <v>0</v>
      </c>
      <c r="M165" s="22">
        <f t="shared" si="16"/>
        <v>172915929.06000003</v>
      </c>
      <c r="N165" s="27">
        <f t="shared" si="17"/>
        <v>0.4807022606548447</v>
      </c>
    </row>
    <row r="166" spans="1:14" ht="58.5" customHeight="1">
      <c r="A166" s="63" t="s">
        <v>33</v>
      </c>
      <c r="B166" s="20" t="s">
        <v>34</v>
      </c>
      <c r="C166" s="24" t="s">
        <v>148</v>
      </c>
      <c r="D166" s="4">
        <f>70256679+1061516</f>
        <v>71318195</v>
      </c>
      <c r="E166" s="4">
        <f>62042698-693454</f>
        <v>61349244</v>
      </c>
      <c r="F166" s="4"/>
      <c r="G166" s="4"/>
      <c r="H166" s="7">
        <f t="shared" si="15"/>
        <v>132667439</v>
      </c>
      <c r="I166" s="7">
        <v>43888120</v>
      </c>
      <c r="J166" s="7">
        <v>37753382</v>
      </c>
      <c r="K166" s="9"/>
      <c r="L166" s="9"/>
      <c r="M166" s="7">
        <f t="shared" si="16"/>
        <v>81641502</v>
      </c>
      <c r="N166" s="5">
        <f t="shared" si="17"/>
        <v>0.6153846235020788</v>
      </c>
    </row>
    <row r="167" spans="1:14" ht="10.5" customHeight="1">
      <c r="A167" s="78"/>
      <c r="B167" s="30" t="s">
        <v>149</v>
      </c>
      <c r="C167" s="26"/>
      <c r="D167" s="6">
        <f>SUM(D166)</f>
        <v>71318195</v>
      </c>
      <c r="E167" s="6">
        <f>SUM(E166)</f>
        <v>61349244</v>
      </c>
      <c r="F167" s="6">
        <f>SUM(F166)</f>
        <v>0</v>
      </c>
      <c r="G167" s="6">
        <f>SUM(G166)</f>
        <v>0</v>
      </c>
      <c r="H167" s="6">
        <f t="shared" si="15"/>
        <v>132667439</v>
      </c>
      <c r="I167" s="6">
        <f>SUM(I166)</f>
        <v>43888120</v>
      </c>
      <c r="J167" s="6">
        <f>SUM(J166)</f>
        <v>37753382</v>
      </c>
      <c r="K167" s="6">
        <f>SUM(K166)</f>
        <v>0</v>
      </c>
      <c r="L167" s="6">
        <f>SUM(L166)</f>
        <v>0</v>
      </c>
      <c r="M167" s="6">
        <f t="shared" si="16"/>
        <v>81641502</v>
      </c>
      <c r="N167" s="25">
        <f t="shared" si="17"/>
        <v>0.6153846235020788</v>
      </c>
    </row>
    <row r="168" spans="1:14" s="10" customFormat="1" ht="21" customHeight="1" hidden="1">
      <c r="A168" s="82"/>
      <c r="B168" s="102" t="s">
        <v>254</v>
      </c>
      <c r="C168" s="16" t="s">
        <v>282</v>
      </c>
      <c r="D168" s="13"/>
      <c r="E168" s="13"/>
      <c r="F168" s="13"/>
      <c r="G168" s="13"/>
      <c r="H168" s="7">
        <f t="shared" si="15"/>
        <v>0</v>
      </c>
      <c r="I168" s="13"/>
      <c r="J168" s="13"/>
      <c r="K168" s="13"/>
      <c r="L168" s="13"/>
      <c r="M168" s="7">
        <f t="shared" si="16"/>
        <v>0</v>
      </c>
      <c r="N168" s="5" t="e">
        <f t="shared" si="17"/>
        <v>#DIV/0!</v>
      </c>
    </row>
    <row r="169" spans="1:14" ht="21" customHeight="1" hidden="1">
      <c r="A169" s="63"/>
      <c r="B169" s="104"/>
      <c r="C169" s="24" t="s">
        <v>256</v>
      </c>
      <c r="D169" s="4"/>
      <c r="E169" s="4"/>
      <c r="F169" s="4"/>
      <c r="G169" s="4"/>
      <c r="H169" s="7">
        <f t="shared" si="15"/>
        <v>0</v>
      </c>
      <c r="I169" s="7"/>
      <c r="J169" s="7"/>
      <c r="K169" s="9"/>
      <c r="L169" s="9"/>
      <c r="M169" s="7">
        <f t="shared" si="16"/>
        <v>0</v>
      </c>
      <c r="N169" s="5" t="e">
        <f t="shared" si="17"/>
        <v>#DIV/0!</v>
      </c>
    </row>
    <row r="170" spans="1:14" ht="10.5" customHeight="1" hidden="1">
      <c r="A170" s="78"/>
      <c r="B170" s="135" t="s">
        <v>255</v>
      </c>
      <c r="C170" s="135"/>
      <c r="D170" s="6">
        <f>SUM(D168:D169)</f>
        <v>0</v>
      </c>
      <c r="E170" s="6">
        <f>SUM(E168:E169)</f>
        <v>0</v>
      </c>
      <c r="F170" s="6">
        <f>SUM(F168:F169)</f>
        <v>0</v>
      </c>
      <c r="G170" s="6">
        <f>SUM(G168:G169)</f>
        <v>0</v>
      </c>
      <c r="H170" s="6">
        <f t="shared" si="15"/>
        <v>0</v>
      </c>
      <c r="I170" s="6">
        <f>SUM(I168:I169)</f>
        <v>0</v>
      </c>
      <c r="J170" s="6">
        <f>SUM(J168:J169)</f>
        <v>0</v>
      </c>
      <c r="K170" s="6">
        <f>SUM(K168:K169)</f>
        <v>0</v>
      </c>
      <c r="L170" s="6">
        <f>SUM(L168:L169)</f>
        <v>0</v>
      </c>
      <c r="M170" s="6">
        <f t="shared" si="16"/>
        <v>0</v>
      </c>
      <c r="N170" s="25" t="e">
        <f t="shared" si="17"/>
        <v>#DIV/0!</v>
      </c>
    </row>
    <row r="171" spans="1:14" ht="11.25" customHeight="1">
      <c r="A171" s="78"/>
      <c r="B171" s="102" t="s">
        <v>35</v>
      </c>
      <c r="C171" s="16" t="s">
        <v>72</v>
      </c>
      <c r="D171" s="4">
        <v>700000</v>
      </c>
      <c r="E171" s="4"/>
      <c r="F171" s="4"/>
      <c r="G171" s="4"/>
      <c r="H171" s="7">
        <f t="shared" si="15"/>
        <v>700000</v>
      </c>
      <c r="I171" s="7">
        <v>1620275.95</v>
      </c>
      <c r="J171" s="7">
        <v>52.5</v>
      </c>
      <c r="K171" s="7"/>
      <c r="L171" s="7"/>
      <c r="M171" s="7">
        <f t="shared" si="16"/>
        <v>1620328.45</v>
      </c>
      <c r="N171" s="5">
        <f t="shared" si="17"/>
        <v>2.3147549285714284</v>
      </c>
    </row>
    <row r="172" spans="1:14" ht="11.25" customHeight="1" hidden="1">
      <c r="A172" s="78"/>
      <c r="B172" s="103"/>
      <c r="C172" s="16" t="s">
        <v>309</v>
      </c>
      <c r="D172" s="4"/>
      <c r="E172" s="4"/>
      <c r="F172" s="4"/>
      <c r="G172" s="4"/>
      <c r="H172" s="7">
        <f t="shared" si="15"/>
        <v>0</v>
      </c>
      <c r="I172" s="7"/>
      <c r="J172" s="7"/>
      <c r="K172" s="7"/>
      <c r="L172" s="7"/>
      <c r="M172" s="7">
        <f t="shared" si="16"/>
        <v>0</v>
      </c>
      <c r="N172" s="5" t="e">
        <f t="shared" si="17"/>
        <v>#DIV/0!</v>
      </c>
    </row>
    <row r="173" spans="1:14" ht="9.75" customHeight="1">
      <c r="A173" s="78"/>
      <c r="B173" s="104"/>
      <c r="C173" s="16" t="s">
        <v>308</v>
      </c>
      <c r="D173" s="4"/>
      <c r="E173" s="4"/>
      <c r="F173" s="4"/>
      <c r="G173" s="4"/>
      <c r="H173" s="7">
        <f t="shared" si="15"/>
        <v>0</v>
      </c>
      <c r="I173" s="7">
        <v>7.62</v>
      </c>
      <c r="J173" s="7"/>
      <c r="K173" s="7"/>
      <c r="L173" s="7"/>
      <c r="M173" s="7">
        <f t="shared" si="16"/>
        <v>7.62</v>
      </c>
      <c r="N173" s="5"/>
    </row>
    <row r="174" spans="1:14" ht="9.75">
      <c r="A174" s="78"/>
      <c r="B174" s="30" t="s">
        <v>150</v>
      </c>
      <c r="C174" s="26"/>
      <c r="D174" s="6">
        <f>SUM(D171:D173)</f>
        <v>700000</v>
      </c>
      <c r="E174" s="6">
        <f>SUM(E171:E173)</f>
        <v>0</v>
      </c>
      <c r="F174" s="6">
        <f>SUM(F171:F173)</f>
        <v>0</v>
      </c>
      <c r="G174" s="6">
        <f>SUM(G171:G173)</f>
        <v>0</v>
      </c>
      <c r="H174" s="6">
        <f t="shared" si="15"/>
        <v>700000</v>
      </c>
      <c r="I174" s="6">
        <f>SUM(I171:I173)</f>
        <v>1620283.57</v>
      </c>
      <c r="J174" s="6">
        <f>SUM(J171:J173)</f>
        <v>52.5</v>
      </c>
      <c r="K174" s="6">
        <f>SUM(K171:K173)</f>
        <v>0</v>
      </c>
      <c r="L174" s="6">
        <f>SUM(L171:L173)</f>
        <v>0</v>
      </c>
      <c r="M174" s="6">
        <f t="shared" si="16"/>
        <v>1620336.07</v>
      </c>
      <c r="N174" s="25">
        <f t="shared" si="17"/>
        <v>2.3147658142857144</v>
      </c>
    </row>
    <row r="175" spans="1:14" s="10" customFormat="1" ht="9.75" customHeight="1" hidden="1">
      <c r="A175" s="79"/>
      <c r="B175" s="16" t="s">
        <v>201</v>
      </c>
      <c r="C175" s="44" t="s">
        <v>71</v>
      </c>
      <c r="D175" s="13"/>
      <c r="E175" s="13"/>
      <c r="F175" s="13"/>
      <c r="G175" s="13"/>
      <c r="H175" s="7">
        <f t="shared" si="15"/>
        <v>0</v>
      </c>
      <c r="I175" s="7"/>
      <c r="J175" s="13"/>
      <c r="K175" s="13"/>
      <c r="L175" s="13"/>
      <c r="M175" s="7">
        <f t="shared" si="16"/>
        <v>0</v>
      </c>
      <c r="N175" s="5" t="e">
        <f t="shared" si="17"/>
        <v>#DIV/0!</v>
      </c>
    </row>
    <row r="176" spans="1:14" s="10" customFormat="1" ht="9.75" hidden="1">
      <c r="A176" s="79"/>
      <c r="B176" s="16"/>
      <c r="C176" s="16" t="s">
        <v>72</v>
      </c>
      <c r="D176" s="13"/>
      <c r="E176" s="13"/>
      <c r="F176" s="13"/>
      <c r="G176" s="13"/>
      <c r="H176" s="7">
        <f t="shared" si="15"/>
        <v>0</v>
      </c>
      <c r="I176" s="7"/>
      <c r="J176" s="13"/>
      <c r="K176" s="13"/>
      <c r="L176" s="13"/>
      <c r="M176" s="7">
        <f t="shared" si="16"/>
        <v>0</v>
      </c>
      <c r="N176" s="5" t="e">
        <f t="shared" si="17"/>
        <v>#DIV/0!</v>
      </c>
    </row>
    <row r="177" spans="1:14" ht="21" customHeight="1">
      <c r="A177" s="78"/>
      <c r="B177" s="16" t="s">
        <v>201</v>
      </c>
      <c r="C177" s="83" t="s">
        <v>203</v>
      </c>
      <c r="D177" s="4"/>
      <c r="E177" s="52"/>
      <c r="F177" s="52"/>
      <c r="G177" s="52"/>
      <c r="H177" s="7">
        <f t="shared" si="15"/>
        <v>0</v>
      </c>
      <c r="I177" s="7">
        <v>10608.1</v>
      </c>
      <c r="J177" s="7"/>
      <c r="K177" s="7"/>
      <c r="L177" s="7"/>
      <c r="M177" s="7">
        <f t="shared" si="16"/>
        <v>10608.1</v>
      </c>
      <c r="N177" s="5"/>
    </row>
    <row r="178" spans="1:14" ht="9.75">
      <c r="A178" s="78"/>
      <c r="B178" s="30" t="s">
        <v>202</v>
      </c>
      <c r="C178" s="26"/>
      <c r="D178" s="6">
        <f>SUM(D177)</f>
        <v>0</v>
      </c>
      <c r="E178" s="6">
        <f>SUM(E177)</f>
        <v>0</v>
      </c>
      <c r="F178" s="6">
        <f>SUM(F177)</f>
        <v>0</v>
      </c>
      <c r="G178" s="6">
        <f>SUM(G177)</f>
        <v>0</v>
      </c>
      <c r="H178" s="6">
        <f t="shared" si="15"/>
        <v>0</v>
      </c>
      <c r="I178" s="6">
        <f>SUM(I175:I177)</f>
        <v>10608.1</v>
      </c>
      <c r="J178" s="6">
        <f>SUM(J175:J177)</f>
        <v>0</v>
      </c>
      <c r="K178" s="6">
        <f>SUM(K175:K177)</f>
        <v>0</v>
      </c>
      <c r="L178" s="6">
        <f>SUM(L175:L177)</f>
        <v>0</v>
      </c>
      <c r="M178" s="6">
        <f t="shared" si="16"/>
        <v>10608.1</v>
      </c>
      <c r="N178" s="25"/>
    </row>
    <row r="179" spans="1:14" s="10" customFormat="1" ht="9.75" customHeight="1">
      <c r="A179" s="79"/>
      <c r="B179" s="114" t="s">
        <v>151</v>
      </c>
      <c r="C179" s="16" t="s">
        <v>74</v>
      </c>
      <c r="D179" s="13"/>
      <c r="E179" s="13"/>
      <c r="F179" s="13"/>
      <c r="G179" s="13"/>
      <c r="H179" s="7">
        <f t="shared" si="15"/>
        <v>0</v>
      </c>
      <c r="I179" s="13"/>
      <c r="J179" s="13">
        <v>1.3</v>
      </c>
      <c r="K179" s="13"/>
      <c r="L179" s="13"/>
      <c r="M179" s="7">
        <f t="shared" si="16"/>
        <v>1.3</v>
      </c>
      <c r="N179" s="5"/>
    </row>
    <row r="180" spans="1:14" ht="30" customHeight="1">
      <c r="A180" s="78"/>
      <c r="B180" s="114"/>
      <c r="C180" s="24" t="s">
        <v>148</v>
      </c>
      <c r="D180" s="4"/>
      <c r="E180" s="4">
        <f>1809347-635</f>
        <v>1808712</v>
      </c>
      <c r="F180" s="4"/>
      <c r="G180" s="4"/>
      <c r="H180" s="7">
        <f t="shared" si="15"/>
        <v>1808712</v>
      </c>
      <c r="I180" s="7"/>
      <c r="J180" s="7">
        <v>904356</v>
      </c>
      <c r="K180" s="7"/>
      <c r="L180" s="7"/>
      <c r="M180" s="7">
        <f t="shared" si="16"/>
        <v>904356</v>
      </c>
      <c r="N180" s="5">
        <f t="shared" si="17"/>
        <v>0.5</v>
      </c>
    </row>
    <row r="181" spans="1:14" ht="9.75">
      <c r="A181" s="78"/>
      <c r="B181" s="34" t="s">
        <v>152</v>
      </c>
      <c r="C181" s="31"/>
      <c r="D181" s="6">
        <f>SUM(D179:D180)</f>
        <v>0</v>
      </c>
      <c r="E181" s="6">
        <f>SUM(E179:E180)</f>
        <v>1808712</v>
      </c>
      <c r="F181" s="6">
        <f>SUM(F179:F180)</f>
        <v>0</v>
      </c>
      <c r="G181" s="6">
        <f>SUM(G179:G180)</f>
        <v>0</v>
      </c>
      <c r="H181" s="6">
        <f t="shared" si="15"/>
        <v>1808712</v>
      </c>
      <c r="I181" s="6">
        <f>SUM(I179:I180)</f>
        <v>0</v>
      </c>
      <c r="J181" s="6">
        <f>SUM(J179:J180)</f>
        <v>904357.3</v>
      </c>
      <c r="K181" s="6">
        <f>SUM(K179:K180)</f>
        <v>0</v>
      </c>
      <c r="L181" s="6">
        <f>SUM(L179:L180)</f>
        <v>0</v>
      </c>
      <c r="M181" s="6">
        <f t="shared" si="16"/>
        <v>904357.3</v>
      </c>
      <c r="N181" s="25">
        <f t="shared" si="17"/>
        <v>0.5000007187435037</v>
      </c>
    </row>
    <row r="182" spans="1:14" ht="11.25">
      <c r="A182" s="32" t="s">
        <v>36</v>
      </c>
      <c r="B182" s="33"/>
      <c r="C182" s="21"/>
      <c r="D182" s="22">
        <f>SUM(D181,D178,D167,D170,D174)</f>
        <v>72018195</v>
      </c>
      <c r="E182" s="22">
        <f>SUM(E181,E178,E167,E170,E174)</f>
        <v>63157956</v>
      </c>
      <c r="F182" s="22">
        <f>SUM(F181,F178,F167,F170,F174)</f>
        <v>0</v>
      </c>
      <c r="G182" s="22">
        <f>SUM(G181,G178,G167,G170,G174)</f>
        <v>0</v>
      </c>
      <c r="H182" s="22">
        <f t="shared" si="15"/>
        <v>135176151</v>
      </c>
      <c r="I182" s="22">
        <f>SUM(I181,I178,I174,I170,I167)</f>
        <v>45519011.67</v>
      </c>
      <c r="J182" s="22">
        <f>SUM(J181,J178,J174,J170,J167)</f>
        <v>38657791.8</v>
      </c>
      <c r="K182" s="22">
        <f>SUM(K181,K178,K174,K170,K167)</f>
        <v>0</v>
      </c>
      <c r="L182" s="22">
        <f>SUM(L181,L178,L174,L170,L167)</f>
        <v>0</v>
      </c>
      <c r="M182" s="22">
        <f aca="true" t="shared" si="18" ref="M182:M187">SUM(I182:L182)</f>
        <v>84176803.47</v>
      </c>
      <c r="N182" s="27">
        <f t="shared" si="17"/>
        <v>0.6227193395231382</v>
      </c>
    </row>
    <row r="183" spans="1:14" ht="11.25" customHeight="1" hidden="1">
      <c r="A183" s="80" t="s">
        <v>37</v>
      </c>
      <c r="B183" s="19" t="s">
        <v>38</v>
      </c>
      <c r="C183" s="16" t="s">
        <v>71</v>
      </c>
      <c r="D183" s="43"/>
      <c r="E183" s="43"/>
      <c r="F183" s="43"/>
      <c r="G183" s="43"/>
      <c r="H183" s="7">
        <f t="shared" si="15"/>
        <v>0</v>
      </c>
      <c r="I183" s="7"/>
      <c r="J183" s="43"/>
      <c r="K183" s="43"/>
      <c r="L183" s="43"/>
      <c r="M183" s="7">
        <f t="shared" si="18"/>
        <v>0</v>
      </c>
      <c r="N183" s="5" t="e">
        <f aca="true" t="shared" si="19" ref="N183:N196">M183/H183</f>
        <v>#DIV/0!</v>
      </c>
    </row>
    <row r="184" spans="1:14" ht="50.25" customHeight="1">
      <c r="A184" s="80" t="s">
        <v>37</v>
      </c>
      <c r="B184" s="19" t="s">
        <v>38</v>
      </c>
      <c r="C184" s="16" t="s">
        <v>104</v>
      </c>
      <c r="D184" s="4">
        <f>96488+7506+5371</f>
        <v>109365</v>
      </c>
      <c r="E184" s="4"/>
      <c r="F184" s="4"/>
      <c r="G184" s="4"/>
      <c r="H184" s="7">
        <f t="shared" si="15"/>
        <v>109365</v>
      </c>
      <c r="I184" s="7">
        <v>73233.09</v>
      </c>
      <c r="J184" s="7"/>
      <c r="K184" s="7"/>
      <c r="L184" s="7"/>
      <c r="M184" s="7">
        <f t="shared" si="18"/>
        <v>73233.09</v>
      </c>
      <c r="N184" s="8">
        <f t="shared" si="19"/>
        <v>0.6696209024825126</v>
      </c>
    </row>
    <row r="185" spans="1:14" ht="10.5" customHeight="1" hidden="1">
      <c r="A185" s="63"/>
      <c r="B185" s="24"/>
      <c r="C185" s="16" t="s">
        <v>190</v>
      </c>
      <c r="D185" s="4"/>
      <c r="E185" s="4"/>
      <c r="F185" s="4"/>
      <c r="G185" s="4"/>
      <c r="H185" s="7">
        <f t="shared" si="15"/>
        <v>0</v>
      </c>
      <c r="I185" s="7"/>
      <c r="J185" s="7"/>
      <c r="K185" s="7"/>
      <c r="L185" s="7"/>
      <c r="M185" s="7">
        <f t="shared" si="18"/>
        <v>0</v>
      </c>
      <c r="N185" s="8" t="e">
        <f t="shared" si="19"/>
        <v>#DIV/0!</v>
      </c>
    </row>
    <row r="186" spans="1:14" ht="9" customHeight="1">
      <c r="A186" s="63"/>
      <c r="B186" s="24"/>
      <c r="C186" s="16" t="s">
        <v>72</v>
      </c>
      <c r="D186" s="4">
        <v>241875</v>
      </c>
      <c r="E186" s="4"/>
      <c r="F186" s="4"/>
      <c r="G186" s="4"/>
      <c r="H186" s="7">
        <f t="shared" si="15"/>
        <v>241875</v>
      </c>
      <c r="I186" s="7">
        <f>292250.51+3732.8</f>
        <v>295983.31</v>
      </c>
      <c r="J186" s="7"/>
      <c r="K186" s="7"/>
      <c r="L186" s="7"/>
      <c r="M186" s="7">
        <f t="shared" si="18"/>
        <v>295983.31</v>
      </c>
      <c r="N186" s="8">
        <f t="shared" si="19"/>
        <v>1.2237036072351422</v>
      </c>
    </row>
    <row r="187" spans="1:14" ht="10.5" customHeight="1">
      <c r="A187" s="63"/>
      <c r="B187" s="24"/>
      <c r="C187" s="16" t="s">
        <v>308</v>
      </c>
      <c r="D187" s="4"/>
      <c r="E187" s="4"/>
      <c r="F187" s="4"/>
      <c r="G187" s="4"/>
      <c r="H187" s="7"/>
      <c r="I187" s="7">
        <f>110.89</f>
        <v>110.89</v>
      </c>
      <c r="J187" s="7"/>
      <c r="K187" s="7"/>
      <c r="L187" s="7"/>
      <c r="M187" s="7">
        <f t="shared" si="18"/>
        <v>110.89</v>
      </c>
      <c r="N187" s="8"/>
    </row>
    <row r="188" spans="1:14" ht="19.5" customHeight="1" hidden="1">
      <c r="A188" s="63"/>
      <c r="B188" s="24"/>
      <c r="C188" s="16" t="s">
        <v>204</v>
      </c>
      <c r="D188" s="4"/>
      <c r="E188" s="4"/>
      <c r="F188" s="4"/>
      <c r="G188" s="4"/>
      <c r="H188" s="7">
        <f>SUM(D188:G188)</f>
        <v>0</v>
      </c>
      <c r="I188" s="7"/>
      <c r="J188" s="7"/>
      <c r="K188" s="7"/>
      <c r="L188" s="7"/>
      <c r="M188" s="7">
        <f aca="true" t="shared" si="20" ref="M188:M221">SUM(I188:L188)</f>
        <v>0</v>
      </c>
      <c r="N188" s="8" t="e">
        <f t="shared" si="19"/>
        <v>#DIV/0!</v>
      </c>
    </row>
    <row r="189" spans="1:14" ht="11.25" customHeight="1">
      <c r="A189" s="63"/>
      <c r="B189" s="24"/>
      <c r="C189" s="16" t="s">
        <v>74</v>
      </c>
      <c r="D189" s="4">
        <v>1967406</v>
      </c>
      <c r="E189" s="4"/>
      <c r="F189" s="4"/>
      <c r="G189" s="4"/>
      <c r="H189" s="7">
        <f>SUM(D189:G189)</f>
        <v>1967406</v>
      </c>
      <c r="I189" s="7">
        <f>1970097.44+13000</f>
        <v>1983097.44</v>
      </c>
      <c r="J189" s="7"/>
      <c r="K189" s="7"/>
      <c r="L189" s="7"/>
      <c r="M189" s="7">
        <f t="shared" si="20"/>
        <v>1983097.44</v>
      </c>
      <c r="N189" s="8">
        <f t="shared" si="19"/>
        <v>1.0079756999826166</v>
      </c>
    </row>
    <row r="190" spans="1:14" ht="39" customHeight="1" hidden="1">
      <c r="A190" s="63"/>
      <c r="B190" s="24"/>
      <c r="C190" s="16" t="s">
        <v>101</v>
      </c>
      <c r="D190" s="4"/>
      <c r="E190" s="4"/>
      <c r="F190" s="4"/>
      <c r="G190" s="4"/>
      <c r="H190" s="7">
        <f>SUM(D190:G190)</f>
        <v>0</v>
      </c>
      <c r="I190" s="7"/>
      <c r="J190" s="7"/>
      <c r="K190" s="7"/>
      <c r="L190" s="7"/>
      <c r="M190" s="7">
        <f t="shared" si="20"/>
        <v>0</v>
      </c>
      <c r="N190" s="8" t="e">
        <f t="shared" si="19"/>
        <v>#DIV/0!</v>
      </c>
    </row>
    <row r="191" spans="1:14" ht="21" customHeight="1" hidden="1">
      <c r="A191" s="63"/>
      <c r="B191" s="24"/>
      <c r="C191" s="16" t="s">
        <v>300</v>
      </c>
      <c r="D191" s="4"/>
      <c r="E191" s="4"/>
      <c r="F191" s="4"/>
      <c r="G191" s="4"/>
      <c r="H191" s="7">
        <f>SUM(D191:G191)</f>
        <v>0</v>
      </c>
      <c r="I191" s="7"/>
      <c r="J191" s="7"/>
      <c r="K191" s="7"/>
      <c r="L191" s="7"/>
      <c r="M191" s="7">
        <f t="shared" si="20"/>
        <v>0</v>
      </c>
      <c r="N191" s="8" t="e">
        <f t="shared" si="19"/>
        <v>#DIV/0!</v>
      </c>
    </row>
    <row r="192" spans="1:14" ht="21" customHeight="1" hidden="1">
      <c r="A192" s="63"/>
      <c r="B192" s="24"/>
      <c r="C192" s="16" t="s">
        <v>200</v>
      </c>
      <c r="D192" s="4"/>
      <c r="E192" s="4"/>
      <c r="F192" s="4"/>
      <c r="G192" s="4"/>
      <c r="H192" s="7">
        <f aca="true" t="shared" si="21" ref="H192:H257">SUM(D192:G192)</f>
        <v>0</v>
      </c>
      <c r="I192" s="7"/>
      <c r="J192" s="7"/>
      <c r="K192" s="7"/>
      <c r="L192" s="7"/>
      <c r="M192" s="7">
        <f t="shared" si="20"/>
        <v>0</v>
      </c>
      <c r="N192" s="8" t="e">
        <f t="shared" si="19"/>
        <v>#DIV/0!</v>
      </c>
    </row>
    <row r="193" spans="1:14" ht="39.75" customHeight="1">
      <c r="A193" s="63"/>
      <c r="B193" s="15"/>
      <c r="C193" s="16" t="s">
        <v>307</v>
      </c>
      <c r="D193" s="4">
        <v>6277</v>
      </c>
      <c r="E193" s="4"/>
      <c r="F193" s="4"/>
      <c r="G193" s="4"/>
      <c r="H193" s="7">
        <f t="shared" si="21"/>
        <v>6277</v>
      </c>
      <c r="I193" s="7"/>
      <c r="J193" s="7"/>
      <c r="K193" s="7"/>
      <c r="L193" s="7"/>
      <c r="M193" s="7">
        <f t="shared" si="20"/>
        <v>0</v>
      </c>
      <c r="N193" s="8">
        <f t="shared" si="19"/>
        <v>0</v>
      </c>
    </row>
    <row r="194" spans="1:14" ht="9.75">
      <c r="A194" s="78"/>
      <c r="B194" s="30" t="s">
        <v>153</v>
      </c>
      <c r="C194" s="26"/>
      <c r="D194" s="6">
        <f>SUM(D183:D193)</f>
        <v>2324923</v>
      </c>
      <c r="E194" s="6">
        <f>SUM(E183:E193)</f>
        <v>0</v>
      </c>
      <c r="F194" s="6">
        <f>SUM(F183:F193)</f>
        <v>0</v>
      </c>
      <c r="G194" s="6">
        <f>SUM(G183:G193)</f>
        <v>0</v>
      </c>
      <c r="H194" s="6">
        <f t="shared" si="21"/>
        <v>2324923</v>
      </c>
      <c r="I194" s="6">
        <f>SUM(I183:I193)</f>
        <v>2352424.73</v>
      </c>
      <c r="J194" s="6">
        <f>SUM(J183:J193)</f>
        <v>0</v>
      </c>
      <c r="K194" s="6">
        <f>SUM(K183:K193)</f>
        <v>0</v>
      </c>
      <c r="L194" s="6">
        <f>SUM(L183:L193)</f>
        <v>0</v>
      </c>
      <c r="M194" s="6">
        <f t="shared" si="20"/>
        <v>2352424.73</v>
      </c>
      <c r="N194" s="25">
        <f t="shared" si="19"/>
        <v>1.0118290928344724</v>
      </c>
    </row>
    <row r="195" spans="1:14" ht="48.75" customHeight="1">
      <c r="A195" s="78"/>
      <c r="B195" s="102" t="s">
        <v>39</v>
      </c>
      <c r="C195" s="16" t="s">
        <v>104</v>
      </c>
      <c r="D195" s="4"/>
      <c r="E195" s="4"/>
      <c r="F195" s="4"/>
      <c r="G195" s="4"/>
      <c r="H195" s="7">
        <f t="shared" si="21"/>
        <v>0</v>
      </c>
      <c r="I195" s="13"/>
      <c r="J195" s="7">
        <v>1081</v>
      </c>
      <c r="K195" s="13"/>
      <c r="L195" s="13"/>
      <c r="M195" s="7">
        <f t="shared" si="20"/>
        <v>1081</v>
      </c>
      <c r="N195" s="8"/>
    </row>
    <row r="196" spans="1:14" ht="9.75" hidden="1">
      <c r="A196" s="78"/>
      <c r="B196" s="103"/>
      <c r="C196" s="16" t="s">
        <v>190</v>
      </c>
      <c r="D196" s="4"/>
      <c r="E196" s="4"/>
      <c r="F196" s="4"/>
      <c r="G196" s="4"/>
      <c r="H196" s="7">
        <f t="shared" si="21"/>
        <v>0</v>
      </c>
      <c r="I196" s="13"/>
      <c r="J196" s="13"/>
      <c r="K196" s="13"/>
      <c r="L196" s="13"/>
      <c r="M196" s="7">
        <f t="shared" si="20"/>
        <v>0</v>
      </c>
      <c r="N196" s="8" t="e">
        <f t="shared" si="19"/>
        <v>#DIV/0!</v>
      </c>
    </row>
    <row r="197" spans="1:14" ht="11.25" customHeight="1">
      <c r="A197" s="78"/>
      <c r="B197" s="103"/>
      <c r="C197" s="16" t="s">
        <v>72</v>
      </c>
      <c r="D197" s="4"/>
      <c r="E197" s="4"/>
      <c r="F197" s="4"/>
      <c r="G197" s="4"/>
      <c r="H197" s="7">
        <f t="shared" si="21"/>
        <v>0</v>
      </c>
      <c r="I197" s="13"/>
      <c r="J197" s="7">
        <v>1111.49</v>
      </c>
      <c r="K197" s="13"/>
      <c r="L197" s="13"/>
      <c r="M197" s="7">
        <f t="shared" si="20"/>
        <v>1111.49</v>
      </c>
      <c r="N197" s="8"/>
    </row>
    <row r="198" spans="1:14" ht="19.5" hidden="1">
      <c r="A198" s="78"/>
      <c r="B198" s="104"/>
      <c r="C198" s="16" t="s">
        <v>200</v>
      </c>
      <c r="D198" s="4"/>
      <c r="E198" s="4"/>
      <c r="F198" s="4"/>
      <c r="G198" s="4"/>
      <c r="H198" s="7">
        <f t="shared" si="21"/>
        <v>0</v>
      </c>
      <c r="I198" s="13"/>
      <c r="J198" s="7"/>
      <c r="K198" s="13"/>
      <c r="L198" s="13"/>
      <c r="M198" s="7">
        <f t="shared" si="20"/>
        <v>0</v>
      </c>
      <c r="N198" s="5"/>
    </row>
    <row r="199" spans="1:14" ht="9.75">
      <c r="A199" s="78"/>
      <c r="B199" s="30" t="s">
        <v>154</v>
      </c>
      <c r="C199" s="26"/>
      <c r="D199" s="6">
        <f>SUM(D195:D198)</f>
        <v>0</v>
      </c>
      <c r="E199" s="6">
        <f>SUM(E195:E198)</f>
        <v>0</v>
      </c>
      <c r="F199" s="6">
        <f>SUM(F195:F198)</f>
        <v>0</v>
      </c>
      <c r="G199" s="6">
        <f>SUM(G195:G198)</f>
        <v>0</v>
      </c>
      <c r="H199" s="6">
        <f t="shared" si="21"/>
        <v>0</v>
      </c>
      <c r="I199" s="6">
        <f>SUM(I195:I198)</f>
        <v>0</v>
      </c>
      <c r="J199" s="6">
        <f>SUM(J195:J198)</f>
        <v>2192.49</v>
      </c>
      <c r="K199" s="6">
        <f>SUM(K195:K198)</f>
        <v>0</v>
      </c>
      <c r="L199" s="6">
        <f>SUM(L195:L198)</f>
        <v>0</v>
      </c>
      <c r="M199" s="6">
        <f t="shared" si="20"/>
        <v>2192.49</v>
      </c>
      <c r="N199" s="25"/>
    </row>
    <row r="200" spans="1:14" ht="48.75" customHeight="1">
      <c r="A200" s="78"/>
      <c r="B200" s="102" t="s">
        <v>205</v>
      </c>
      <c r="C200" s="16" t="s">
        <v>104</v>
      </c>
      <c r="D200" s="4">
        <f>736+18893</f>
        <v>19629</v>
      </c>
      <c r="E200" s="4"/>
      <c r="F200" s="4"/>
      <c r="G200" s="4"/>
      <c r="H200" s="7">
        <f t="shared" si="21"/>
        <v>19629</v>
      </c>
      <c r="I200" s="7">
        <v>46444.21</v>
      </c>
      <c r="J200" s="13"/>
      <c r="K200" s="13"/>
      <c r="L200" s="13"/>
      <c r="M200" s="7">
        <f t="shared" si="20"/>
        <v>46444.21</v>
      </c>
      <c r="N200" s="5">
        <f aca="true" t="shared" si="22" ref="N200:N230">M200/H200</f>
        <v>2.366101686280503</v>
      </c>
    </row>
    <row r="201" spans="1:14" ht="9.75" customHeight="1">
      <c r="A201" s="78"/>
      <c r="B201" s="103"/>
      <c r="C201" s="16" t="s">
        <v>72</v>
      </c>
      <c r="D201" s="4"/>
      <c r="E201" s="4"/>
      <c r="F201" s="4"/>
      <c r="G201" s="4"/>
      <c r="H201" s="7">
        <f t="shared" si="21"/>
        <v>0</v>
      </c>
      <c r="I201" s="7">
        <v>7445.32</v>
      </c>
      <c r="J201" s="13"/>
      <c r="K201" s="13"/>
      <c r="L201" s="13"/>
      <c r="M201" s="7">
        <f t="shared" si="20"/>
        <v>7445.32</v>
      </c>
      <c r="N201" s="5"/>
    </row>
    <row r="202" spans="1:14" ht="9.75" customHeight="1">
      <c r="A202" s="78"/>
      <c r="B202" s="103"/>
      <c r="C202" s="16" t="s">
        <v>308</v>
      </c>
      <c r="D202" s="4"/>
      <c r="E202" s="4"/>
      <c r="F202" s="4"/>
      <c r="G202" s="4"/>
      <c r="H202" s="7">
        <f t="shared" si="21"/>
        <v>0</v>
      </c>
      <c r="I202" s="7">
        <v>84.56</v>
      </c>
      <c r="J202" s="13"/>
      <c r="K202" s="13"/>
      <c r="L202" s="13"/>
      <c r="M202" s="7">
        <f>SUM(I202:L202)</f>
        <v>84.56</v>
      </c>
      <c r="N202" s="5"/>
    </row>
    <row r="203" spans="1:14" ht="9.75" customHeight="1">
      <c r="A203" s="78"/>
      <c r="B203" s="103"/>
      <c r="C203" s="16" t="s">
        <v>74</v>
      </c>
      <c r="D203" s="4"/>
      <c r="E203" s="4"/>
      <c r="F203" s="4"/>
      <c r="G203" s="4"/>
      <c r="H203" s="7">
        <f t="shared" si="21"/>
        <v>0</v>
      </c>
      <c r="I203" s="7">
        <v>290.44</v>
      </c>
      <c r="J203" s="13"/>
      <c r="K203" s="13"/>
      <c r="L203" s="13"/>
      <c r="M203" s="7">
        <f t="shared" si="20"/>
        <v>290.44</v>
      </c>
      <c r="N203" s="5"/>
    </row>
    <row r="204" spans="1:14" ht="9.75" customHeight="1" hidden="1">
      <c r="A204" s="78"/>
      <c r="B204" s="103"/>
      <c r="C204" s="16" t="s">
        <v>318</v>
      </c>
      <c r="D204" s="4"/>
      <c r="E204" s="4"/>
      <c r="F204" s="4"/>
      <c r="G204" s="4"/>
      <c r="H204" s="7">
        <f t="shared" si="21"/>
        <v>0</v>
      </c>
      <c r="J204" s="13"/>
      <c r="K204" s="13"/>
      <c r="L204" s="13"/>
      <c r="M204" s="7">
        <f t="shared" si="20"/>
        <v>0</v>
      </c>
      <c r="N204" s="5" t="e">
        <f t="shared" si="22"/>
        <v>#DIV/0!</v>
      </c>
    </row>
    <row r="205" spans="1:14" ht="39" customHeight="1">
      <c r="A205" s="78"/>
      <c r="B205" s="103"/>
      <c r="C205" s="16" t="s">
        <v>230</v>
      </c>
      <c r="D205" s="4">
        <v>78420</v>
      </c>
      <c r="E205" s="4"/>
      <c r="F205" s="4"/>
      <c r="G205" s="4"/>
      <c r="H205" s="7">
        <f t="shared" si="21"/>
        <v>78420</v>
      </c>
      <c r="I205" s="7">
        <v>17208</v>
      </c>
      <c r="J205" s="13"/>
      <c r="K205" s="13"/>
      <c r="L205" s="13"/>
      <c r="M205" s="7">
        <f t="shared" si="20"/>
        <v>17208</v>
      </c>
      <c r="N205" s="5">
        <f t="shared" si="22"/>
        <v>0.21943381790359603</v>
      </c>
    </row>
    <row r="206" spans="1:14" ht="39" customHeight="1" hidden="1">
      <c r="A206" s="78"/>
      <c r="B206" s="103"/>
      <c r="C206" s="16" t="s">
        <v>83</v>
      </c>
      <c r="D206" s="4"/>
      <c r="E206" s="4"/>
      <c r="F206" s="4"/>
      <c r="G206" s="4"/>
      <c r="H206" s="7">
        <f t="shared" si="21"/>
        <v>0</v>
      </c>
      <c r="I206" s="7"/>
      <c r="J206" s="7"/>
      <c r="K206" s="13"/>
      <c r="L206" s="13"/>
      <c r="M206" s="7">
        <f t="shared" si="20"/>
        <v>0</v>
      </c>
      <c r="N206" s="5" t="e">
        <f t="shared" si="22"/>
        <v>#DIV/0!</v>
      </c>
    </row>
    <row r="207" spans="1:14" ht="29.25" customHeight="1" hidden="1">
      <c r="A207" s="78"/>
      <c r="B207" s="103"/>
      <c r="C207" s="16" t="s">
        <v>207</v>
      </c>
      <c r="D207" s="4"/>
      <c r="E207" s="4"/>
      <c r="F207" s="4"/>
      <c r="G207" s="4"/>
      <c r="H207" s="7">
        <f t="shared" si="21"/>
        <v>0</v>
      </c>
      <c r="I207" s="7"/>
      <c r="J207" s="13"/>
      <c r="K207" s="13"/>
      <c r="L207" s="13"/>
      <c r="M207" s="7">
        <f t="shared" si="20"/>
        <v>0</v>
      </c>
      <c r="N207" s="5" t="e">
        <f t="shared" si="22"/>
        <v>#DIV/0!</v>
      </c>
    </row>
    <row r="208" spans="1:14" ht="39" customHeight="1">
      <c r="A208" s="78"/>
      <c r="B208" s="104"/>
      <c r="C208" s="16" t="s">
        <v>307</v>
      </c>
      <c r="D208" s="4">
        <v>3601</v>
      </c>
      <c r="E208" s="4"/>
      <c r="F208" s="4"/>
      <c r="G208" s="4"/>
      <c r="H208" s="7">
        <f t="shared" si="21"/>
        <v>3601</v>
      </c>
      <c r="I208" s="7"/>
      <c r="J208" s="13"/>
      <c r="K208" s="13"/>
      <c r="L208" s="13"/>
      <c r="M208" s="7">
        <f t="shared" si="20"/>
        <v>0</v>
      </c>
      <c r="N208" s="5">
        <f t="shared" si="22"/>
        <v>0</v>
      </c>
    </row>
    <row r="209" spans="1:14" ht="9.75" customHeight="1">
      <c r="A209" s="78"/>
      <c r="B209" s="30" t="s">
        <v>206</v>
      </c>
      <c r="C209" s="26"/>
      <c r="D209" s="6">
        <f>SUM(D200:D208)</f>
        <v>101650</v>
      </c>
      <c r="E209" s="6">
        <f>SUM(E200:E208)</f>
        <v>0</v>
      </c>
      <c r="F209" s="6">
        <f>SUM(F200:F208)</f>
        <v>0</v>
      </c>
      <c r="G209" s="6">
        <f>SUM(G200:G208)</f>
        <v>0</v>
      </c>
      <c r="H209" s="6">
        <f t="shared" si="21"/>
        <v>101650</v>
      </c>
      <c r="I209" s="6">
        <f>SUM(I200:I208)</f>
        <v>71472.53</v>
      </c>
      <c r="J209" s="6">
        <f>SUM(J200:J208)</f>
        <v>0</v>
      </c>
      <c r="K209" s="6">
        <f>SUM(K200:K208)</f>
        <v>0</v>
      </c>
      <c r="L209" s="6">
        <f>SUM(L200:L208)</f>
        <v>0</v>
      </c>
      <c r="M209" s="6">
        <f t="shared" si="20"/>
        <v>71472.53</v>
      </c>
      <c r="N209" s="25">
        <f t="shared" si="22"/>
        <v>0.7031237579931137</v>
      </c>
    </row>
    <row r="210" spans="1:14" s="10" customFormat="1" ht="10.5" customHeight="1">
      <c r="A210" s="79"/>
      <c r="B210" s="102" t="s">
        <v>40</v>
      </c>
      <c r="C210" s="16" t="s">
        <v>71</v>
      </c>
      <c r="D210" s="13"/>
      <c r="E210" s="13"/>
      <c r="F210" s="13"/>
      <c r="G210" s="13"/>
      <c r="H210" s="7">
        <f t="shared" si="21"/>
        <v>0</v>
      </c>
      <c r="I210" s="70">
        <v>663.31</v>
      </c>
      <c r="J210" s="13"/>
      <c r="K210" s="13"/>
      <c r="L210" s="13"/>
      <c r="M210" s="7">
        <f t="shared" si="20"/>
        <v>663.31</v>
      </c>
      <c r="N210" s="5"/>
    </row>
    <row r="211" spans="1:14" ht="48" customHeight="1">
      <c r="A211" s="78"/>
      <c r="B211" s="103"/>
      <c r="C211" s="24" t="s">
        <v>104</v>
      </c>
      <c r="D211" s="4">
        <f>8095+9514</f>
        <v>17609</v>
      </c>
      <c r="E211" s="4"/>
      <c r="F211" s="4"/>
      <c r="G211" s="4"/>
      <c r="H211" s="7">
        <f t="shared" si="21"/>
        <v>17609</v>
      </c>
      <c r="I211" s="7">
        <v>19716.62</v>
      </c>
      <c r="J211" s="7"/>
      <c r="K211" s="7"/>
      <c r="L211" s="7"/>
      <c r="M211" s="7">
        <f t="shared" si="20"/>
        <v>19716.62</v>
      </c>
      <c r="N211" s="5">
        <f t="shared" si="22"/>
        <v>1.1196899312851383</v>
      </c>
    </row>
    <row r="212" spans="1:14" ht="9.75" hidden="1">
      <c r="A212" s="78"/>
      <c r="B212" s="103"/>
      <c r="C212" s="16" t="s">
        <v>190</v>
      </c>
      <c r="D212" s="4"/>
      <c r="E212" s="4"/>
      <c r="F212" s="4"/>
      <c r="G212" s="4"/>
      <c r="H212" s="7">
        <f t="shared" si="21"/>
        <v>0</v>
      </c>
      <c r="I212" s="7"/>
      <c r="J212" s="7"/>
      <c r="K212" s="7"/>
      <c r="L212" s="7"/>
      <c r="M212" s="7">
        <f t="shared" si="20"/>
        <v>0</v>
      </c>
      <c r="N212" s="5" t="e">
        <f t="shared" si="22"/>
        <v>#DIV/0!</v>
      </c>
    </row>
    <row r="213" spans="1:14" ht="9" customHeight="1">
      <c r="A213" s="78"/>
      <c r="B213" s="103"/>
      <c r="C213" s="16" t="s">
        <v>72</v>
      </c>
      <c r="D213" s="4"/>
      <c r="E213" s="4"/>
      <c r="F213" s="4"/>
      <c r="G213" s="4"/>
      <c r="H213" s="7">
        <f t="shared" si="21"/>
        <v>0</v>
      </c>
      <c r="I213" s="7">
        <v>13219.14</v>
      </c>
      <c r="J213" s="7"/>
      <c r="K213" s="7"/>
      <c r="L213" s="7"/>
      <c r="M213" s="7">
        <f t="shared" si="20"/>
        <v>13219.14</v>
      </c>
      <c r="N213" s="5"/>
    </row>
    <row r="214" spans="1:14" ht="18.75" customHeight="1" hidden="1">
      <c r="A214" s="78"/>
      <c r="B214" s="103"/>
      <c r="C214" s="16" t="s">
        <v>204</v>
      </c>
      <c r="D214" s="4"/>
      <c r="E214" s="4"/>
      <c r="F214" s="4"/>
      <c r="G214" s="4"/>
      <c r="H214" s="7">
        <f t="shared" si="21"/>
        <v>0</v>
      </c>
      <c r="I214" s="7"/>
      <c r="J214" s="7"/>
      <c r="K214" s="7"/>
      <c r="L214" s="7"/>
      <c r="M214" s="7">
        <f t="shared" si="20"/>
        <v>0</v>
      </c>
      <c r="N214" s="5" t="e">
        <f t="shared" si="22"/>
        <v>#DIV/0!</v>
      </c>
    </row>
    <row r="215" spans="1:14" ht="9" customHeight="1">
      <c r="A215" s="78"/>
      <c r="B215" s="103"/>
      <c r="C215" s="16" t="s">
        <v>74</v>
      </c>
      <c r="D215" s="4"/>
      <c r="E215" s="4"/>
      <c r="F215" s="4"/>
      <c r="G215" s="4"/>
      <c r="H215" s="7">
        <f t="shared" si="21"/>
        <v>0</v>
      </c>
      <c r="I215" s="7">
        <v>832.98</v>
      </c>
      <c r="J215" s="7"/>
      <c r="K215" s="7"/>
      <c r="L215" s="7"/>
      <c r="M215" s="7">
        <f t="shared" si="20"/>
        <v>832.98</v>
      </c>
      <c r="N215" s="5"/>
    </row>
    <row r="216" spans="1:14" ht="21" customHeight="1" hidden="1">
      <c r="A216" s="78"/>
      <c r="B216" s="104"/>
      <c r="C216" s="16" t="s">
        <v>200</v>
      </c>
      <c r="D216" s="4"/>
      <c r="E216" s="4"/>
      <c r="F216" s="4"/>
      <c r="G216" s="4"/>
      <c r="H216" s="7">
        <f t="shared" si="21"/>
        <v>0</v>
      </c>
      <c r="I216" s="7"/>
      <c r="J216" s="7"/>
      <c r="K216" s="7"/>
      <c r="L216" s="7"/>
      <c r="M216" s="7">
        <f t="shared" si="20"/>
        <v>0</v>
      </c>
      <c r="N216" s="5" t="e">
        <f t="shared" si="22"/>
        <v>#DIV/0!</v>
      </c>
    </row>
    <row r="217" spans="1:14" ht="9" customHeight="1">
      <c r="A217" s="78"/>
      <c r="B217" s="30" t="s">
        <v>155</v>
      </c>
      <c r="C217" s="26"/>
      <c r="D217" s="6">
        <f>SUM(D210:D216)</f>
        <v>17609</v>
      </c>
      <c r="E217" s="6">
        <f>SUM(E210:E216)</f>
        <v>0</v>
      </c>
      <c r="F217" s="6">
        <f>SUM(F210:F216)</f>
        <v>0</v>
      </c>
      <c r="G217" s="6">
        <f>SUM(G210:G216)</f>
        <v>0</v>
      </c>
      <c r="H217" s="6">
        <f t="shared" si="21"/>
        <v>17609</v>
      </c>
      <c r="I217" s="6">
        <f>SUM(I210:I216)</f>
        <v>34432.05</v>
      </c>
      <c r="J217" s="6">
        <f>SUM(J210:J216)</f>
        <v>0</v>
      </c>
      <c r="K217" s="6">
        <f>SUM(K210:K216)</f>
        <v>0</v>
      </c>
      <c r="L217" s="6">
        <f>SUM(L210:L216)</f>
        <v>0</v>
      </c>
      <c r="M217" s="6">
        <f t="shared" si="20"/>
        <v>34432.05</v>
      </c>
      <c r="N217" s="25">
        <f t="shared" si="22"/>
        <v>1.9553665739110684</v>
      </c>
    </row>
    <row r="218" spans="1:14" ht="49.5" customHeight="1">
      <c r="A218" s="78"/>
      <c r="B218" s="102" t="s">
        <v>41</v>
      </c>
      <c r="C218" s="16" t="s">
        <v>104</v>
      </c>
      <c r="D218" s="4"/>
      <c r="E218" s="4">
        <v>11700</v>
      </c>
      <c r="F218" s="4"/>
      <c r="G218" s="4"/>
      <c r="H218" s="7">
        <f t="shared" si="21"/>
        <v>11700</v>
      </c>
      <c r="I218" s="7"/>
      <c r="J218" s="7">
        <v>15606.67</v>
      </c>
      <c r="K218" s="7"/>
      <c r="L218" s="7"/>
      <c r="M218" s="7">
        <f t="shared" si="20"/>
        <v>15606.67</v>
      </c>
      <c r="N218" s="5">
        <f t="shared" si="22"/>
        <v>1.333903418803419</v>
      </c>
    </row>
    <row r="219" spans="1:14" ht="9.75" customHeight="1" hidden="1">
      <c r="A219" s="78"/>
      <c r="B219" s="103"/>
      <c r="C219" s="16" t="s">
        <v>190</v>
      </c>
      <c r="D219" s="4"/>
      <c r="E219" s="4"/>
      <c r="F219" s="4"/>
      <c r="G219" s="4"/>
      <c r="H219" s="7">
        <f t="shared" si="21"/>
        <v>0</v>
      </c>
      <c r="I219" s="7"/>
      <c r="J219" s="7"/>
      <c r="K219" s="7"/>
      <c r="L219" s="7"/>
      <c r="M219" s="7">
        <f t="shared" si="20"/>
        <v>0</v>
      </c>
      <c r="N219" s="5" t="e">
        <f t="shared" si="22"/>
        <v>#DIV/0!</v>
      </c>
    </row>
    <row r="220" spans="1:14" ht="9.75">
      <c r="A220" s="78"/>
      <c r="B220" s="103"/>
      <c r="C220" s="16" t="s">
        <v>72</v>
      </c>
      <c r="D220" s="4"/>
      <c r="E220" s="4"/>
      <c r="F220" s="4"/>
      <c r="G220" s="4"/>
      <c r="H220" s="7">
        <f t="shared" si="21"/>
        <v>0</v>
      </c>
      <c r="I220" s="7"/>
      <c r="J220" s="7">
        <v>13778.06</v>
      </c>
      <c r="K220" s="7"/>
      <c r="L220" s="7"/>
      <c r="M220" s="7">
        <f t="shared" si="20"/>
        <v>13778.06</v>
      </c>
      <c r="N220" s="5"/>
    </row>
    <row r="221" spans="1:14" ht="9.75">
      <c r="A221" s="78"/>
      <c r="B221" s="103"/>
      <c r="C221" s="16" t="s">
        <v>308</v>
      </c>
      <c r="D221" s="4"/>
      <c r="E221" s="4"/>
      <c r="F221" s="4"/>
      <c r="G221" s="4"/>
      <c r="H221" s="7">
        <f t="shared" si="21"/>
        <v>0</v>
      </c>
      <c r="I221" s="7"/>
      <c r="J221" s="7">
        <v>267.87</v>
      </c>
      <c r="K221" s="7"/>
      <c r="L221" s="7"/>
      <c r="M221" s="7">
        <f t="shared" si="20"/>
        <v>267.87</v>
      </c>
      <c r="N221" s="5"/>
    </row>
    <row r="222" spans="1:14" ht="19.5" hidden="1">
      <c r="A222" s="78"/>
      <c r="B222" s="103"/>
      <c r="C222" s="16" t="s">
        <v>204</v>
      </c>
      <c r="D222" s="4"/>
      <c r="E222" s="4"/>
      <c r="F222" s="4"/>
      <c r="G222" s="4"/>
      <c r="H222" s="7">
        <f t="shared" si="21"/>
        <v>0</v>
      </c>
      <c r="I222" s="7"/>
      <c r="J222" s="7"/>
      <c r="K222" s="7"/>
      <c r="L222" s="7"/>
      <c r="M222" s="7">
        <f aca="true" t="shared" si="23" ref="M222:M253">SUM(I222:L222)</f>
        <v>0</v>
      </c>
      <c r="N222" s="5" t="e">
        <f t="shared" si="22"/>
        <v>#DIV/0!</v>
      </c>
    </row>
    <row r="223" spans="1:14" ht="9" customHeight="1">
      <c r="A223" s="78"/>
      <c r="B223" s="103"/>
      <c r="C223" s="16" t="s">
        <v>74</v>
      </c>
      <c r="D223" s="4"/>
      <c r="E223" s="4"/>
      <c r="F223" s="4"/>
      <c r="G223" s="4"/>
      <c r="H223" s="7">
        <f t="shared" si="21"/>
        <v>0</v>
      </c>
      <c r="I223" s="7"/>
      <c r="J223" s="7">
        <v>2445.58</v>
      </c>
      <c r="K223" s="7"/>
      <c r="L223" s="7"/>
      <c r="M223" s="7">
        <f t="shared" si="23"/>
        <v>2445.58</v>
      </c>
      <c r="N223" s="5"/>
    </row>
    <row r="224" spans="1:14" ht="20.25" customHeight="1" hidden="1">
      <c r="A224" s="78"/>
      <c r="B224" s="103"/>
      <c r="C224" s="16" t="s">
        <v>200</v>
      </c>
      <c r="D224" s="4"/>
      <c r="E224" s="4"/>
      <c r="F224" s="4"/>
      <c r="G224" s="4"/>
      <c r="H224" s="7">
        <f t="shared" si="21"/>
        <v>0</v>
      </c>
      <c r="I224" s="7"/>
      <c r="J224" s="7"/>
      <c r="K224" s="7"/>
      <c r="L224" s="7"/>
      <c r="M224" s="7">
        <f t="shared" si="23"/>
        <v>0</v>
      </c>
      <c r="N224" s="5" t="e">
        <f t="shared" si="22"/>
        <v>#DIV/0!</v>
      </c>
    </row>
    <row r="225" spans="1:14" ht="39.75" customHeight="1">
      <c r="A225" s="78"/>
      <c r="B225" s="104"/>
      <c r="C225" s="16" t="s">
        <v>307</v>
      </c>
      <c r="D225" s="4"/>
      <c r="E225" s="4">
        <v>12532</v>
      </c>
      <c r="F225" s="4"/>
      <c r="G225" s="4"/>
      <c r="H225" s="7">
        <f t="shared" si="21"/>
        <v>12532</v>
      </c>
      <c r="I225" s="7"/>
      <c r="J225" s="7"/>
      <c r="K225" s="7"/>
      <c r="L225" s="7"/>
      <c r="M225" s="7">
        <f t="shared" si="23"/>
        <v>0</v>
      </c>
      <c r="N225" s="5">
        <f t="shared" si="22"/>
        <v>0</v>
      </c>
    </row>
    <row r="226" spans="1:14" ht="12" customHeight="1">
      <c r="A226" s="78"/>
      <c r="B226" s="30" t="s">
        <v>156</v>
      </c>
      <c r="C226" s="26"/>
      <c r="D226" s="6">
        <f>SUM(D218:D225)</f>
        <v>0</v>
      </c>
      <c r="E226" s="6">
        <f>SUM(E218:E225)</f>
        <v>24232</v>
      </c>
      <c r="F226" s="6">
        <f>SUM(F218:F225)</f>
        <v>0</v>
      </c>
      <c r="G226" s="6">
        <f>SUM(G218:G225)</f>
        <v>0</v>
      </c>
      <c r="H226" s="6">
        <f t="shared" si="21"/>
        <v>24232</v>
      </c>
      <c r="I226" s="6">
        <f>SUM(I218:I225)</f>
        <v>0</v>
      </c>
      <c r="J226" s="6">
        <f>SUM(J218:J225)</f>
        <v>32098.18</v>
      </c>
      <c r="K226" s="6">
        <f>SUM(K218:K225)</f>
        <v>0</v>
      </c>
      <c r="L226" s="6">
        <f>SUM(L218:L225)</f>
        <v>0</v>
      </c>
      <c r="M226" s="6">
        <f t="shared" si="23"/>
        <v>32098.18</v>
      </c>
      <c r="N226" s="25">
        <f t="shared" si="22"/>
        <v>1.3246195113898978</v>
      </c>
    </row>
    <row r="227" spans="1:14" s="10" customFormat="1" ht="11.25" customHeight="1" hidden="1">
      <c r="A227" s="79"/>
      <c r="B227" s="19" t="s">
        <v>157</v>
      </c>
      <c r="C227" s="16" t="s">
        <v>71</v>
      </c>
      <c r="D227" s="13"/>
      <c r="E227" s="13"/>
      <c r="F227" s="13"/>
      <c r="G227" s="13"/>
      <c r="H227" s="7">
        <f t="shared" si="21"/>
        <v>0</v>
      </c>
      <c r="I227" s="13"/>
      <c r="J227" s="13"/>
      <c r="K227" s="13"/>
      <c r="L227" s="13"/>
      <c r="M227" s="7">
        <f t="shared" si="23"/>
        <v>0</v>
      </c>
      <c r="N227" s="5" t="e">
        <f t="shared" si="22"/>
        <v>#DIV/0!</v>
      </c>
    </row>
    <row r="228" spans="1:14" ht="48" customHeight="1">
      <c r="A228" s="78"/>
      <c r="B228" s="19" t="s">
        <v>157</v>
      </c>
      <c r="C228" s="24" t="s">
        <v>104</v>
      </c>
      <c r="D228" s="7"/>
      <c r="E228" s="4">
        <v>4661</v>
      </c>
      <c r="F228" s="4"/>
      <c r="G228" s="4"/>
      <c r="H228" s="7">
        <f t="shared" si="21"/>
        <v>4661</v>
      </c>
      <c r="I228" s="7"/>
      <c r="J228" s="7">
        <v>10645.25</v>
      </c>
      <c r="K228" s="7"/>
      <c r="L228" s="7"/>
      <c r="M228" s="7">
        <f t="shared" si="23"/>
        <v>10645.25</v>
      </c>
      <c r="N228" s="5">
        <f t="shared" si="22"/>
        <v>2.2838983050847457</v>
      </c>
    </row>
    <row r="229" spans="1:14" ht="9.75" hidden="1">
      <c r="A229" s="78"/>
      <c r="B229" s="24"/>
      <c r="C229" s="16" t="s">
        <v>190</v>
      </c>
      <c r="D229" s="4"/>
      <c r="E229" s="4"/>
      <c r="F229" s="4"/>
      <c r="G229" s="4"/>
      <c r="H229" s="7">
        <f t="shared" si="21"/>
        <v>0</v>
      </c>
      <c r="I229" s="7"/>
      <c r="J229" s="7"/>
      <c r="K229" s="7"/>
      <c r="L229" s="7"/>
      <c r="M229" s="7">
        <f t="shared" si="23"/>
        <v>0</v>
      </c>
      <c r="N229" s="5" t="e">
        <f t="shared" si="22"/>
        <v>#DIV/0!</v>
      </c>
    </row>
    <row r="230" spans="1:14" ht="9.75" hidden="1">
      <c r="A230" s="78"/>
      <c r="B230" s="24"/>
      <c r="C230" s="16" t="s">
        <v>232</v>
      </c>
      <c r="D230" s="4"/>
      <c r="E230" s="4"/>
      <c r="F230" s="4"/>
      <c r="G230" s="4"/>
      <c r="H230" s="7">
        <f t="shared" si="21"/>
        <v>0</v>
      </c>
      <c r="I230" s="7"/>
      <c r="J230" s="7"/>
      <c r="K230" s="7"/>
      <c r="L230" s="7"/>
      <c r="M230" s="7">
        <f t="shared" si="23"/>
        <v>0</v>
      </c>
      <c r="N230" s="5" t="e">
        <f t="shared" si="22"/>
        <v>#DIV/0!</v>
      </c>
    </row>
    <row r="231" spans="1:14" ht="19.5">
      <c r="A231" s="78"/>
      <c r="B231" s="24"/>
      <c r="C231" s="16" t="s">
        <v>161</v>
      </c>
      <c r="D231" s="4"/>
      <c r="E231" s="4"/>
      <c r="F231" s="4"/>
      <c r="G231" s="4"/>
      <c r="H231" s="7">
        <f t="shared" si="21"/>
        <v>0</v>
      </c>
      <c r="I231" s="7"/>
      <c r="J231" s="7">
        <v>2499.6</v>
      </c>
      <c r="K231" s="7"/>
      <c r="L231" s="7"/>
      <c r="M231" s="7">
        <f t="shared" si="23"/>
        <v>2499.6</v>
      </c>
      <c r="N231" s="5"/>
    </row>
    <row r="232" spans="1:14" ht="9.75">
      <c r="A232" s="78"/>
      <c r="B232" s="24"/>
      <c r="C232" s="16" t="s">
        <v>72</v>
      </c>
      <c r="D232" s="4"/>
      <c r="E232" s="4"/>
      <c r="F232" s="4"/>
      <c r="G232" s="4"/>
      <c r="H232" s="7">
        <f t="shared" si="21"/>
        <v>0</v>
      </c>
      <c r="I232" s="7"/>
      <c r="J232" s="7">
        <v>14024.69</v>
      </c>
      <c r="K232" s="7"/>
      <c r="L232" s="7"/>
      <c r="M232" s="7">
        <f t="shared" si="23"/>
        <v>14024.69</v>
      </c>
      <c r="N232" s="5"/>
    </row>
    <row r="233" spans="1:14" ht="9.75">
      <c r="A233" s="78"/>
      <c r="B233" s="24"/>
      <c r="C233" s="16" t="s">
        <v>308</v>
      </c>
      <c r="D233" s="4"/>
      <c r="E233" s="4"/>
      <c r="F233" s="4"/>
      <c r="G233" s="4"/>
      <c r="H233" s="7">
        <f t="shared" si="21"/>
        <v>0</v>
      </c>
      <c r="I233" s="7"/>
      <c r="J233" s="7">
        <v>86.32</v>
      </c>
      <c r="K233" s="7"/>
      <c r="L233" s="7"/>
      <c r="M233" s="7">
        <f t="shared" si="23"/>
        <v>86.32</v>
      </c>
      <c r="N233" s="5"/>
    </row>
    <row r="234" spans="1:14" ht="18.75" customHeight="1" hidden="1">
      <c r="A234" s="78"/>
      <c r="B234" s="24"/>
      <c r="C234" s="16" t="s">
        <v>204</v>
      </c>
      <c r="D234" s="4"/>
      <c r="E234" s="4"/>
      <c r="F234" s="4"/>
      <c r="G234" s="4"/>
      <c r="H234" s="7">
        <f t="shared" si="21"/>
        <v>0</v>
      </c>
      <c r="I234" s="7"/>
      <c r="J234" s="7"/>
      <c r="K234" s="7"/>
      <c r="L234" s="7"/>
      <c r="M234" s="7">
        <f t="shared" si="23"/>
        <v>0</v>
      </c>
      <c r="N234" s="5"/>
    </row>
    <row r="235" spans="1:14" ht="9.75" customHeight="1">
      <c r="A235" s="78"/>
      <c r="B235" s="24"/>
      <c r="C235" s="16" t="s">
        <v>74</v>
      </c>
      <c r="D235" s="4"/>
      <c r="E235" s="4"/>
      <c r="F235" s="4"/>
      <c r="G235" s="4"/>
      <c r="H235" s="7">
        <f t="shared" si="21"/>
        <v>0</v>
      </c>
      <c r="I235" s="7"/>
      <c r="J235" s="7">
        <v>1246.5</v>
      </c>
      <c r="K235" s="7"/>
      <c r="L235" s="7"/>
      <c r="M235" s="7">
        <f t="shared" si="23"/>
        <v>1246.5</v>
      </c>
      <c r="N235" s="5"/>
    </row>
    <row r="236" spans="1:14" ht="19.5" customHeight="1" hidden="1">
      <c r="A236" s="78"/>
      <c r="B236" s="24"/>
      <c r="C236" s="16" t="s">
        <v>200</v>
      </c>
      <c r="D236" s="4"/>
      <c r="E236" s="4"/>
      <c r="F236" s="4"/>
      <c r="G236" s="4"/>
      <c r="H236" s="7">
        <f t="shared" si="21"/>
        <v>0</v>
      </c>
      <c r="I236" s="7"/>
      <c r="J236" s="7"/>
      <c r="K236" s="7"/>
      <c r="L236" s="7"/>
      <c r="M236" s="7">
        <f t="shared" si="23"/>
        <v>0</v>
      </c>
      <c r="N236" s="5" t="e">
        <f aca="true" t="shared" si="24" ref="N236:N247">M236/H236</f>
        <v>#DIV/0!</v>
      </c>
    </row>
    <row r="237" spans="1:14" ht="40.5" customHeight="1">
      <c r="A237" s="78"/>
      <c r="B237" s="15"/>
      <c r="C237" s="16" t="s">
        <v>307</v>
      </c>
      <c r="D237" s="4"/>
      <c r="E237" s="4">
        <v>2973</v>
      </c>
      <c r="F237" s="4"/>
      <c r="G237" s="4"/>
      <c r="H237" s="7">
        <f t="shared" si="21"/>
        <v>2973</v>
      </c>
      <c r="I237" s="7"/>
      <c r="J237" s="7"/>
      <c r="K237" s="7"/>
      <c r="L237" s="7"/>
      <c r="M237" s="7">
        <f t="shared" si="23"/>
        <v>0</v>
      </c>
      <c r="N237" s="5">
        <f t="shared" si="24"/>
        <v>0</v>
      </c>
    </row>
    <row r="238" spans="1:14" ht="11.25" customHeight="1">
      <c r="A238" s="78"/>
      <c r="B238" s="30" t="s">
        <v>158</v>
      </c>
      <c r="C238" s="26"/>
      <c r="D238" s="6">
        <f>SUM(D227:D237)</f>
        <v>0</v>
      </c>
      <c r="E238" s="6">
        <f>SUM(E227:E237)</f>
        <v>7634</v>
      </c>
      <c r="F238" s="6">
        <f>SUM(F227:F237)</f>
        <v>0</v>
      </c>
      <c r="G238" s="6">
        <f>SUM(G227:G237)</f>
        <v>0</v>
      </c>
      <c r="H238" s="6">
        <f t="shared" si="21"/>
        <v>7634</v>
      </c>
      <c r="I238" s="6">
        <f>SUM(I227:I237)</f>
        <v>0</v>
      </c>
      <c r="J238" s="6">
        <f>SUM(J227:J237)</f>
        <v>28502.36</v>
      </c>
      <c r="K238" s="6">
        <f>SUM(K227:K237)</f>
        <v>0</v>
      </c>
      <c r="L238" s="6">
        <f>SUM(L227:L237)</f>
        <v>0</v>
      </c>
      <c r="M238" s="6">
        <f t="shared" si="23"/>
        <v>28502.36</v>
      </c>
      <c r="N238" s="25">
        <f t="shared" si="24"/>
        <v>3.7336075451925597</v>
      </c>
    </row>
    <row r="239" spans="1:14" ht="60" customHeight="1" hidden="1">
      <c r="A239" s="78"/>
      <c r="B239" s="19" t="s">
        <v>42</v>
      </c>
      <c r="C239" s="24" t="s">
        <v>104</v>
      </c>
      <c r="D239" s="4"/>
      <c r="E239" s="4"/>
      <c r="F239" s="4"/>
      <c r="G239" s="4"/>
      <c r="H239" s="7">
        <f t="shared" si="21"/>
        <v>0</v>
      </c>
      <c r="I239" s="9"/>
      <c r="J239" s="7"/>
      <c r="K239" s="9"/>
      <c r="L239" s="9"/>
      <c r="M239" s="7">
        <f t="shared" si="23"/>
        <v>0</v>
      </c>
      <c r="N239" s="5" t="e">
        <f t="shared" si="24"/>
        <v>#DIV/0!</v>
      </c>
    </row>
    <row r="240" spans="1:14" ht="9.75" customHeight="1" hidden="1">
      <c r="A240" s="78"/>
      <c r="B240" s="24"/>
      <c r="C240" s="16" t="s">
        <v>190</v>
      </c>
      <c r="D240" s="4"/>
      <c r="E240" s="4">
        <f>150-150</f>
        <v>0</v>
      </c>
      <c r="F240" s="4"/>
      <c r="G240" s="4"/>
      <c r="H240" s="7">
        <f t="shared" si="21"/>
        <v>0</v>
      </c>
      <c r="I240" s="7"/>
      <c r="J240" s="7"/>
      <c r="K240" s="7"/>
      <c r="L240" s="7"/>
      <c r="M240" s="7">
        <f t="shared" si="23"/>
        <v>0</v>
      </c>
      <c r="N240" s="5" t="e">
        <f t="shared" si="24"/>
        <v>#DIV/0!</v>
      </c>
    </row>
    <row r="241" spans="1:14" ht="11.25" customHeight="1">
      <c r="A241" s="78"/>
      <c r="B241" s="102" t="s">
        <v>42</v>
      </c>
      <c r="C241" s="16" t="s">
        <v>72</v>
      </c>
      <c r="D241" s="4"/>
      <c r="E241" s="4"/>
      <c r="F241" s="4"/>
      <c r="G241" s="4"/>
      <c r="H241" s="7">
        <f t="shared" si="21"/>
        <v>0</v>
      </c>
      <c r="I241" s="7"/>
      <c r="J241" s="7">
        <v>948.07</v>
      </c>
      <c r="K241" s="7"/>
      <c r="L241" s="7"/>
      <c r="M241" s="7">
        <f t="shared" si="23"/>
        <v>948.07</v>
      </c>
      <c r="N241" s="5"/>
    </row>
    <row r="242" spans="1:14" ht="11.25" customHeight="1">
      <c r="A242" s="78"/>
      <c r="B242" s="104"/>
      <c r="C242" s="16" t="s">
        <v>74</v>
      </c>
      <c r="D242" s="4"/>
      <c r="E242" s="4"/>
      <c r="F242" s="4"/>
      <c r="G242" s="4"/>
      <c r="H242" s="7">
        <f t="shared" si="21"/>
        <v>0</v>
      </c>
      <c r="I242" s="7"/>
      <c r="J242" s="7">
        <v>166.1</v>
      </c>
      <c r="K242" s="7"/>
      <c r="L242" s="7"/>
      <c r="M242" s="7">
        <f t="shared" si="23"/>
        <v>166.1</v>
      </c>
      <c r="N242" s="5"/>
    </row>
    <row r="243" spans="1:14" ht="9.75" customHeight="1">
      <c r="A243" s="78"/>
      <c r="B243" s="30" t="s">
        <v>159</v>
      </c>
      <c r="C243" s="26"/>
      <c r="D243" s="6">
        <f>SUM(D239:D242)</f>
        <v>0</v>
      </c>
      <c r="E243" s="6">
        <f>SUM(E239:E242)</f>
        <v>0</v>
      </c>
      <c r="F243" s="6">
        <f>SUM(F239:F242)</f>
        <v>0</v>
      </c>
      <c r="G243" s="6">
        <f>SUM(G239:G242)</f>
        <v>0</v>
      </c>
      <c r="H243" s="6">
        <f t="shared" si="21"/>
        <v>0</v>
      </c>
      <c r="I243" s="6">
        <f>SUM(I239:I242)</f>
        <v>0</v>
      </c>
      <c r="J243" s="6">
        <f>SUM(J239:J242)</f>
        <v>1114.17</v>
      </c>
      <c r="K243" s="6">
        <f>SUM(K239:K242)</f>
        <v>0</v>
      </c>
      <c r="L243" s="6">
        <f>SUM(L239:L242)</f>
        <v>0</v>
      </c>
      <c r="M243" s="6">
        <f t="shared" si="23"/>
        <v>1114.17</v>
      </c>
      <c r="N243" s="25"/>
    </row>
    <row r="244" spans="1:14" s="10" customFormat="1" ht="10.5" customHeight="1" hidden="1">
      <c r="A244" s="79"/>
      <c r="B244" s="16" t="s">
        <v>43</v>
      </c>
      <c r="C244" s="16" t="s">
        <v>190</v>
      </c>
      <c r="D244" s="13"/>
      <c r="E244" s="13"/>
      <c r="F244" s="13"/>
      <c r="G244" s="13"/>
      <c r="H244" s="7">
        <f t="shared" si="21"/>
        <v>0</v>
      </c>
      <c r="I244" s="13"/>
      <c r="J244" s="13"/>
      <c r="K244" s="13"/>
      <c r="L244" s="13"/>
      <c r="M244" s="7">
        <f t="shared" si="23"/>
        <v>0</v>
      </c>
      <c r="N244" s="5" t="e">
        <f t="shared" si="24"/>
        <v>#DIV/0!</v>
      </c>
    </row>
    <row r="245" spans="1:14" ht="69.75" customHeight="1">
      <c r="A245" s="78"/>
      <c r="B245" s="16" t="s">
        <v>43</v>
      </c>
      <c r="C245" s="24" t="s">
        <v>83</v>
      </c>
      <c r="D245" s="4"/>
      <c r="E245" s="4">
        <v>507500</v>
      </c>
      <c r="F245" s="4"/>
      <c r="G245" s="4"/>
      <c r="H245" s="7">
        <f t="shared" si="21"/>
        <v>507500</v>
      </c>
      <c r="I245" s="7"/>
      <c r="J245" s="7">
        <v>33000</v>
      </c>
      <c r="K245" s="7"/>
      <c r="L245" s="7"/>
      <c r="M245" s="7">
        <f t="shared" si="23"/>
        <v>33000</v>
      </c>
      <c r="N245" s="5">
        <f t="shared" si="24"/>
        <v>0.06502463054187192</v>
      </c>
    </row>
    <row r="246" spans="1:14" ht="9.75" customHeight="1">
      <c r="A246" s="78"/>
      <c r="B246" s="30" t="s">
        <v>160</v>
      </c>
      <c r="C246" s="26"/>
      <c r="D246" s="6">
        <f>SUM(D244:D245)</f>
        <v>0</v>
      </c>
      <c r="E246" s="6">
        <f>SUM(E244:E245)</f>
        <v>507500</v>
      </c>
      <c r="F246" s="6">
        <f>SUM(F244:F245)</f>
        <v>0</v>
      </c>
      <c r="G246" s="6">
        <f>SUM(G244:G245)</f>
        <v>0</v>
      </c>
      <c r="H246" s="6">
        <f t="shared" si="21"/>
        <v>507500</v>
      </c>
      <c r="I246" s="6">
        <f>SUM(I244:I245)</f>
        <v>0</v>
      </c>
      <c r="J246" s="6">
        <f>SUM(J244:J245)</f>
        <v>33000</v>
      </c>
      <c r="K246" s="6">
        <f>SUM(K244:K245)</f>
        <v>0</v>
      </c>
      <c r="L246" s="6">
        <f>SUM(L244:L245)</f>
        <v>0</v>
      </c>
      <c r="M246" s="6">
        <f t="shared" si="23"/>
        <v>33000</v>
      </c>
      <c r="N246" s="25">
        <f t="shared" si="24"/>
        <v>0.06502463054187192</v>
      </c>
    </row>
    <row r="247" spans="1:14" ht="10.5" customHeight="1" hidden="1">
      <c r="A247" s="78"/>
      <c r="B247" s="19" t="s">
        <v>191</v>
      </c>
      <c r="C247" s="16" t="s">
        <v>190</v>
      </c>
      <c r="D247" s="4"/>
      <c r="E247" s="4"/>
      <c r="F247" s="4"/>
      <c r="G247" s="4"/>
      <c r="H247" s="7">
        <f t="shared" si="21"/>
        <v>0</v>
      </c>
      <c r="I247" s="7"/>
      <c r="J247" s="7"/>
      <c r="K247" s="7"/>
      <c r="L247" s="7"/>
      <c r="M247" s="7">
        <f t="shared" si="23"/>
        <v>0</v>
      </c>
      <c r="N247" s="5" t="e">
        <f t="shared" si="24"/>
        <v>#DIV/0!</v>
      </c>
    </row>
    <row r="248" spans="1:14" ht="9" customHeight="1">
      <c r="A248" s="78"/>
      <c r="B248" s="102" t="s">
        <v>191</v>
      </c>
      <c r="C248" s="16" t="s">
        <v>72</v>
      </c>
      <c r="D248" s="4"/>
      <c r="E248" s="4"/>
      <c r="F248" s="4"/>
      <c r="G248" s="4"/>
      <c r="H248" s="7">
        <f t="shared" si="21"/>
        <v>0</v>
      </c>
      <c r="I248" s="7"/>
      <c r="J248" s="7">
        <v>532.46</v>
      </c>
      <c r="K248" s="7"/>
      <c r="L248" s="7"/>
      <c r="M248" s="7">
        <f t="shared" si="23"/>
        <v>532.46</v>
      </c>
      <c r="N248" s="5"/>
    </row>
    <row r="249" spans="1:14" ht="18.75" customHeight="1">
      <c r="A249" s="78"/>
      <c r="B249" s="103"/>
      <c r="C249" s="16" t="s">
        <v>74</v>
      </c>
      <c r="D249" s="4"/>
      <c r="E249" s="4"/>
      <c r="F249" s="4"/>
      <c r="G249" s="4"/>
      <c r="H249" s="7">
        <f t="shared" si="21"/>
        <v>0</v>
      </c>
      <c r="I249" s="7"/>
      <c r="J249" s="7">
        <v>45.1</v>
      </c>
      <c r="K249" s="7"/>
      <c r="L249" s="7"/>
      <c r="M249" s="7">
        <f t="shared" si="23"/>
        <v>45.1</v>
      </c>
      <c r="N249" s="5"/>
    </row>
    <row r="250" spans="1:14" ht="20.25" customHeight="1" hidden="1">
      <c r="A250" s="78"/>
      <c r="B250" s="15"/>
      <c r="C250" s="16" t="s">
        <v>200</v>
      </c>
      <c r="D250" s="4"/>
      <c r="E250" s="4"/>
      <c r="F250" s="4"/>
      <c r="G250" s="4"/>
      <c r="H250" s="7">
        <f t="shared" si="21"/>
        <v>0</v>
      </c>
      <c r="I250" s="7"/>
      <c r="J250" s="7"/>
      <c r="K250" s="7"/>
      <c r="L250" s="7"/>
      <c r="M250" s="7">
        <f t="shared" si="23"/>
        <v>0</v>
      </c>
      <c r="N250" s="5"/>
    </row>
    <row r="251" spans="1:14" ht="9.75" customHeight="1">
      <c r="A251" s="78"/>
      <c r="B251" s="30" t="s">
        <v>191</v>
      </c>
      <c r="C251" s="26"/>
      <c r="D251" s="6">
        <f>SUM(D247:D250)</f>
        <v>0</v>
      </c>
      <c r="E251" s="6">
        <f>SUM(E247:E250)</f>
        <v>0</v>
      </c>
      <c r="F251" s="6">
        <f>SUM(F247:F250)</f>
        <v>0</v>
      </c>
      <c r="G251" s="6">
        <f>SUM(G247:G250)</f>
        <v>0</v>
      </c>
      <c r="H251" s="6">
        <f t="shared" si="21"/>
        <v>0</v>
      </c>
      <c r="I251" s="6">
        <f>SUM(I247:I250)</f>
        <v>0</v>
      </c>
      <c r="J251" s="6">
        <f>SUM(J247:J250)</f>
        <v>577.5600000000001</v>
      </c>
      <c r="K251" s="6">
        <f>SUM(K247:K250)</f>
        <v>0</v>
      </c>
      <c r="L251" s="6">
        <f>SUM(L247:L250)</f>
        <v>0</v>
      </c>
      <c r="M251" s="6">
        <f t="shared" si="23"/>
        <v>577.5600000000001</v>
      </c>
      <c r="N251" s="25"/>
    </row>
    <row r="252" spans="1:14" ht="29.25" customHeight="1">
      <c r="A252" s="78"/>
      <c r="B252" s="20" t="s">
        <v>208</v>
      </c>
      <c r="C252" s="16" t="s">
        <v>74</v>
      </c>
      <c r="D252" s="4"/>
      <c r="E252" s="4"/>
      <c r="F252" s="4"/>
      <c r="G252" s="4"/>
      <c r="H252" s="7">
        <f t="shared" si="21"/>
        <v>0</v>
      </c>
      <c r="I252" s="7">
        <v>289.71</v>
      </c>
      <c r="J252" s="7"/>
      <c r="K252" s="7"/>
      <c r="L252" s="7"/>
      <c r="M252" s="7">
        <f t="shared" si="23"/>
        <v>289.71</v>
      </c>
      <c r="N252" s="5"/>
    </row>
    <row r="253" spans="1:14" ht="9.75" customHeight="1">
      <c r="A253" s="78"/>
      <c r="B253" s="30" t="s">
        <v>209</v>
      </c>
      <c r="C253" s="26"/>
      <c r="D253" s="6">
        <f>SUM(D252)</f>
        <v>0</v>
      </c>
      <c r="E253" s="6">
        <f>SUM(E252)</f>
        <v>0</v>
      </c>
      <c r="F253" s="6">
        <f>SUM(F252)</f>
        <v>0</v>
      </c>
      <c r="G253" s="6">
        <f>SUM(G252)</f>
        <v>0</v>
      </c>
      <c r="H253" s="6">
        <f t="shared" si="21"/>
        <v>0</v>
      </c>
      <c r="I253" s="6">
        <f>SUM(I252)</f>
        <v>289.71</v>
      </c>
      <c r="J253" s="6">
        <f>SUM(J252)</f>
        <v>0</v>
      </c>
      <c r="K253" s="6">
        <f>SUM(K252)</f>
        <v>0</v>
      </c>
      <c r="L253" s="6">
        <f>SUM(L252)</f>
        <v>0</v>
      </c>
      <c r="M253" s="6">
        <f t="shared" si="23"/>
        <v>289.71</v>
      </c>
      <c r="N253" s="25"/>
    </row>
    <row r="254" spans="1:14" s="10" customFormat="1" ht="11.25" customHeight="1" hidden="1">
      <c r="A254" s="79"/>
      <c r="C254" s="16" t="s">
        <v>72</v>
      </c>
      <c r="D254" s="13"/>
      <c r="E254" s="13"/>
      <c r="F254" s="13"/>
      <c r="G254" s="13"/>
      <c r="H254" s="7">
        <f t="shared" si="21"/>
        <v>0</v>
      </c>
      <c r="I254" s="13"/>
      <c r="J254" s="13"/>
      <c r="K254" s="13"/>
      <c r="L254" s="13"/>
      <c r="M254" s="7">
        <f aca="true" t="shared" si="25" ref="M254:M286">SUM(I254:L254)</f>
        <v>0</v>
      </c>
      <c r="N254" s="5" t="e">
        <f>M254/H254</f>
        <v>#DIV/0!</v>
      </c>
    </row>
    <row r="255" spans="1:14" s="10" customFormat="1" ht="18" customHeight="1" hidden="1">
      <c r="A255" s="79"/>
      <c r="B255" s="24"/>
      <c r="C255" s="16" t="s">
        <v>74</v>
      </c>
      <c r="D255" s="13"/>
      <c r="E255" s="13"/>
      <c r="F255" s="13"/>
      <c r="G255" s="13"/>
      <c r="H255" s="7">
        <f t="shared" si="21"/>
        <v>0</v>
      </c>
      <c r="I255" s="13"/>
      <c r="J255" s="13"/>
      <c r="K255" s="13"/>
      <c r="L255" s="13"/>
      <c r="M255" s="7">
        <f t="shared" si="25"/>
        <v>0</v>
      </c>
      <c r="N255" s="5" t="e">
        <f>M255/H255</f>
        <v>#DIV/0!</v>
      </c>
    </row>
    <row r="256" spans="1:14" s="10" customFormat="1" ht="38.25" customHeight="1" hidden="1">
      <c r="A256" s="79"/>
      <c r="B256" s="24"/>
      <c r="C256" s="16" t="s">
        <v>101</v>
      </c>
      <c r="D256" s="13"/>
      <c r="E256" s="13"/>
      <c r="F256" s="13"/>
      <c r="G256" s="13"/>
      <c r="H256" s="7">
        <f t="shared" si="21"/>
        <v>0</v>
      </c>
      <c r="I256" s="7"/>
      <c r="J256" s="13"/>
      <c r="K256" s="13"/>
      <c r="L256" s="13"/>
      <c r="M256" s="7">
        <f t="shared" si="25"/>
        <v>0</v>
      </c>
      <c r="N256" s="5" t="e">
        <f>M256/H256</f>
        <v>#DIV/0!</v>
      </c>
    </row>
    <row r="257" spans="1:14" s="10" customFormat="1" ht="48.75" customHeight="1" hidden="1">
      <c r="A257" s="79"/>
      <c r="B257" s="24"/>
      <c r="C257" s="16" t="s">
        <v>230</v>
      </c>
      <c r="D257" s="13"/>
      <c r="E257" s="13"/>
      <c r="F257" s="13"/>
      <c r="G257" s="13"/>
      <c r="H257" s="7">
        <f t="shared" si="21"/>
        <v>0</v>
      </c>
      <c r="I257" s="7"/>
      <c r="J257" s="13"/>
      <c r="K257" s="13"/>
      <c r="L257" s="13"/>
      <c r="M257" s="7">
        <f t="shared" si="25"/>
        <v>0</v>
      </c>
      <c r="N257" s="5" t="e">
        <f>M257/H257</f>
        <v>#DIV/0!</v>
      </c>
    </row>
    <row r="258" spans="1:14" s="10" customFormat="1" ht="39" customHeight="1">
      <c r="A258" s="79"/>
      <c r="B258" s="19" t="s">
        <v>210</v>
      </c>
      <c r="C258" s="16" t="s">
        <v>212</v>
      </c>
      <c r="D258" s="13"/>
      <c r="E258" s="13"/>
      <c r="F258" s="13"/>
      <c r="G258" s="13"/>
      <c r="H258" s="7">
        <f aca="true" t="shared" si="26" ref="H258:H322">SUM(D258:G258)</f>
        <v>0</v>
      </c>
      <c r="I258" s="7">
        <v>2018.84</v>
      </c>
      <c r="J258" s="13"/>
      <c r="K258" s="13"/>
      <c r="L258" s="13"/>
      <c r="M258" s="7">
        <f t="shared" si="25"/>
        <v>2018.84</v>
      </c>
      <c r="N258" s="5"/>
    </row>
    <row r="259" spans="1:14" ht="9.75">
      <c r="A259" s="78"/>
      <c r="B259" s="30" t="s">
        <v>211</v>
      </c>
      <c r="C259" s="26"/>
      <c r="D259" s="6">
        <f>SUM(D254:D258)</f>
        <v>0</v>
      </c>
      <c r="E259" s="6">
        <f>SUM(E254:E258)</f>
        <v>0</v>
      </c>
      <c r="F259" s="6">
        <f>SUM(F254:F258)</f>
        <v>0</v>
      </c>
      <c r="G259" s="6">
        <f>SUM(G254:G258)</f>
        <v>0</v>
      </c>
      <c r="H259" s="6">
        <f t="shared" si="26"/>
        <v>0</v>
      </c>
      <c r="I259" s="6">
        <f>SUM(I254:I258)</f>
        <v>2018.84</v>
      </c>
      <c r="J259" s="6">
        <f>SUM(J254:J258)</f>
        <v>0</v>
      </c>
      <c r="K259" s="6">
        <f>SUM(K254:K258)</f>
        <v>0</v>
      </c>
      <c r="L259" s="6">
        <f>SUM(L254:L258)</f>
        <v>0</v>
      </c>
      <c r="M259" s="6">
        <f t="shared" si="25"/>
        <v>2018.84</v>
      </c>
      <c r="N259" s="25"/>
    </row>
    <row r="260" spans="1:14" ht="27" customHeight="1">
      <c r="A260" s="78"/>
      <c r="B260" s="20" t="s">
        <v>301</v>
      </c>
      <c r="C260" s="16" t="s">
        <v>300</v>
      </c>
      <c r="D260" s="4"/>
      <c r="E260" s="4"/>
      <c r="F260" s="4"/>
      <c r="G260" s="4"/>
      <c r="H260" s="7">
        <f t="shared" si="26"/>
        <v>0</v>
      </c>
      <c r="I260" s="7">
        <v>17035</v>
      </c>
      <c r="J260" s="7"/>
      <c r="K260" s="7"/>
      <c r="L260" s="7"/>
      <c r="M260" s="7">
        <f t="shared" si="25"/>
        <v>17035</v>
      </c>
      <c r="N260" s="5"/>
    </row>
    <row r="261" spans="1:14" ht="9.75" customHeight="1">
      <c r="A261" s="78"/>
      <c r="B261" s="30" t="s">
        <v>302</v>
      </c>
      <c r="C261" s="26"/>
      <c r="D261" s="6">
        <f>SUM(D260)</f>
        <v>0</v>
      </c>
      <c r="E261" s="6">
        <f>SUM(E260)</f>
        <v>0</v>
      </c>
      <c r="F261" s="6">
        <f>SUM(F260)</f>
        <v>0</v>
      </c>
      <c r="G261" s="6">
        <f>SUM(G260)</f>
        <v>0</v>
      </c>
      <c r="H261" s="6">
        <f t="shared" si="26"/>
        <v>0</v>
      </c>
      <c r="I261" s="6">
        <f>SUM(I260)</f>
        <v>17035</v>
      </c>
      <c r="J261" s="6">
        <f>SUM(J260)</f>
        <v>0</v>
      </c>
      <c r="K261" s="6">
        <f>SUM(K260)</f>
        <v>0</v>
      </c>
      <c r="L261" s="6">
        <f>SUM(L260)</f>
        <v>0</v>
      </c>
      <c r="M261" s="6">
        <f t="shared" si="25"/>
        <v>17035</v>
      </c>
      <c r="N261" s="25"/>
    </row>
    <row r="262" spans="1:14" ht="11.25">
      <c r="A262" s="23" t="s">
        <v>44</v>
      </c>
      <c r="B262" s="35"/>
      <c r="C262" s="21"/>
      <c r="D262" s="22">
        <f>SUM(D259,D253,D251,D246,D243,D238,D226,D217,D209,D199,D194,D261)</f>
        <v>2444182</v>
      </c>
      <c r="E262" s="22">
        <f>SUM(E259,E253,E251,E246,E243,E238,E226,E217,E209,E199,E194,E261)</f>
        <v>539366</v>
      </c>
      <c r="F262" s="22">
        <f>SUM(F259,F253,F251,F246,F243,F238,F226,F217,F209,F199,F194,F261)</f>
        <v>0</v>
      </c>
      <c r="G262" s="22">
        <f>SUM(G259,G253,G251,G246,G243,G238,G226,G217,G209,G199,G194,G261)</f>
        <v>0</v>
      </c>
      <c r="H262" s="22">
        <f t="shared" si="26"/>
        <v>2983548</v>
      </c>
      <c r="I262" s="22">
        <f>SUM(I259,I253,I251,I246,I243,I238,I226,I217,I209,I199,I194,I261)</f>
        <v>2477672.86</v>
      </c>
      <c r="J262" s="22">
        <f>SUM(J259,J253,J251,J246,J243,J238,J226,J217,J209,J199,J194,J261)</f>
        <v>97484.76</v>
      </c>
      <c r="K262" s="22">
        <f>SUM(K259,K253,K251,K246,K243,K238,K226,K217,K209,K199,K194,K261)</f>
        <v>0</v>
      </c>
      <c r="L262" s="22">
        <f>SUM(L259,L253,L251,L246,L243,L238,L226,L217,L209,L199,L194,L261)</f>
        <v>0</v>
      </c>
      <c r="M262" s="22">
        <f t="shared" si="25"/>
        <v>2575157.6199999996</v>
      </c>
      <c r="N262" s="27">
        <f>M262/H262</f>
        <v>0.8631192191310478</v>
      </c>
    </row>
    <row r="263" spans="1:14" ht="19.5">
      <c r="A263" s="105" t="s">
        <v>45</v>
      </c>
      <c r="B263" s="102" t="s">
        <v>63</v>
      </c>
      <c r="C263" s="16" t="s">
        <v>161</v>
      </c>
      <c r="D263" s="4">
        <v>460000</v>
      </c>
      <c r="E263" s="4"/>
      <c r="F263" s="4"/>
      <c r="G263" s="4"/>
      <c r="H263" s="7">
        <f t="shared" si="26"/>
        <v>460000</v>
      </c>
      <c r="I263" s="7">
        <v>270677</v>
      </c>
      <c r="J263" s="13"/>
      <c r="K263" s="13"/>
      <c r="L263" s="13"/>
      <c r="M263" s="7">
        <f t="shared" si="25"/>
        <v>270677</v>
      </c>
      <c r="N263" s="5">
        <f>M263/H263</f>
        <v>0.5884282608695652</v>
      </c>
    </row>
    <row r="264" spans="1:14" ht="9" customHeight="1" hidden="1">
      <c r="A264" s="106"/>
      <c r="B264" s="104"/>
      <c r="C264" s="16" t="s">
        <v>74</v>
      </c>
      <c r="D264" s="4"/>
      <c r="E264" s="4"/>
      <c r="F264" s="4"/>
      <c r="G264" s="4"/>
      <c r="H264" s="7">
        <f t="shared" si="26"/>
        <v>0</v>
      </c>
      <c r="I264" s="13"/>
      <c r="J264" s="13"/>
      <c r="K264" s="13"/>
      <c r="L264" s="13"/>
      <c r="M264" s="7">
        <f t="shared" si="25"/>
        <v>0</v>
      </c>
      <c r="N264" s="5"/>
    </row>
    <row r="265" spans="1:14" ht="9.75">
      <c r="A265" s="106"/>
      <c r="B265" s="30" t="s">
        <v>162</v>
      </c>
      <c r="C265" s="26"/>
      <c r="D265" s="6">
        <f>SUM(D263)</f>
        <v>460000</v>
      </c>
      <c r="E265" s="6">
        <f>SUM(E263)</f>
        <v>0</v>
      </c>
      <c r="F265" s="6">
        <f>SUM(F263)</f>
        <v>0</v>
      </c>
      <c r="G265" s="6">
        <f>SUM(G263)</f>
        <v>0</v>
      </c>
      <c r="H265" s="28">
        <f t="shared" si="26"/>
        <v>460000</v>
      </c>
      <c r="I265" s="6">
        <f>SUM(I263:I264)</f>
        <v>270677</v>
      </c>
      <c r="J265" s="6">
        <f>SUM(J263:J264)</f>
        <v>0</v>
      </c>
      <c r="K265" s="6">
        <f>SUM(K263:K264)</f>
        <v>0</v>
      </c>
      <c r="L265" s="6">
        <f>SUM(L263:L264)</f>
        <v>0</v>
      </c>
      <c r="M265" s="6">
        <f t="shared" si="25"/>
        <v>270677</v>
      </c>
      <c r="N265" s="25">
        <f>M265/H265</f>
        <v>0.5884282608695652</v>
      </c>
    </row>
    <row r="266" spans="1:14" s="10" customFormat="1" ht="59.25" customHeight="1" hidden="1">
      <c r="A266" s="106"/>
      <c r="B266" s="118" t="s">
        <v>283</v>
      </c>
      <c r="C266" s="64" t="s">
        <v>69</v>
      </c>
      <c r="D266" s="7"/>
      <c r="E266" s="7"/>
      <c r="F266" s="7"/>
      <c r="G266" s="7"/>
      <c r="H266" s="7">
        <f t="shared" si="26"/>
        <v>0</v>
      </c>
      <c r="I266" s="7"/>
      <c r="J266" s="13"/>
      <c r="K266" s="13"/>
      <c r="L266" s="13"/>
      <c r="M266" s="7">
        <f t="shared" si="25"/>
        <v>0</v>
      </c>
      <c r="N266" s="8"/>
    </row>
    <row r="267" spans="1:14" s="10" customFormat="1" ht="9.75" hidden="1">
      <c r="A267" s="82"/>
      <c r="B267" s="119"/>
      <c r="C267" s="65" t="s">
        <v>74</v>
      </c>
      <c r="D267" s="7"/>
      <c r="E267" s="7"/>
      <c r="F267" s="7"/>
      <c r="G267" s="7"/>
      <c r="H267" s="7">
        <f t="shared" si="26"/>
        <v>0</v>
      </c>
      <c r="I267" s="13"/>
      <c r="J267" s="13"/>
      <c r="K267" s="13"/>
      <c r="L267" s="13"/>
      <c r="M267" s="7">
        <f t="shared" si="25"/>
        <v>0</v>
      </c>
      <c r="N267" s="8"/>
    </row>
    <row r="268" spans="1:14" s="10" customFormat="1" ht="9.75" hidden="1">
      <c r="A268" s="79"/>
      <c r="B268" s="30" t="s">
        <v>286</v>
      </c>
      <c r="C268" s="26"/>
      <c r="D268" s="6">
        <f>SUM(D266)</f>
        <v>0</v>
      </c>
      <c r="E268" s="6">
        <f>SUM(E266)</f>
        <v>0</v>
      </c>
      <c r="F268" s="6">
        <f>SUM(F266)</f>
        <v>0</v>
      </c>
      <c r="G268" s="6">
        <f>SUM(G266)</f>
        <v>0</v>
      </c>
      <c r="H268" s="28">
        <f t="shared" si="26"/>
        <v>0</v>
      </c>
      <c r="I268" s="6">
        <f>SUM(I266:I267)</f>
        <v>0</v>
      </c>
      <c r="J268" s="6">
        <f>SUM(J266:J267)</f>
        <v>0</v>
      </c>
      <c r="K268" s="6">
        <f>SUM(K266:K267)</f>
        <v>0</v>
      </c>
      <c r="L268" s="6">
        <f>SUM(L266:L267)</f>
        <v>0</v>
      </c>
      <c r="M268" s="6">
        <f t="shared" si="25"/>
        <v>0</v>
      </c>
      <c r="N268" s="25"/>
    </row>
    <row r="269" spans="1:14" s="10" customFormat="1" ht="21.75" customHeight="1">
      <c r="A269" s="82"/>
      <c r="B269" s="66" t="s">
        <v>310</v>
      </c>
      <c r="C269" s="65" t="s">
        <v>74</v>
      </c>
      <c r="D269" s="7"/>
      <c r="E269" s="7"/>
      <c r="F269" s="7"/>
      <c r="G269" s="7"/>
      <c r="H269" s="7">
        <f t="shared" si="26"/>
        <v>0</v>
      </c>
      <c r="I269" s="70">
        <v>7180</v>
      </c>
      <c r="J269" s="13"/>
      <c r="K269" s="13"/>
      <c r="L269" s="13"/>
      <c r="M269" s="7">
        <f t="shared" si="25"/>
        <v>7180</v>
      </c>
      <c r="N269" s="5"/>
    </row>
    <row r="270" spans="1:14" s="10" customFormat="1" ht="9.75" customHeight="1">
      <c r="A270" s="79"/>
      <c r="B270" s="30" t="s">
        <v>311</v>
      </c>
      <c r="C270" s="26"/>
      <c r="D270" s="6">
        <f>SUM(D269)</f>
        <v>0</v>
      </c>
      <c r="E270" s="6">
        <f>SUM(E269)</f>
        <v>0</v>
      </c>
      <c r="F270" s="6">
        <f>SUM(F269)</f>
        <v>0</v>
      </c>
      <c r="G270" s="6">
        <f>SUM(G269)</f>
        <v>0</v>
      </c>
      <c r="H270" s="28">
        <f t="shared" si="26"/>
        <v>0</v>
      </c>
      <c r="I270" s="6">
        <f>SUM(I269)</f>
        <v>7180</v>
      </c>
      <c r="J270" s="6">
        <f>SUM(J269)</f>
        <v>0</v>
      </c>
      <c r="K270" s="6">
        <f>SUM(K269)</f>
        <v>0</v>
      </c>
      <c r="L270" s="6">
        <f>SUM(L269)</f>
        <v>0</v>
      </c>
      <c r="M270" s="6">
        <f t="shared" si="25"/>
        <v>7180</v>
      </c>
      <c r="N270" s="25"/>
    </row>
    <row r="271" spans="1:14" ht="49.5" customHeight="1" hidden="1">
      <c r="A271" s="78"/>
      <c r="B271" s="20" t="s">
        <v>213</v>
      </c>
      <c r="C271" s="16" t="s">
        <v>212</v>
      </c>
      <c r="D271" s="4"/>
      <c r="E271" s="4"/>
      <c r="F271" s="4"/>
      <c r="G271" s="4"/>
      <c r="H271" s="7">
        <f t="shared" si="26"/>
        <v>0</v>
      </c>
      <c r="I271" s="7"/>
      <c r="J271" s="7"/>
      <c r="K271" s="7"/>
      <c r="L271" s="7"/>
      <c r="M271" s="7">
        <f t="shared" si="25"/>
        <v>0</v>
      </c>
      <c r="N271" s="8"/>
    </row>
    <row r="272" spans="1:14" ht="9.75" hidden="1">
      <c r="A272" s="78"/>
      <c r="B272" s="30" t="s">
        <v>214</v>
      </c>
      <c r="C272" s="26"/>
      <c r="D272" s="6">
        <f>SUM(D271)</f>
        <v>0</v>
      </c>
      <c r="E272" s="6">
        <f>SUM(E271)</f>
        <v>0</v>
      </c>
      <c r="F272" s="6">
        <f>SUM(F271)</f>
        <v>0</v>
      </c>
      <c r="G272" s="6">
        <f>SUM(G271)</f>
        <v>0</v>
      </c>
      <c r="H272" s="6">
        <f t="shared" si="26"/>
        <v>0</v>
      </c>
      <c r="I272" s="6">
        <f>SUM(I271)</f>
        <v>0</v>
      </c>
      <c r="J272" s="6">
        <f>SUM(J271)</f>
        <v>0</v>
      </c>
      <c r="K272" s="6">
        <f>SUM(K271)</f>
        <v>0</v>
      </c>
      <c r="L272" s="6">
        <f>SUM(L271)</f>
        <v>0</v>
      </c>
      <c r="M272" s="6">
        <f t="shared" si="25"/>
        <v>0</v>
      </c>
      <c r="N272" s="25"/>
    </row>
    <row r="273" spans="1:14" s="10" customFormat="1" ht="9.75" customHeight="1" hidden="1">
      <c r="A273" s="79"/>
      <c r="B273" s="77" t="s">
        <v>215</v>
      </c>
      <c r="C273" s="16" t="s">
        <v>72</v>
      </c>
      <c r="D273" s="13"/>
      <c r="E273" s="13"/>
      <c r="F273" s="13"/>
      <c r="G273" s="13"/>
      <c r="H273" s="7">
        <f t="shared" si="26"/>
        <v>0</v>
      </c>
      <c r="I273" s="7"/>
      <c r="J273" s="13"/>
      <c r="K273" s="13"/>
      <c r="L273" s="13"/>
      <c r="M273" s="7">
        <f t="shared" si="25"/>
        <v>0</v>
      </c>
      <c r="N273" s="8"/>
    </row>
    <row r="274" spans="1:14" ht="41.25" customHeight="1">
      <c r="A274" s="78"/>
      <c r="B274" s="77" t="s">
        <v>215</v>
      </c>
      <c r="C274" s="16" t="s">
        <v>212</v>
      </c>
      <c r="D274" s="4"/>
      <c r="E274" s="4"/>
      <c r="F274" s="4"/>
      <c r="G274" s="4"/>
      <c r="H274" s="7">
        <f t="shared" si="26"/>
        <v>0</v>
      </c>
      <c r="I274" s="7">
        <v>112244.61</v>
      </c>
      <c r="J274" s="7"/>
      <c r="K274" s="7"/>
      <c r="L274" s="7"/>
      <c r="M274" s="7">
        <f t="shared" si="25"/>
        <v>112244.61</v>
      </c>
      <c r="N274" s="5"/>
    </row>
    <row r="275" spans="1:14" ht="10.5" customHeight="1">
      <c r="A275" s="78"/>
      <c r="B275" s="30" t="s">
        <v>216</v>
      </c>
      <c r="C275" s="26"/>
      <c r="D275" s="6">
        <f>SUM(D273:D274)</f>
        <v>0</v>
      </c>
      <c r="E275" s="6">
        <f>SUM(E273:E274)</f>
        <v>0</v>
      </c>
      <c r="F275" s="6">
        <f>SUM(F273:F274)</f>
        <v>0</v>
      </c>
      <c r="G275" s="6">
        <f>SUM(G273:G274)</f>
        <v>0</v>
      </c>
      <c r="H275" s="6">
        <f t="shared" si="26"/>
        <v>0</v>
      </c>
      <c r="I275" s="6">
        <f>SUM(I273:I274)</f>
        <v>112244.61</v>
      </c>
      <c r="J275" s="6">
        <f>SUM(J273:J274)</f>
        <v>0</v>
      </c>
      <c r="K275" s="6">
        <f>SUM(K273:K274)</f>
        <v>0</v>
      </c>
      <c r="L275" s="6">
        <f>SUM(L273:L274)</f>
        <v>0</v>
      </c>
      <c r="M275" s="6">
        <f t="shared" si="25"/>
        <v>112244.61</v>
      </c>
      <c r="N275" s="25"/>
    </row>
    <row r="276" spans="1:14" ht="78.75" customHeight="1">
      <c r="A276" s="78"/>
      <c r="B276" s="20" t="s">
        <v>163</v>
      </c>
      <c r="C276" s="24" t="s">
        <v>69</v>
      </c>
      <c r="D276" s="4"/>
      <c r="E276" s="4"/>
      <c r="F276" s="4"/>
      <c r="G276" s="4">
        <v>1820260</v>
      </c>
      <c r="H276" s="7">
        <f t="shared" si="26"/>
        <v>1820260</v>
      </c>
      <c r="I276" s="7"/>
      <c r="J276" s="7"/>
      <c r="K276" s="7"/>
      <c r="L276" s="7">
        <v>903100</v>
      </c>
      <c r="M276" s="7">
        <f t="shared" si="25"/>
        <v>903100</v>
      </c>
      <c r="N276" s="5">
        <f aca="true" t="shared" si="27" ref="N276:N306">M276/H276</f>
        <v>0.4961379143638821</v>
      </c>
    </row>
    <row r="277" spans="1:14" ht="12" customHeight="1">
      <c r="A277" s="78"/>
      <c r="B277" s="30" t="s">
        <v>164</v>
      </c>
      <c r="C277" s="26"/>
      <c r="D277" s="6">
        <f>SUM(D276)</f>
        <v>0</v>
      </c>
      <c r="E277" s="6">
        <f>SUM(E276)</f>
        <v>0</v>
      </c>
      <c r="F277" s="6">
        <f>SUM(F276)</f>
        <v>0</v>
      </c>
      <c r="G277" s="6">
        <f>SUM(G276)</f>
        <v>1820260</v>
      </c>
      <c r="H277" s="6">
        <f t="shared" si="26"/>
        <v>1820260</v>
      </c>
      <c r="I277" s="6">
        <f>SUM(I276)</f>
        <v>0</v>
      </c>
      <c r="J277" s="6">
        <f>SUM(J276)</f>
        <v>0</v>
      </c>
      <c r="K277" s="6">
        <f>SUM(K276)</f>
        <v>0</v>
      </c>
      <c r="L277" s="6">
        <f>SUM(L276)</f>
        <v>903100</v>
      </c>
      <c r="M277" s="6">
        <f t="shared" si="25"/>
        <v>903100</v>
      </c>
      <c r="N277" s="25">
        <f t="shared" si="27"/>
        <v>0.4961379143638821</v>
      </c>
    </row>
    <row r="278" spans="1:14" ht="11.25" customHeight="1">
      <c r="A278" s="78"/>
      <c r="B278" s="102" t="s">
        <v>217</v>
      </c>
      <c r="C278" s="68" t="s">
        <v>71</v>
      </c>
      <c r="D278" s="4"/>
      <c r="E278" s="4"/>
      <c r="F278" s="4"/>
      <c r="G278" s="4"/>
      <c r="H278" s="7">
        <f t="shared" si="26"/>
        <v>0</v>
      </c>
      <c r="I278" s="7">
        <v>850.82</v>
      </c>
      <c r="J278" s="7"/>
      <c r="K278" s="7"/>
      <c r="L278" s="7"/>
      <c r="M278" s="7">
        <f t="shared" si="25"/>
        <v>850.82</v>
      </c>
      <c r="N278" s="5"/>
    </row>
    <row r="279" spans="1:14" ht="12" customHeight="1">
      <c r="A279" s="78"/>
      <c r="B279" s="104"/>
      <c r="C279" s="16" t="s">
        <v>190</v>
      </c>
      <c r="D279" s="4"/>
      <c r="E279" s="4"/>
      <c r="F279" s="4"/>
      <c r="G279" s="4"/>
      <c r="H279" s="7">
        <f t="shared" si="26"/>
        <v>0</v>
      </c>
      <c r="I279" s="7">
        <v>22539.52</v>
      </c>
      <c r="J279" s="7"/>
      <c r="K279" s="7"/>
      <c r="L279" s="7"/>
      <c r="M279" s="7">
        <f t="shared" si="25"/>
        <v>22539.52</v>
      </c>
      <c r="N279" s="5"/>
    </row>
    <row r="280" spans="1:14" ht="9.75">
      <c r="A280" s="78"/>
      <c r="B280" s="30" t="s">
        <v>218</v>
      </c>
      <c r="C280" s="26"/>
      <c r="D280" s="6">
        <f>SUM(D278:D279)</f>
        <v>0</v>
      </c>
      <c r="E280" s="6">
        <f>SUM(E278:E279)</f>
        <v>0</v>
      </c>
      <c r="F280" s="6">
        <f>SUM(F278:F279)</f>
        <v>0</v>
      </c>
      <c r="G280" s="6">
        <f>SUM(G278:G279)</f>
        <v>0</v>
      </c>
      <c r="H280" s="6">
        <f t="shared" si="26"/>
        <v>0</v>
      </c>
      <c r="I280" s="6">
        <f>SUM(I278:I279)</f>
        <v>23390.34</v>
      </c>
      <c r="J280" s="6">
        <f>SUM(J278:J279)</f>
        <v>0</v>
      </c>
      <c r="K280" s="6">
        <f>SUM(K278:K279)</f>
        <v>0</v>
      </c>
      <c r="L280" s="6">
        <f>SUM(L278:L279)</f>
        <v>0</v>
      </c>
      <c r="M280" s="6">
        <f t="shared" si="25"/>
        <v>23390.34</v>
      </c>
      <c r="N280" s="25"/>
    </row>
    <row r="281" spans="1:14" s="10" customFormat="1" ht="9" customHeight="1" hidden="1">
      <c r="A281" s="79"/>
      <c r="B281" s="98"/>
      <c r="C281" s="16" t="s">
        <v>72</v>
      </c>
      <c r="D281" s="13"/>
      <c r="E281" s="13"/>
      <c r="F281" s="13"/>
      <c r="G281" s="13"/>
      <c r="H281" s="7">
        <f t="shared" si="26"/>
        <v>0</v>
      </c>
      <c r="I281" s="13"/>
      <c r="J281" s="13"/>
      <c r="K281" s="13"/>
      <c r="L281" s="13"/>
      <c r="M281" s="7">
        <f t="shared" si="25"/>
        <v>0</v>
      </c>
      <c r="N281" s="5" t="e">
        <f t="shared" si="27"/>
        <v>#DIV/0!</v>
      </c>
    </row>
    <row r="282" spans="1:14" s="10" customFormat="1" ht="48" customHeight="1">
      <c r="A282" s="79"/>
      <c r="B282" s="102" t="s">
        <v>219</v>
      </c>
      <c r="C282" s="16" t="s">
        <v>129</v>
      </c>
      <c r="D282" s="13"/>
      <c r="E282" s="13"/>
      <c r="F282" s="70">
        <v>2253</v>
      </c>
      <c r="G282" s="13"/>
      <c r="H282" s="7">
        <f t="shared" si="26"/>
        <v>2253</v>
      </c>
      <c r="I282" s="13"/>
      <c r="J282" s="13"/>
      <c r="K282" s="70">
        <v>2253</v>
      </c>
      <c r="L282" s="13"/>
      <c r="M282" s="7">
        <f t="shared" si="25"/>
        <v>2253</v>
      </c>
      <c r="N282" s="5">
        <f t="shared" si="27"/>
        <v>1</v>
      </c>
    </row>
    <row r="283" spans="1:14" ht="18.75" customHeight="1" hidden="1">
      <c r="A283" s="78"/>
      <c r="B283" s="104"/>
      <c r="C283" s="16" t="s">
        <v>212</v>
      </c>
      <c r="D283" s="4"/>
      <c r="E283" s="4"/>
      <c r="F283" s="4"/>
      <c r="G283" s="4"/>
      <c r="H283" s="7">
        <f t="shared" si="26"/>
        <v>0</v>
      </c>
      <c r="I283" s="7"/>
      <c r="J283" s="7"/>
      <c r="K283" s="7"/>
      <c r="L283" s="7"/>
      <c r="M283" s="7">
        <f t="shared" si="25"/>
        <v>0</v>
      </c>
      <c r="N283" s="5"/>
    </row>
    <row r="284" spans="1:14" ht="9.75">
      <c r="A284" s="78"/>
      <c r="B284" s="30" t="s">
        <v>219</v>
      </c>
      <c r="C284" s="26"/>
      <c r="D284" s="6">
        <f>SUM(D281:D283)</f>
        <v>0</v>
      </c>
      <c r="E284" s="6">
        <f>SUM(E281:E283)</f>
        <v>0</v>
      </c>
      <c r="F284" s="6">
        <f>SUM(F281:F283)</f>
        <v>2253</v>
      </c>
      <c r="G284" s="6">
        <f>SUM(G281:G283)</f>
        <v>0</v>
      </c>
      <c r="H284" s="6">
        <f t="shared" si="26"/>
        <v>2253</v>
      </c>
      <c r="I284" s="6">
        <f>SUM(I281:I283)</f>
        <v>0</v>
      </c>
      <c r="J284" s="6">
        <f>SUM(J281:J283)</f>
        <v>0</v>
      </c>
      <c r="K284" s="6">
        <f>SUM(K281:K283)</f>
        <v>2253</v>
      </c>
      <c r="L284" s="6">
        <f>SUM(L281:L283)</f>
        <v>0</v>
      </c>
      <c r="M284" s="6">
        <f t="shared" si="25"/>
        <v>2253</v>
      </c>
      <c r="N284" s="25">
        <f t="shared" si="27"/>
        <v>1</v>
      </c>
    </row>
    <row r="285" spans="1:14" ht="9" customHeight="1">
      <c r="A285" s="32" t="s">
        <v>46</v>
      </c>
      <c r="B285" s="32"/>
      <c r="C285" s="21"/>
      <c r="D285" s="22">
        <f>SUM(D284,D270,D280,D277,D275,D272,D268,D265)</f>
        <v>460000</v>
      </c>
      <c r="E285" s="22">
        <f>SUM(E284,E270,E280,E277,E275,E272,E268,E265)</f>
        <v>0</v>
      </c>
      <c r="F285" s="22">
        <f>SUM(F284,F270,F280,F277,F275,F272,F268,F265)</f>
        <v>2253</v>
      </c>
      <c r="G285" s="22">
        <f>SUM(G284,G270,G280,G277,G275,G272,G268,G265)</f>
        <v>1820260</v>
      </c>
      <c r="H285" s="22">
        <f t="shared" si="26"/>
        <v>2282513</v>
      </c>
      <c r="I285" s="22">
        <f>SUM(I284,I270,I280,I277,I275,I272,I268,I265)</f>
        <v>413491.95</v>
      </c>
      <c r="J285" s="22">
        <f>SUM(J284,J270,J280,J277,J275,J272,J268,J265)</f>
        <v>0</v>
      </c>
      <c r="K285" s="22">
        <f>SUM(K284,K270,K280,K277,K275,K272,K268,K265)</f>
        <v>2253</v>
      </c>
      <c r="L285" s="22">
        <f>SUM(L284,L270,L280,L277,L275,L272,L268,L265)</f>
        <v>903100</v>
      </c>
      <c r="M285" s="22">
        <f t="shared" si="25"/>
        <v>1318844.95</v>
      </c>
      <c r="N285" s="27">
        <f t="shared" si="27"/>
        <v>0.577803916122274</v>
      </c>
    </row>
    <row r="286" spans="1:14" s="10" customFormat="1" ht="39" customHeight="1">
      <c r="A286" s="105" t="s">
        <v>106</v>
      </c>
      <c r="B286" s="102" t="s">
        <v>107</v>
      </c>
      <c r="C286" s="16" t="s">
        <v>305</v>
      </c>
      <c r="D286" s="43"/>
      <c r="E286" s="43"/>
      <c r="F286" s="43"/>
      <c r="G286" s="43"/>
      <c r="H286" s="7">
        <f t="shared" si="26"/>
        <v>0</v>
      </c>
      <c r="I286" s="7"/>
      <c r="J286" s="7">
        <v>587</v>
      </c>
      <c r="K286" s="43"/>
      <c r="L286" s="43"/>
      <c r="M286" s="7">
        <f t="shared" si="25"/>
        <v>587</v>
      </c>
      <c r="N286" s="5"/>
    </row>
    <row r="287" spans="1:14" s="10" customFormat="1" ht="49.5" customHeight="1">
      <c r="A287" s="106"/>
      <c r="B287" s="103"/>
      <c r="C287" s="16" t="s">
        <v>104</v>
      </c>
      <c r="D287" s="43"/>
      <c r="E287" s="43"/>
      <c r="F287" s="43"/>
      <c r="G287" s="43"/>
      <c r="H287" s="7">
        <f t="shared" si="26"/>
        <v>0</v>
      </c>
      <c r="I287" s="43"/>
      <c r="J287" s="7">
        <v>1648.7</v>
      </c>
      <c r="K287" s="43"/>
      <c r="L287" s="43"/>
      <c r="M287" s="7">
        <f aca="true" t="shared" si="28" ref="M287:M317">SUM(I287:L287)</f>
        <v>1648.7</v>
      </c>
      <c r="N287" s="5"/>
    </row>
    <row r="288" spans="1:14" s="10" customFormat="1" ht="10.5" customHeight="1">
      <c r="A288" s="106"/>
      <c r="B288" s="103"/>
      <c r="C288" s="16" t="s">
        <v>190</v>
      </c>
      <c r="D288" s="43"/>
      <c r="E288" s="43"/>
      <c r="F288" s="43"/>
      <c r="G288" s="43"/>
      <c r="H288" s="7">
        <f t="shared" si="26"/>
        <v>0</v>
      </c>
      <c r="I288" s="43"/>
      <c r="J288" s="7">
        <v>1624.1</v>
      </c>
      <c r="K288" s="43"/>
      <c r="L288" s="43"/>
      <c r="M288" s="7">
        <f t="shared" si="28"/>
        <v>1624.1</v>
      </c>
      <c r="N288" s="5"/>
    </row>
    <row r="289" spans="1:14" s="10" customFormat="1" ht="20.25" customHeight="1" hidden="1">
      <c r="A289" s="106"/>
      <c r="B289" s="103"/>
      <c r="C289" s="16" t="s">
        <v>161</v>
      </c>
      <c r="D289" s="43"/>
      <c r="E289" s="43"/>
      <c r="F289" s="43"/>
      <c r="G289" s="43"/>
      <c r="H289" s="7">
        <f t="shared" si="26"/>
        <v>0</v>
      </c>
      <c r="I289" s="43"/>
      <c r="J289" s="7"/>
      <c r="K289" s="43"/>
      <c r="L289" s="43"/>
      <c r="M289" s="7">
        <f t="shared" si="28"/>
        <v>0</v>
      </c>
      <c r="N289" s="5" t="e">
        <f t="shared" si="27"/>
        <v>#DIV/0!</v>
      </c>
    </row>
    <row r="290" spans="1:14" s="10" customFormat="1" ht="11.25">
      <c r="A290" s="106"/>
      <c r="B290" s="103"/>
      <c r="C290" s="16" t="s">
        <v>72</v>
      </c>
      <c r="D290" s="43"/>
      <c r="E290" s="43"/>
      <c r="F290" s="43"/>
      <c r="G290" s="43"/>
      <c r="H290" s="7">
        <f t="shared" si="26"/>
        <v>0</v>
      </c>
      <c r="I290" s="43"/>
      <c r="J290" s="7">
        <v>2176.34</v>
      </c>
      <c r="K290" s="43"/>
      <c r="L290" s="43"/>
      <c r="M290" s="7">
        <f t="shared" si="28"/>
        <v>2176.34</v>
      </c>
      <c r="N290" s="5"/>
    </row>
    <row r="291" spans="1:14" s="10" customFormat="1" ht="30" customHeight="1">
      <c r="A291" s="106"/>
      <c r="B291" s="103"/>
      <c r="C291" s="66" t="s">
        <v>73</v>
      </c>
      <c r="D291" s="43"/>
      <c r="E291" s="4">
        <v>3000</v>
      </c>
      <c r="F291" s="43"/>
      <c r="G291" s="43"/>
      <c r="H291" s="7">
        <f t="shared" si="26"/>
        <v>3000</v>
      </c>
      <c r="I291" s="43"/>
      <c r="J291" s="7">
        <v>1500</v>
      </c>
      <c r="K291" s="43"/>
      <c r="L291" s="43"/>
      <c r="M291" s="7">
        <f t="shared" si="28"/>
        <v>1500</v>
      </c>
      <c r="N291" s="5">
        <f t="shared" si="27"/>
        <v>0.5</v>
      </c>
    </row>
    <row r="292" spans="1:14" ht="30.75" customHeight="1">
      <c r="A292" s="106"/>
      <c r="B292" s="103"/>
      <c r="C292" s="16" t="s">
        <v>83</v>
      </c>
      <c r="D292" s="4"/>
      <c r="E292" s="4">
        <v>39200</v>
      </c>
      <c r="F292" s="4"/>
      <c r="G292" s="4"/>
      <c r="H292" s="7">
        <f t="shared" si="26"/>
        <v>39200</v>
      </c>
      <c r="I292" s="7"/>
      <c r="J292" s="7">
        <v>55847.67</v>
      </c>
      <c r="K292" s="7"/>
      <c r="L292" s="7"/>
      <c r="M292" s="7">
        <f t="shared" si="28"/>
        <v>55847.67</v>
      </c>
      <c r="N292" s="5">
        <f t="shared" si="27"/>
        <v>1.4246854591836735</v>
      </c>
    </row>
    <row r="293" spans="1:14" ht="39.75" customHeight="1">
      <c r="A293" s="63"/>
      <c r="B293" s="103"/>
      <c r="C293" s="16" t="s">
        <v>295</v>
      </c>
      <c r="D293" s="4"/>
      <c r="E293" s="4">
        <f>343560-85890</f>
        <v>257670</v>
      </c>
      <c r="F293" s="4"/>
      <c r="G293" s="4"/>
      <c r="H293" s="7">
        <f t="shared" si="26"/>
        <v>257670</v>
      </c>
      <c r="I293" s="7"/>
      <c r="J293" s="7">
        <v>51533.92</v>
      </c>
      <c r="K293" s="7"/>
      <c r="L293" s="7"/>
      <c r="M293" s="7">
        <f t="shared" si="28"/>
        <v>51533.92</v>
      </c>
      <c r="N293" s="5">
        <f t="shared" si="27"/>
        <v>0.1999996895253619</v>
      </c>
    </row>
    <row r="294" spans="1:14" ht="39.75" customHeight="1">
      <c r="A294" s="63"/>
      <c r="B294" s="93"/>
      <c r="C294" s="16" t="s">
        <v>314</v>
      </c>
      <c r="D294" s="4"/>
      <c r="E294" s="4">
        <v>85890</v>
      </c>
      <c r="F294" s="4"/>
      <c r="G294" s="4"/>
      <c r="H294" s="7">
        <f t="shared" si="26"/>
        <v>85890</v>
      </c>
      <c r="I294" s="7"/>
      <c r="J294" s="7">
        <v>17177.98</v>
      </c>
      <c r="K294" s="7"/>
      <c r="L294" s="7"/>
      <c r="M294" s="7">
        <f t="shared" si="28"/>
        <v>17177.98</v>
      </c>
      <c r="N294" s="5">
        <f t="shared" si="27"/>
        <v>0.19999976714402143</v>
      </c>
    </row>
    <row r="295" spans="1:14" ht="9.75" customHeight="1">
      <c r="A295" s="81"/>
      <c r="B295" s="30" t="s">
        <v>165</v>
      </c>
      <c r="C295" s="26"/>
      <c r="D295" s="6">
        <f>SUM(D286:D294)</f>
        <v>0</v>
      </c>
      <c r="E295" s="6">
        <f>SUM(E286:E294)</f>
        <v>385760</v>
      </c>
      <c r="F295" s="6">
        <f>SUM(F286:F294)</f>
        <v>0</v>
      </c>
      <c r="G295" s="6">
        <f>SUM(G286:G294)</f>
        <v>0</v>
      </c>
      <c r="H295" s="6">
        <f t="shared" si="26"/>
        <v>385760</v>
      </c>
      <c r="I295" s="6">
        <f>SUM(I286:I294)</f>
        <v>0</v>
      </c>
      <c r="J295" s="6">
        <f>SUM(J286:J294)</f>
        <v>132095.71</v>
      </c>
      <c r="K295" s="6">
        <f>SUM(K286:K294)</f>
        <v>0</v>
      </c>
      <c r="L295" s="6">
        <f>SUM(L286:L294)</f>
        <v>0</v>
      </c>
      <c r="M295" s="6">
        <f t="shared" si="28"/>
        <v>132095.71</v>
      </c>
      <c r="N295" s="25">
        <f t="shared" si="27"/>
        <v>0.34242977498963084</v>
      </c>
    </row>
    <row r="296" spans="1:14" s="10" customFormat="1" ht="12.75" customHeight="1">
      <c r="A296" s="79"/>
      <c r="B296" s="102" t="s">
        <v>108</v>
      </c>
      <c r="C296" s="68" t="s">
        <v>71</v>
      </c>
      <c r="D296" s="13"/>
      <c r="E296" s="13"/>
      <c r="F296" s="13"/>
      <c r="G296" s="13"/>
      <c r="H296" s="7">
        <f t="shared" si="26"/>
        <v>0</v>
      </c>
      <c r="I296" s="7">
        <v>1140.32</v>
      </c>
      <c r="J296" s="13"/>
      <c r="K296" s="13"/>
      <c r="L296" s="13"/>
      <c r="M296" s="7">
        <f t="shared" si="28"/>
        <v>1140.32</v>
      </c>
      <c r="N296" s="5"/>
    </row>
    <row r="297" spans="1:14" ht="11.25" customHeight="1">
      <c r="A297" s="78"/>
      <c r="B297" s="103"/>
      <c r="C297" s="15" t="s">
        <v>76</v>
      </c>
      <c r="D297" s="4"/>
      <c r="E297" s="4">
        <v>420000</v>
      </c>
      <c r="F297" s="4"/>
      <c r="G297" s="4"/>
      <c r="H297" s="7">
        <f t="shared" si="26"/>
        <v>420000</v>
      </c>
      <c r="J297" s="7">
        <v>221920.86</v>
      </c>
      <c r="K297" s="7"/>
      <c r="L297" s="7"/>
      <c r="M297" s="7">
        <f t="shared" si="28"/>
        <v>221920.86</v>
      </c>
      <c r="N297" s="5">
        <f t="shared" si="27"/>
        <v>0.5283829999999999</v>
      </c>
    </row>
    <row r="298" spans="1:14" ht="13.5" customHeight="1">
      <c r="A298" s="78"/>
      <c r="B298" s="103"/>
      <c r="C298" s="16" t="s">
        <v>72</v>
      </c>
      <c r="D298" s="4"/>
      <c r="E298" s="4"/>
      <c r="F298" s="4"/>
      <c r="G298" s="4"/>
      <c r="H298" s="7">
        <f t="shared" si="26"/>
        <v>0</v>
      </c>
      <c r="I298" s="7"/>
      <c r="J298" s="7">
        <v>826.05</v>
      </c>
      <c r="K298" s="7"/>
      <c r="L298" s="7"/>
      <c r="M298" s="7">
        <f t="shared" si="28"/>
        <v>826.05</v>
      </c>
      <c r="N298" s="5"/>
    </row>
    <row r="299" spans="1:14" ht="12" customHeight="1">
      <c r="A299" s="78"/>
      <c r="B299" s="103"/>
      <c r="C299" s="16" t="s">
        <v>74</v>
      </c>
      <c r="D299" s="4"/>
      <c r="E299" s="4"/>
      <c r="F299" s="4"/>
      <c r="G299" s="4"/>
      <c r="H299" s="7">
        <f t="shared" si="26"/>
        <v>0</v>
      </c>
      <c r="I299" s="7">
        <v>717.48</v>
      </c>
      <c r="J299" s="7">
        <v>879.33</v>
      </c>
      <c r="K299" s="7"/>
      <c r="L299" s="7"/>
      <c r="M299" s="7">
        <f t="shared" si="28"/>
        <v>1596.81</v>
      </c>
      <c r="N299" s="5"/>
    </row>
    <row r="300" spans="1:14" s="10" customFormat="1" ht="31.5" customHeight="1">
      <c r="A300" s="79"/>
      <c r="B300" s="104"/>
      <c r="C300" s="66" t="s">
        <v>73</v>
      </c>
      <c r="D300" s="7"/>
      <c r="E300" s="7">
        <f>1279200+50000-58500</f>
        <v>1270700</v>
      </c>
      <c r="F300" s="7"/>
      <c r="G300" s="7"/>
      <c r="H300" s="7">
        <f t="shared" si="26"/>
        <v>1270700</v>
      </c>
      <c r="I300" s="7"/>
      <c r="J300" s="7">
        <v>728590</v>
      </c>
      <c r="K300" s="7"/>
      <c r="L300" s="7"/>
      <c r="M300" s="7">
        <f t="shared" si="28"/>
        <v>728590</v>
      </c>
      <c r="N300" s="8">
        <f t="shared" si="27"/>
        <v>0.5733768788856536</v>
      </c>
    </row>
    <row r="301" spans="1:14" ht="9.75" customHeight="1">
      <c r="A301" s="78"/>
      <c r="B301" s="30" t="s">
        <v>166</v>
      </c>
      <c r="C301" s="26"/>
      <c r="D301" s="6">
        <f>SUM(D296:D300)</f>
        <v>0</v>
      </c>
      <c r="E301" s="6">
        <f>SUM(E296:E300)</f>
        <v>1690700</v>
      </c>
      <c r="F301" s="6">
        <f>SUM(F296:F300)</f>
        <v>0</v>
      </c>
      <c r="G301" s="6">
        <f>SUM(G296:G300)</f>
        <v>0</v>
      </c>
      <c r="H301" s="6">
        <f t="shared" si="26"/>
        <v>1690700</v>
      </c>
      <c r="I301" s="6">
        <f>SUM(I296:I300)</f>
        <v>1857.8</v>
      </c>
      <c r="J301" s="6">
        <f>SUM(J296:J300)</f>
        <v>952216.24</v>
      </c>
      <c r="K301" s="6">
        <f>SUM(K296:K300)</f>
        <v>0</v>
      </c>
      <c r="L301" s="6">
        <f>SUM(L296:L300)</f>
        <v>0</v>
      </c>
      <c r="M301" s="6">
        <f t="shared" si="28"/>
        <v>954074.04</v>
      </c>
      <c r="N301" s="25">
        <f t="shared" si="27"/>
        <v>0.5643071153959899</v>
      </c>
    </row>
    <row r="302" spans="1:14" ht="10.5" customHeight="1">
      <c r="A302" s="78"/>
      <c r="B302" s="102" t="s">
        <v>109</v>
      </c>
      <c r="C302" s="15" t="s">
        <v>76</v>
      </c>
      <c r="D302" s="4">
        <v>350000</v>
      </c>
      <c r="E302" s="4"/>
      <c r="F302" s="4"/>
      <c r="G302" s="4"/>
      <c r="H302" s="7">
        <f t="shared" si="26"/>
        <v>350000</v>
      </c>
      <c r="I302" s="7">
        <v>168524.4</v>
      </c>
      <c r="J302" s="7"/>
      <c r="K302" s="7"/>
      <c r="L302" s="7"/>
      <c r="M302" s="7">
        <f t="shared" si="28"/>
        <v>168524.4</v>
      </c>
      <c r="N302" s="5">
        <f t="shared" si="27"/>
        <v>0.4814982857142857</v>
      </c>
    </row>
    <row r="303" spans="1:14" ht="48.75" customHeight="1">
      <c r="A303" s="78"/>
      <c r="B303" s="103"/>
      <c r="C303" s="16" t="s">
        <v>129</v>
      </c>
      <c r="D303" s="4"/>
      <c r="E303" s="4"/>
      <c r="F303" s="4">
        <f>558360-122760</f>
        <v>435600</v>
      </c>
      <c r="G303" s="4"/>
      <c r="H303" s="7">
        <f t="shared" si="26"/>
        <v>435600</v>
      </c>
      <c r="I303" s="7"/>
      <c r="J303" s="7"/>
      <c r="K303" s="7">
        <v>216400</v>
      </c>
      <c r="L303" s="7"/>
      <c r="M303" s="7">
        <f t="shared" si="28"/>
        <v>216400</v>
      </c>
      <c r="N303" s="5">
        <f t="shared" si="27"/>
        <v>0.4967860422405877</v>
      </c>
    </row>
    <row r="304" spans="1:14" ht="32.25" customHeight="1" hidden="1">
      <c r="A304" s="78"/>
      <c r="B304" s="103"/>
      <c r="C304" s="19" t="s">
        <v>73</v>
      </c>
      <c r="D304" s="4"/>
      <c r="E304" s="4"/>
      <c r="F304" s="4"/>
      <c r="G304" s="4"/>
      <c r="H304" s="7">
        <f t="shared" si="26"/>
        <v>0</v>
      </c>
      <c r="I304" s="7"/>
      <c r="J304" s="7"/>
      <c r="K304" s="7"/>
      <c r="L304" s="7"/>
      <c r="M304" s="7">
        <f t="shared" si="28"/>
        <v>0</v>
      </c>
      <c r="N304" s="5" t="e">
        <f t="shared" si="27"/>
        <v>#DIV/0!</v>
      </c>
    </row>
    <row r="305" spans="1:14" ht="30" customHeight="1">
      <c r="A305" s="78"/>
      <c r="B305" s="103"/>
      <c r="C305" s="19" t="s">
        <v>77</v>
      </c>
      <c r="D305" s="4">
        <f>325-40</f>
        <v>285</v>
      </c>
      <c r="E305" s="4"/>
      <c r="F305" s="4"/>
      <c r="G305" s="4"/>
      <c r="H305" s="7">
        <f t="shared" si="26"/>
        <v>285</v>
      </c>
      <c r="I305" s="7">
        <v>228.87</v>
      </c>
      <c r="J305" s="7"/>
      <c r="K305" s="7"/>
      <c r="L305" s="7"/>
      <c r="M305" s="7">
        <f t="shared" si="28"/>
        <v>228.87</v>
      </c>
      <c r="N305" s="5">
        <f t="shared" si="27"/>
        <v>0.8030526315789474</v>
      </c>
    </row>
    <row r="306" spans="1:14" ht="48" customHeight="1" hidden="1">
      <c r="A306" s="78"/>
      <c r="B306" s="15"/>
      <c r="C306" s="19" t="s">
        <v>79</v>
      </c>
      <c r="D306" s="4"/>
      <c r="E306" s="4"/>
      <c r="F306" s="4"/>
      <c r="G306" s="4"/>
      <c r="H306" s="7">
        <f t="shared" si="26"/>
        <v>0</v>
      </c>
      <c r="I306" s="7"/>
      <c r="J306" s="7"/>
      <c r="K306" s="7"/>
      <c r="L306" s="7"/>
      <c r="M306" s="7">
        <f t="shared" si="28"/>
        <v>0</v>
      </c>
      <c r="N306" s="5" t="e">
        <f t="shared" si="27"/>
        <v>#DIV/0!</v>
      </c>
    </row>
    <row r="307" spans="1:14" ht="10.5" customHeight="1">
      <c r="A307" s="78"/>
      <c r="B307" s="30" t="s">
        <v>167</v>
      </c>
      <c r="C307" s="26"/>
      <c r="D307" s="6">
        <f>SUM(D302:D306)</f>
        <v>350285</v>
      </c>
      <c r="E307" s="6">
        <f>SUM(E302:E306)</f>
        <v>0</v>
      </c>
      <c r="F307" s="6">
        <f>SUM(F302:F306)</f>
        <v>435600</v>
      </c>
      <c r="G307" s="6">
        <f>SUM(G302:G306)</f>
        <v>0</v>
      </c>
      <c r="H307" s="6">
        <f t="shared" si="26"/>
        <v>785885</v>
      </c>
      <c r="I307" s="6">
        <f>SUM(I302:I306)</f>
        <v>168753.27</v>
      </c>
      <c r="J307" s="6">
        <f>SUM(J302:J306)</f>
        <v>0</v>
      </c>
      <c r="K307" s="6">
        <f>SUM(K302:K306)</f>
        <v>216400</v>
      </c>
      <c r="L307" s="6">
        <f>SUM(L302:L306)</f>
        <v>0</v>
      </c>
      <c r="M307" s="6">
        <f t="shared" si="28"/>
        <v>385153.27</v>
      </c>
      <c r="N307" s="25">
        <f aca="true" t="shared" si="29" ref="N307:N338">M307/H307</f>
        <v>0.4900885880249655</v>
      </c>
    </row>
    <row r="308" spans="1:14" s="10" customFormat="1" ht="11.25" customHeight="1">
      <c r="A308" s="79"/>
      <c r="B308" s="102" t="s">
        <v>192</v>
      </c>
      <c r="C308" s="16" t="s">
        <v>74</v>
      </c>
      <c r="D308" s="13"/>
      <c r="E308" s="13"/>
      <c r="F308" s="13"/>
      <c r="G308" s="13"/>
      <c r="H308" s="7">
        <f t="shared" si="26"/>
        <v>0</v>
      </c>
      <c r="I308" s="13"/>
      <c r="J308" s="7">
        <v>1187.99</v>
      </c>
      <c r="K308" s="13"/>
      <c r="L308" s="13"/>
      <c r="M308" s="7">
        <f t="shared" si="28"/>
        <v>1187.99</v>
      </c>
      <c r="N308" s="5"/>
    </row>
    <row r="309" spans="1:14" ht="29.25" customHeight="1">
      <c r="A309" s="78"/>
      <c r="B309" s="104"/>
      <c r="C309" s="16" t="s">
        <v>83</v>
      </c>
      <c r="D309" s="4"/>
      <c r="E309" s="4">
        <v>162560</v>
      </c>
      <c r="F309" s="4"/>
      <c r="G309" s="4"/>
      <c r="H309" s="7">
        <f t="shared" si="26"/>
        <v>162560</v>
      </c>
      <c r="I309" s="7"/>
      <c r="J309" s="7">
        <v>105938.23</v>
      </c>
      <c r="K309" s="7"/>
      <c r="L309" s="7"/>
      <c r="M309" s="7">
        <f t="shared" si="28"/>
        <v>105938.23</v>
      </c>
      <c r="N309" s="5">
        <f t="shared" si="29"/>
        <v>0.6516869463582677</v>
      </c>
    </row>
    <row r="310" spans="1:14" ht="10.5" customHeight="1">
      <c r="A310" s="78"/>
      <c r="B310" s="30" t="s">
        <v>193</v>
      </c>
      <c r="C310" s="26"/>
      <c r="D310" s="6">
        <f>SUM(D308:D309)</f>
        <v>0</v>
      </c>
      <c r="E310" s="6">
        <f>SUM(E308:E309)</f>
        <v>162560</v>
      </c>
      <c r="F310" s="6">
        <f>SUM(F308:F309)</f>
        <v>0</v>
      </c>
      <c r="G310" s="6">
        <f>SUM(G308:G309)</f>
        <v>0</v>
      </c>
      <c r="H310" s="6">
        <f t="shared" si="26"/>
        <v>162560</v>
      </c>
      <c r="I310" s="6">
        <f>SUM(I308:I309)</f>
        <v>0</v>
      </c>
      <c r="J310" s="6">
        <f>SUM(J308:J309)</f>
        <v>107126.22</v>
      </c>
      <c r="K310" s="6">
        <f>SUM(K308:K309)</f>
        <v>0</v>
      </c>
      <c r="L310" s="6">
        <f>SUM(L308:L309)</f>
        <v>0</v>
      </c>
      <c r="M310" s="6">
        <f t="shared" si="28"/>
        <v>107126.22</v>
      </c>
      <c r="N310" s="25">
        <f t="shared" si="29"/>
        <v>0.6589949557086614</v>
      </c>
    </row>
    <row r="311" spans="1:14" s="10" customFormat="1" ht="9.75">
      <c r="A311" s="79"/>
      <c r="B311" s="102" t="s">
        <v>168</v>
      </c>
      <c r="C311" s="16" t="s">
        <v>72</v>
      </c>
      <c r="D311" s="13"/>
      <c r="E311" s="13"/>
      <c r="F311" s="13"/>
      <c r="G311" s="13"/>
      <c r="H311" s="7">
        <f t="shared" si="26"/>
        <v>0</v>
      </c>
      <c r="I311" s="7">
        <v>27575.01</v>
      </c>
      <c r="J311" s="13"/>
      <c r="K311" s="13"/>
      <c r="L311" s="13"/>
      <c r="M311" s="7">
        <f t="shared" si="28"/>
        <v>27575.01</v>
      </c>
      <c r="N311" s="5"/>
    </row>
    <row r="312" spans="1:14" s="10" customFormat="1" ht="13.5" customHeight="1">
      <c r="A312" s="79"/>
      <c r="B312" s="103"/>
      <c r="C312" s="16" t="s">
        <v>74</v>
      </c>
      <c r="D312" s="13"/>
      <c r="E312" s="13"/>
      <c r="F312" s="13"/>
      <c r="G312" s="13"/>
      <c r="H312" s="7">
        <f t="shared" si="26"/>
        <v>0</v>
      </c>
      <c r="I312" s="7">
        <v>12035.97</v>
      </c>
      <c r="J312" s="13"/>
      <c r="K312" s="13"/>
      <c r="L312" s="13"/>
      <c r="M312" s="7">
        <f t="shared" si="28"/>
        <v>12035.97</v>
      </c>
      <c r="N312" s="5"/>
    </row>
    <row r="313" spans="1:14" ht="55.5" customHeight="1">
      <c r="A313" s="78"/>
      <c r="B313" s="103"/>
      <c r="C313" s="15" t="s">
        <v>129</v>
      </c>
      <c r="D313" s="4"/>
      <c r="E313" s="4"/>
      <c r="F313" s="4">
        <v>37603050</v>
      </c>
      <c r="G313" s="4"/>
      <c r="H313" s="7">
        <f t="shared" si="26"/>
        <v>37603050</v>
      </c>
      <c r="I313" s="7"/>
      <c r="J313" s="7"/>
      <c r="K313" s="7">
        <v>17132910</v>
      </c>
      <c r="L313" s="7"/>
      <c r="M313" s="7">
        <f t="shared" si="28"/>
        <v>17132910</v>
      </c>
      <c r="N313" s="5">
        <f t="shared" si="29"/>
        <v>0.45562554101329544</v>
      </c>
    </row>
    <row r="314" spans="1:14" ht="48.75" hidden="1">
      <c r="A314" s="78"/>
      <c r="B314" s="103"/>
      <c r="C314" s="19" t="s">
        <v>69</v>
      </c>
      <c r="D314" s="4"/>
      <c r="E314" s="4"/>
      <c r="F314" s="4"/>
      <c r="G314" s="4"/>
      <c r="H314" s="7">
        <f t="shared" si="26"/>
        <v>0</v>
      </c>
      <c r="I314" s="7"/>
      <c r="J314" s="7"/>
      <c r="K314" s="7"/>
      <c r="L314" s="7"/>
      <c r="M314" s="7">
        <f t="shared" si="28"/>
        <v>0</v>
      </c>
      <c r="N314" s="5" t="e">
        <f t="shared" si="29"/>
        <v>#DIV/0!</v>
      </c>
    </row>
    <row r="315" spans="1:14" ht="48.75" hidden="1">
      <c r="A315" s="78"/>
      <c r="B315" s="104"/>
      <c r="C315" s="19" t="s">
        <v>272</v>
      </c>
      <c r="D315" s="4"/>
      <c r="E315" s="4"/>
      <c r="F315" s="4"/>
      <c r="G315" s="4"/>
      <c r="H315" s="7">
        <f t="shared" si="26"/>
        <v>0</v>
      </c>
      <c r="I315" s="7"/>
      <c r="J315" s="7"/>
      <c r="K315" s="7"/>
      <c r="L315" s="7"/>
      <c r="M315" s="7">
        <f t="shared" si="28"/>
        <v>0</v>
      </c>
      <c r="N315" s="5" t="e">
        <f t="shared" si="29"/>
        <v>#DIV/0!</v>
      </c>
    </row>
    <row r="316" spans="1:14" ht="10.5" customHeight="1">
      <c r="A316" s="78"/>
      <c r="B316" s="30" t="s">
        <v>169</v>
      </c>
      <c r="C316" s="26"/>
      <c r="D316" s="6">
        <f>SUM(D311:D315)</f>
        <v>0</v>
      </c>
      <c r="E316" s="6">
        <f>SUM(E311:E315)</f>
        <v>0</v>
      </c>
      <c r="F316" s="6">
        <f>SUM(F311:F315)</f>
        <v>37603050</v>
      </c>
      <c r="G316" s="6">
        <f>SUM(G311:G315)</f>
        <v>0</v>
      </c>
      <c r="H316" s="6">
        <f t="shared" si="26"/>
        <v>37603050</v>
      </c>
      <c r="I316" s="6">
        <f>SUM(I311:I315)</f>
        <v>39610.979999999996</v>
      </c>
      <c r="J316" s="6">
        <f>SUM(J311:J315)</f>
        <v>0</v>
      </c>
      <c r="K316" s="6">
        <f>SUM(K311:K315)</f>
        <v>17132910</v>
      </c>
      <c r="L316" s="6">
        <f>SUM(L311:L315)</f>
        <v>0</v>
      </c>
      <c r="M316" s="6">
        <f t="shared" si="28"/>
        <v>17172520.98</v>
      </c>
      <c r="N316" s="25">
        <f t="shared" si="29"/>
        <v>0.45667893907542073</v>
      </c>
    </row>
    <row r="317" spans="1:14" ht="129" customHeight="1">
      <c r="A317" s="78"/>
      <c r="B317" s="20" t="s">
        <v>170</v>
      </c>
      <c r="C317" s="24" t="s">
        <v>129</v>
      </c>
      <c r="D317" s="4"/>
      <c r="E317" s="4"/>
      <c r="F317" s="4">
        <v>490390</v>
      </c>
      <c r="G317" s="4"/>
      <c r="H317" s="7">
        <f t="shared" si="26"/>
        <v>490390</v>
      </c>
      <c r="I317" s="7"/>
      <c r="J317" s="7"/>
      <c r="K317" s="7">
        <v>247655</v>
      </c>
      <c r="L317" s="7"/>
      <c r="M317" s="7">
        <f t="shared" si="28"/>
        <v>247655</v>
      </c>
      <c r="N317" s="5">
        <f t="shared" si="29"/>
        <v>0.5050164155060258</v>
      </c>
    </row>
    <row r="318" spans="1:14" ht="11.25" customHeight="1">
      <c r="A318" s="78"/>
      <c r="B318" s="30" t="s">
        <v>171</v>
      </c>
      <c r="C318" s="26"/>
      <c r="D318" s="6">
        <f>SUM(D317)</f>
        <v>0</v>
      </c>
      <c r="E318" s="6">
        <f>SUM(E317)</f>
        <v>0</v>
      </c>
      <c r="F318" s="6">
        <f>SUM(F317)</f>
        <v>490390</v>
      </c>
      <c r="G318" s="6">
        <f>SUM(G317)</f>
        <v>0</v>
      </c>
      <c r="H318" s="6">
        <f t="shared" si="26"/>
        <v>490390</v>
      </c>
      <c r="I318" s="6">
        <f>SUM(I317)</f>
        <v>0</v>
      </c>
      <c r="J318" s="6">
        <f>SUM(J317)</f>
        <v>0</v>
      </c>
      <c r="K318" s="6">
        <f>SUM(K317)</f>
        <v>247655</v>
      </c>
      <c r="L318" s="6">
        <f>SUM(L317)</f>
        <v>0</v>
      </c>
      <c r="M318" s="6">
        <f>SUM(M317)</f>
        <v>247655</v>
      </c>
      <c r="N318" s="25">
        <f t="shared" si="29"/>
        <v>0.5050164155060258</v>
      </c>
    </row>
    <row r="319" spans="1:14" s="10" customFormat="1" ht="9.75" customHeight="1">
      <c r="A319" s="79"/>
      <c r="B319" s="102" t="s">
        <v>172</v>
      </c>
      <c r="C319" s="16" t="s">
        <v>74</v>
      </c>
      <c r="D319" s="13"/>
      <c r="E319" s="13"/>
      <c r="F319" s="13"/>
      <c r="G319" s="13"/>
      <c r="H319" s="7">
        <f t="shared" si="26"/>
        <v>0</v>
      </c>
      <c r="I319" s="7">
        <v>1677.87</v>
      </c>
      <c r="J319" s="13"/>
      <c r="K319" s="13"/>
      <c r="L319" s="13"/>
      <c r="M319" s="7">
        <f aca="true" t="shared" si="30" ref="M319:M349">SUM(I319:L319)</f>
        <v>1677.87</v>
      </c>
      <c r="N319" s="5"/>
    </row>
    <row r="320" spans="1:14" ht="47.25" customHeight="1">
      <c r="A320" s="78"/>
      <c r="B320" s="103"/>
      <c r="C320" s="15" t="s">
        <v>129</v>
      </c>
      <c r="D320" s="4"/>
      <c r="E320" s="4"/>
      <c r="F320" s="4">
        <v>5160000</v>
      </c>
      <c r="G320" s="4"/>
      <c r="H320" s="7">
        <f t="shared" si="26"/>
        <v>5160000</v>
      </c>
      <c r="I320" s="7"/>
      <c r="J320" s="7"/>
      <c r="K320" s="7">
        <v>2605800</v>
      </c>
      <c r="L320" s="7"/>
      <c r="M320" s="7">
        <f t="shared" si="30"/>
        <v>2605800</v>
      </c>
      <c r="N320" s="5">
        <f t="shared" si="29"/>
        <v>0.505</v>
      </c>
    </row>
    <row r="321" spans="1:14" ht="29.25" customHeight="1">
      <c r="A321" s="78"/>
      <c r="B321" s="104"/>
      <c r="C321" s="19" t="s">
        <v>101</v>
      </c>
      <c r="D321" s="4">
        <f>334565+1000</f>
        <v>335565</v>
      </c>
      <c r="E321" s="4"/>
      <c r="F321" s="4"/>
      <c r="G321" s="4"/>
      <c r="H321" s="7">
        <f t="shared" si="26"/>
        <v>335565</v>
      </c>
      <c r="I321" s="7">
        <v>184220</v>
      </c>
      <c r="J321" s="7"/>
      <c r="K321" s="7"/>
      <c r="L321" s="7"/>
      <c r="M321" s="7">
        <f t="shared" si="30"/>
        <v>184220</v>
      </c>
      <c r="N321" s="5">
        <f t="shared" si="29"/>
        <v>0.5489845484481397</v>
      </c>
    </row>
    <row r="322" spans="1:14" ht="12" customHeight="1">
      <c r="A322" s="78"/>
      <c r="B322" s="30" t="s">
        <v>173</v>
      </c>
      <c r="C322" s="26"/>
      <c r="D322" s="6">
        <f>SUM(D319:D321)</f>
        <v>335565</v>
      </c>
      <c r="E322" s="6">
        <f>SUM(E319:E321)</f>
        <v>0</v>
      </c>
      <c r="F322" s="6">
        <f>SUM(F319:F321)</f>
        <v>5160000</v>
      </c>
      <c r="G322" s="6">
        <f>SUM(G319:G321)</f>
        <v>0</v>
      </c>
      <c r="H322" s="6">
        <f t="shared" si="26"/>
        <v>5495565</v>
      </c>
      <c r="I322" s="6">
        <f>SUM(I319:I321)</f>
        <v>185897.87</v>
      </c>
      <c r="J322" s="6">
        <f>SUM(J320:J321)</f>
        <v>0</v>
      </c>
      <c r="K322" s="6">
        <f>SUM(K320:K321)</f>
        <v>2605800</v>
      </c>
      <c r="L322" s="6">
        <f>SUM(L320:L321)</f>
        <v>0</v>
      </c>
      <c r="M322" s="6">
        <f t="shared" si="30"/>
        <v>2791697.87</v>
      </c>
      <c r="N322" s="25">
        <f t="shared" si="29"/>
        <v>0.5079910564245896</v>
      </c>
    </row>
    <row r="323" spans="1:14" s="10" customFormat="1" ht="12" customHeight="1">
      <c r="A323" s="79"/>
      <c r="B323" s="102" t="s">
        <v>220</v>
      </c>
      <c r="C323" s="16" t="s">
        <v>72</v>
      </c>
      <c r="D323" s="13"/>
      <c r="E323" s="13"/>
      <c r="F323" s="13"/>
      <c r="G323" s="13"/>
      <c r="H323" s="7">
        <f aca="true" t="shared" si="31" ref="H323:H388">SUM(D323:G323)</f>
        <v>0</v>
      </c>
      <c r="I323" s="7">
        <v>154.9</v>
      </c>
      <c r="J323" s="13"/>
      <c r="K323" s="13"/>
      <c r="L323" s="13"/>
      <c r="M323" s="7">
        <f t="shared" si="30"/>
        <v>154.9</v>
      </c>
      <c r="N323" s="5"/>
    </row>
    <row r="324" spans="1:14" ht="11.25" customHeight="1">
      <c r="A324" s="78"/>
      <c r="B324" s="103"/>
      <c r="C324" s="16" t="s">
        <v>74</v>
      </c>
      <c r="D324" s="4"/>
      <c r="E324" s="4"/>
      <c r="F324" s="4"/>
      <c r="G324" s="4"/>
      <c r="H324" s="7">
        <f t="shared" si="31"/>
        <v>0</v>
      </c>
      <c r="I324" s="7">
        <v>5515.13</v>
      </c>
      <c r="J324" s="7"/>
      <c r="K324" s="7"/>
      <c r="L324" s="7"/>
      <c r="M324" s="7">
        <f t="shared" si="30"/>
        <v>5515.13</v>
      </c>
      <c r="N324" s="5"/>
    </row>
    <row r="325" spans="1:14" ht="11.25" customHeight="1">
      <c r="A325" s="78"/>
      <c r="B325" s="30" t="s">
        <v>221</v>
      </c>
      <c r="C325" s="26"/>
      <c r="D325" s="6">
        <f>SUM(D323:D324)</f>
        <v>0</v>
      </c>
      <c r="E325" s="6">
        <f>SUM(E323:E324)</f>
        <v>0</v>
      </c>
      <c r="F325" s="6">
        <f>SUM(F323:F324)</f>
        <v>0</v>
      </c>
      <c r="G325" s="6">
        <f>SUM(G323:G324)</f>
        <v>0</v>
      </c>
      <c r="H325" s="6">
        <f t="shared" si="31"/>
        <v>0</v>
      </c>
      <c r="I325" s="6">
        <f>SUM(I323:I324)</f>
        <v>5670.03</v>
      </c>
      <c r="J325" s="6">
        <f>SUM(J323:J324)</f>
        <v>0</v>
      </c>
      <c r="K325" s="6">
        <f>SUM(K323:K324)</f>
        <v>0</v>
      </c>
      <c r="L325" s="6">
        <f>SUM(L323:L324)</f>
        <v>0</v>
      </c>
      <c r="M325" s="6">
        <f t="shared" si="30"/>
        <v>5670.03</v>
      </c>
      <c r="N325" s="25"/>
    </row>
    <row r="326" spans="1:14" s="10" customFormat="1" ht="11.25" customHeight="1">
      <c r="A326" s="79"/>
      <c r="B326" s="102" t="s">
        <v>110</v>
      </c>
      <c r="C326" s="15" t="s">
        <v>76</v>
      </c>
      <c r="D326" s="13"/>
      <c r="E326" s="13"/>
      <c r="F326" s="13"/>
      <c r="G326" s="13"/>
      <c r="H326" s="7">
        <f t="shared" si="31"/>
        <v>0</v>
      </c>
      <c r="I326" s="13">
        <v>250</v>
      </c>
      <c r="J326" s="13"/>
      <c r="K326" s="13"/>
      <c r="L326" s="13"/>
      <c r="M326" s="7">
        <f t="shared" si="30"/>
        <v>250</v>
      </c>
      <c r="N326" s="5"/>
    </row>
    <row r="327" spans="1:14" s="10" customFormat="1" ht="9.75" customHeight="1">
      <c r="A327" s="79"/>
      <c r="B327" s="103"/>
      <c r="C327" s="16" t="s">
        <v>74</v>
      </c>
      <c r="D327" s="13"/>
      <c r="E327" s="13"/>
      <c r="F327" s="13"/>
      <c r="G327" s="13"/>
      <c r="H327" s="7">
        <f t="shared" si="31"/>
        <v>0</v>
      </c>
      <c r="I327" s="7">
        <v>900</v>
      </c>
      <c r="J327" s="13"/>
      <c r="K327" s="13"/>
      <c r="L327" s="13"/>
      <c r="M327" s="7">
        <f t="shared" si="30"/>
        <v>900</v>
      </c>
      <c r="N327" s="5"/>
    </row>
    <row r="328" spans="1:14" ht="30" customHeight="1">
      <c r="A328" s="78"/>
      <c r="B328" s="104"/>
      <c r="C328" s="16" t="s">
        <v>101</v>
      </c>
      <c r="D328" s="4">
        <f>1156600+222000</f>
        <v>1378600</v>
      </c>
      <c r="E328" s="4"/>
      <c r="F328" s="4"/>
      <c r="G328" s="4"/>
      <c r="H328" s="7">
        <f t="shared" si="31"/>
        <v>1378600</v>
      </c>
      <c r="I328" s="7">
        <v>733790</v>
      </c>
      <c r="J328" s="7"/>
      <c r="K328" s="7"/>
      <c r="L328" s="7"/>
      <c r="M328" s="7">
        <f t="shared" si="30"/>
        <v>733790</v>
      </c>
      <c r="N328" s="5">
        <f t="shared" si="29"/>
        <v>0.5322718700130568</v>
      </c>
    </row>
    <row r="329" spans="1:14" ht="9.75">
      <c r="A329" s="78"/>
      <c r="B329" s="30" t="s">
        <v>174</v>
      </c>
      <c r="C329" s="26"/>
      <c r="D329" s="6">
        <f>SUM(D326:D328)</f>
        <v>1378600</v>
      </c>
      <c r="E329" s="6">
        <f>SUM(E326:E328)</f>
        <v>0</v>
      </c>
      <c r="F329" s="6">
        <f>SUM(F326:F328)</f>
        <v>0</v>
      </c>
      <c r="G329" s="6">
        <f>SUM(G326:G328)</f>
        <v>0</v>
      </c>
      <c r="H329" s="6">
        <f t="shared" si="31"/>
        <v>1378600</v>
      </c>
      <c r="I329" s="6">
        <f>SUM(I326:I328)</f>
        <v>734940</v>
      </c>
      <c r="J329" s="6">
        <f>SUM(J326:J328)</f>
        <v>0</v>
      </c>
      <c r="K329" s="6">
        <f>SUM(K326:K328)</f>
        <v>0</v>
      </c>
      <c r="L329" s="6">
        <f>SUM(L326:L328)</f>
        <v>0</v>
      </c>
      <c r="M329" s="6">
        <f t="shared" si="30"/>
        <v>734940</v>
      </c>
      <c r="N329" s="25">
        <f t="shared" si="29"/>
        <v>0.533106049615552</v>
      </c>
    </row>
    <row r="330" spans="1:14" s="10" customFormat="1" ht="50.25" customHeight="1" hidden="1">
      <c r="A330" s="79"/>
      <c r="B330" s="66" t="s">
        <v>284</v>
      </c>
      <c r="C330" s="66" t="s">
        <v>73</v>
      </c>
      <c r="D330" s="13"/>
      <c r="E330" s="13"/>
      <c r="F330" s="13"/>
      <c r="G330" s="13"/>
      <c r="H330" s="7">
        <f t="shared" si="31"/>
        <v>0</v>
      </c>
      <c r="I330" s="13"/>
      <c r="J330" s="13"/>
      <c r="K330" s="13"/>
      <c r="L330" s="13"/>
      <c r="M330" s="7">
        <f t="shared" si="30"/>
        <v>0</v>
      </c>
      <c r="N330" s="8" t="e">
        <f t="shared" si="29"/>
        <v>#DIV/0!</v>
      </c>
    </row>
    <row r="331" spans="1:14" s="10" customFormat="1" ht="9.75" hidden="1">
      <c r="A331" s="79"/>
      <c r="B331" s="30" t="s">
        <v>285</v>
      </c>
      <c r="C331" s="26"/>
      <c r="D331" s="6">
        <f>SUM(D330:D330)</f>
        <v>0</v>
      </c>
      <c r="E331" s="6">
        <f>SUM(E330:E330)</f>
        <v>0</v>
      </c>
      <c r="F331" s="6">
        <f>SUM(F330:F330)</f>
        <v>0</v>
      </c>
      <c r="G331" s="6">
        <f>SUM(G330:G330)</f>
        <v>0</v>
      </c>
      <c r="H331" s="6">
        <f t="shared" si="31"/>
        <v>0</v>
      </c>
      <c r="I331" s="6">
        <f>SUM(I330:I330)</f>
        <v>0</v>
      </c>
      <c r="J331" s="6">
        <f>SUM(J330:J330)</f>
        <v>0</v>
      </c>
      <c r="K331" s="6">
        <f>SUM(K330:K330)</f>
        <v>0</v>
      </c>
      <c r="L331" s="6">
        <f>SUM(L330:L330)</f>
        <v>0</v>
      </c>
      <c r="M331" s="6">
        <f t="shared" si="30"/>
        <v>0</v>
      </c>
      <c r="N331" s="25" t="e">
        <f t="shared" si="29"/>
        <v>#DIV/0!</v>
      </c>
    </row>
    <row r="332" spans="1:14" s="10" customFormat="1" ht="10.5" customHeight="1">
      <c r="A332" s="79"/>
      <c r="B332" s="102" t="s">
        <v>175</v>
      </c>
      <c r="C332" s="69" t="s">
        <v>71</v>
      </c>
      <c r="D332" s="13"/>
      <c r="E332" s="13"/>
      <c r="F332" s="13"/>
      <c r="G332" s="13"/>
      <c r="H332" s="7">
        <f t="shared" si="31"/>
        <v>0</v>
      </c>
      <c r="I332" s="70">
        <v>26.4</v>
      </c>
      <c r="J332" s="13"/>
      <c r="K332" s="13"/>
      <c r="L332" s="13"/>
      <c r="M332" s="7">
        <f t="shared" si="30"/>
        <v>26.4</v>
      </c>
      <c r="N332" s="5"/>
    </row>
    <row r="333" spans="1:14" ht="9.75" customHeight="1">
      <c r="A333" s="78"/>
      <c r="B333" s="103"/>
      <c r="C333" s="15" t="s">
        <v>76</v>
      </c>
      <c r="D333" s="4">
        <v>350000</v>
      </c>
      <c r="E333" s="4"/>
      <c r="F333" s="7"/>
      <c r="G333" s="4"/>
      <c r="H333" s="7">
        <f t="shared" si="31"/>
        <v>350000</v>
      </c>
      <c r="I333" s="7">
        <v>188331.61</v>
      </c>
      <c r="J333" s="9"/>
      <c r="K333" s="9"/>
      <c r="L333" s="9"/>
      <c r="M333" s="7">
        <f t="shared" si="30"/>
        <v>188331.61</v>
      </c>
      <c r="N333" s="5">
        <f t="shared" si="29"/>
        <v>0.5380903142857143</v>
      </c>
    </row>
    <row r="334" spans="1:14" ht="9.75">
      <c r="A334" s="78"/>
      <c r="B334" s="103"/>
      <c r="C334" s="16" t="s">
        <v>72</v>
      </c>
      <c r="D334" s="4"/>
      <c r="E334" s="4"/>
      <c r="F334" s="7"/>
      <c r="G334" s="4"/>
      <c r="H334" s="7">
        <f t="shared" si="31"/>
        <v>0</v>
      </c>
      <c r="I334" s="7">
        <v>16504.09</v>
      </c>
      <c r="J334" s="9"/>
      <c r="K334" s="9"/>
      <c r="L334" s="9"/>
      <c r="M334" s="7">
        <f t="shared" si="30"/>
        <v>16504.09</v>
      </c>
      <c r="N334" s="5"/>
    </row>
    <row r="335" spans="1:14" ht="48.75" customHeight="1">
      <c r="A335" s="78"/>
      <c r="B335" s="103"/>
      <c r="C335" s="16" t="s">
        <v>129</v>
      </c>
      <c r="D335" s="4"/>
      <c r="E335" s="4"/>
      <c r="F335" s="4">
        <v>301830</v>
      </c>
      <c r="G335" s="4"/>
      <c r="H335" s="7">
        <f t="shared" si="31"/>
        <v>301830</v>
      </c>
      <c r="I335" s="7"/>
      <c r="J335" s="7"/>
      <c r="K335" s="7">
        <v>153110</v>
      </c>
      <c r="L335" s="7"/>
      <c r="M335" s="7">
        <f t="shared" si="30"/>
        <v>153110</v>
      </c>
      <c r="N335" s="5">
        <f t="shared" si="29"/>
        <v>0.5072723056024915</v>
      </c>
    </row>
    <row r="336" spans="1:14" ht="30" customHeight="1">
      <c r="A336" s="78"/>
      <c r="B336" s="104"/>
      <c r="C336" s="19" t="s">
        <v>77</v>
      </c>
      <c r="D336" s="4">
        <v>460</v>
      </c>
      <c r="E336" s="4"/>
      <c r="F336" s="4"/>
      <c r="G336" s="4"/>
      <c r="H336" s="7">
        <f t="shared" si="31"/>
        <v>460</v>
      </c>
      <c r="I336" s="7">
        <v>408.8</v>
      </c>
      <c r="J336" s="7"/>
      <c r="K336" s="7"/>
      <c r="L336" s="7"/>
      <c r="M336" s="7">
        <f t="shared" si="30"/>
        <v>408.8</v>
      </c>
      <c r="N336" s="5">
        <f t="shared" si="29"/>
        <v>0.8886956521739131</v>
      </c>
    </row>
    <row r="337" spans="1:14" ht="11.25" customHeight="1">
      <c r="A337" s="78"/>
      <c r="B337" s="30" t="s">
        <v>176</v>
      </c>
      <c r="C337" s="26"/>
      <c r="D337" s="6">
        <f>SUM(D332:D336)</f>
        <v>350460</v>
      </c>
      <c r="E337" s="6">
        <f>SUM(E332:E336)</f>
        <v>0</v>
      </c>
      <c r="F337" s="6">
        <f>SUM(F332:F336)</f>
        <v>301830</v>
      </c>
      <c r="G337" s="6">
        <f>SUM(G332:G336)</f>
        <v>0</v>
      </c>
      <c r="H337" s="6">
        <f t="shared" si="31"/>
        <v>652290</v>
      </c>
      <c r="I337" s="6">
        <f>SUM(I332:I336)</f>
        <v>205270.89999999997</v>
      </c>
      <c r="J337" s="6">
        <f>SUM(J332:J336)</f>
        <v>0</v>
      </c>
      <c r="K337" s="6">
        <f>SUM(K332:K336)</f>
        <v>153110</v>
      </c>
      <c r="L337" s="6">
        <f>SUM(L332:L336)</f>
        <v>0</v>
      </c>
      <c r="M337" s="6">
        <f t="shared" si="30"/>
        <v>358380.89999999997</v>
      </c>
      <c r="N337" s="25">
        <f t="shared" si="29"/>
        <v>0.5494195833141701</v>
      </c>
    </row>
    <row r="338" spans="1:14" s="10" customFormat="1" ht="40.5" customHeight="1" hidden="1">
      <c r="A338" s="79"/>
      <c r="B338" s="19" t="s">
        <v>187</v>
      </c>
      <c r="C338" s="16" t="s">
        <v>287</v>
      </c>
      <c r="D338" s="13"/>
      <c r="E338" s="13"/>
      <c r="F338" s="13"/>
      <c r="G338" s="13"/>
      <c r="H338" s="7">
        <f t="shared" si="31"/>
        <v>0</v>
      </c>
      <c r="I338" s="13"/>
      <c r="J338" s="13"/>
      <c r="K338" s="13"/>
      <c r="L338" s="13"/>
      <c r="M338" s="7">
        <f t="shared" si="30"/>
        <v>0</v>
      </c>
      <c r="N338" s="5" t="e">
        <f t="shared" si="29"/>
        <v>#DIV/0!</v>
      </c>
    </row>
    <row r="339" spans="1:14" s="10" customFormat="1" ht="11.25" customHeight="1">
      <c r="A339" s="79"/>
      <c r="B339" s="102" t="s">
        <v>187</v>
      </c>
      <c r="C339" s="16" t="s">
        <v>74</v>
      </c>
      <c r="D339" s="13"/>
      <c r="E339" s="13"/>
      <c r="F339" s="13"/>
      <c r="G339" s="13"/>
      <c r="H339" s="7">
        <f t="shared" si="31"/>
        <v>0</v>
      </c>
      <c r="I339" s="70">
        <v>8797.6</v>
      </c>
      <c r="J339" s="13"/>
      <c r="K339" s="13"/>
      <c r="L339" s="13"/>
      <c r="M339" s="7">
        <f t="shared" si="30"/>
        <v>8797.6</v>
      </c>
      <c r="N339" s="5"/>
    </row>
    <row r="340" spans="1:14" ht="28.5" customHeight="1">
      <c r="A340" s="78"/>
      <c r="B340" s="103"/>
      <c r="C340" s="16" t="s">
        <v>101</v>
      </c>
      <c r="D340" s="4">
        <f>197450+607835</f>
        <v>805285</v>
      </c>
      <c r="E340" s="4"/>
      <c r="F340" s="4"/>
      <c r="G340" s="4"/>
      <c r="H340" s="7">
        <f t="shared" si="31"/>
        <v>805285</v>
      </c>
      <c r="I340" s="7">
        <v>805285</v>
      </c>
      <c r="J340" s="9"/>
      <c r="K340" s="9"/>
      <c r="L340" s="9"/>
      <c r="M340" s="7">
        <f t="shared" si="30"/>
        <v>805285</v>
      </c>
      <c r="N340" s="5">
        <f aca="true" t="shared" si="32" ref="N340:N363">M340/H340</f>
        <v>1</v>
      </c>
    </row>
    <row r="341" spans="1:14" ht="39" customHeight="1" hidden="1">
      <c r="A341" s="78"/>
      <c r="B341" s="15"/>
      <c r="C341" s="16" t="s">
        <v>212</v>
      </c>
      <c r="D341" s="4"/>
      <c r="E341" s="4"/>
      <c r="F341" s="4"/>
      <c r="G341" s="4"/>
      <c r="H341" s="7">
        <f t="shared" si="31"/>
        <v>0</v>
      </c>
      <c r="I341" s="7"/>
      <c r="J341" s="9"/>
      <c r="K341" s="9"/>
      <c r="L341" s="9"/>
      <c r="M341" s="7">
        <f t="shared" si="30"/>
        <v>0</v>
      </c>
      <c r="N341" s="5" t="e">
        <f t="shared" si="32"/>
        <v>#DIV/0!</v>
      </c>
    </row>
    <row r="342" spans="1:14" ht="37.5" customHeight="1">
      <c r="A342" s="78"/>
      <c r="B342" s="95"/>
      <c r="C342" s="19" t="s">
        <v>315</v>
      </c>
      <c r="D342" s="4">
        <v>11200</v>
      </c>
      <c r="E342" s="4"/>
      <c r="F342" s="4"/>
      <c r="G342" s="4"/>
      <c r="H342" s="7">
        <f t="shared" si="31"/>
        <v>11200</v>
      </c>
      <c r="I342" s="7">
        <v>11200</v>
      </c>
      <c r="J342" s="9"/>
      <c r="K342" s="9"/>
      <c r="L342" s="9"/>
      <c r="M342" s="7">
        <f t="shared" si="30"/>
        <v>11200</v>
      </c>
      <c r="N342" s="5">
        <f t="shared" si="32"/>
        <v>1</v>
      </c>
    </row>
    <row r="343" spans="1:14" ht="12" customHeight="1">
      <c r="A343" s="78"/>
      <c r="B343" s="34" t="s">
        <v>188</v>
      </c>
      <c r="C343" s="31"/>
      <c r="D343" s="6">
        <f>SUM(D340:D342)</f>
        <v>816485</v>
      </c>
      <c r="E343" s="6">
        <f>SUM(E340:E342)</f>
        <v>0</v>
      </c>
      <c r="F343" s="6">
        <f>SUM(F340:F342)</f>
        <v>0</v>
      </c>
      <c r="G343" s="6">
        <f>SUM(G340:G342)</f>
        <v>0</v>
      </c>
      <c r="H343" s="6">
        <f t="shared" si="31"/>
        <v>816485</v>
      </c>
      <c r="I343" s="6">
        <f>SUM(I338:I342)</f>
        <v>825282.6</v>
      </c>
      <c r="J343" s="6">
        <f>SUM(J338:J342)</f>
        <v>0</v>
      </c>
      <c r="K343" s="6">
        <f>SUM(K338:K342)</f>
        <v>0</v>
      </c>
      <c r="L343" s="6">
        <f>SUM(L338:L342)</f>
        <v>0</v>
      </c>
      <c r="M343" s="6">
        <f t="shared" si="30"/>
        <v>825282.6</v>
      </c>
      <c r="N343" s="25">
        <f t="shared" si="32"/>
        <v>1.0107749683092768</v>
      </c>
    </row>
    <row r="344" spans="1:14" ht="12" customHeight="1">
      <c r="A344" s="32" t="s">
        <v>105</v>
      </c>
      <c r="B344" s="33"/>
      <c r="C344" s="21"/>
      <c r="D344" s="22">
        <f>SUM(D343,D337,D329,D325,D322,D318,D316,D310,D307,D301,D331,D295)</f>
        <v>3231395</v>
      </c>
      <c r="E344" s="22">
        <f>SUM(E343,E337,E329,E325,E322,E318,E316,E310,E307,E301,E331,E295)</f>
        <v>2239020</v>
      </c>
      <c r="F344" s="22">
        <f>SUM(F343,F337,F329,F325,F322,F318,F316,F310,F307,F301,F331,F295)</f>
        <v>43990870</v>
      </c>
      <c r="G344" s="22">
        <f>SUM(G343,G337,G329,G325,G322,G318,G316,G310,G307,G301,G331,G295)</f>
        <v>0</v>
      </c>
      <c r="H344" s="22">
        <f t="shared" si="31"/>
        <v>49461285</v>
      </c>
      <c r="I344" s="22">
        <f>SUM(I343,I337,I329,I325,I322,I318,I316,I310,I307,I301,I331,I295)</f>
        <v>2167283.4499999997</v>
      </c>
      <c r="J344" s="22">
        <f>SUM(J343,J337,J329,J325,J322,J318,J316,J310,J307,J301,J331,J295)</f>
        <v>1191438.17</v>
      </c>
      <c r="K344" s="22">
        <f>SUM(K343,K337,K329,K325,K322,K318,K316,K310,K307,K301,K331,K295)</f>
        <v>20355875</v>
      </c>
      <c r="L344" s="22">
        <f>SUM(L343,L337,L329,L325,L322,L318,L316,L310,L307,L301,L331,L295)</f>
        <v>0</v>
      </c>
      <c r="M344" s="22">
        <f t="shared" si="30"/>
        <v>23714596.62</v>
      </c>
      <c r="N344" s="27">
        <f t="shared" si="32"/>
        <v>0.4794577540797818</v>
      </c>
    </row>
    <row r="345" spans="1:14" s="10" customFormat="1" ht="11.25">
      <c r="A345" s="105" t="s">
        <v>111</v>
      </c>
      <c r="B345" s="102" t="s">
        <v>47</v>
      </c>
      <c r="C345" s="16" t="s">
        <v>76</v>
      </c>
      <c r="D345" s="4">
        <v>184000</v>
      </c>
      <c r="E345" s="43"/>
      <c r="F345" s="43"/>
      <c r="G345" s="43"/>
      <c r="H345" s="7">
        <f t="shared" si="31"/>
        <v>184000</v>
      </c>
      <c r="I345" s="7">
        <v>89978.6</v>
      </c>
      <c r="J345" s="43"/>
      <c r="K345" s="43"/>
      <c r="L345" s="43"/>
      <c r="M345" s="7">
        <f t="shared" si="30"/>
        <v>89978.6</v>
      </c>
      <c r="N345" s="5">
        <f t="shared" si="32"/>
        <v>0.48901413043478265</v>
      </c>
    </row>
    <row r="346" spans="1:14" ht="9" customHeight="1">
      <c r="A346" s="106"/>
      <c r="B346" s="104"/>
      <c r="C346" s="16" t="s">
        <v>72</v>
      </c>
      <c r="E346" s="4"/>
      <c r="F346" s="4"/>
      <c r="G346" s="4"/>
      <c r="H346" s="7">
        <f t="shared" si="31"/>
        <v>0</v>
      </c>
      <c r="I346" s="7">
        <v>703.23</v>
      </c>
      <c r="J346" s="7"/>
      <c r="K346" s="7"/>
      <c r="L346" s="7"/>
      <c r="M346" s="7">
        <f t="shared" si="30"/>
        <v>703.23</v>
      </c>
      <c r="N346" s="5"/>
    </row>
    <row r="347" spans="1:14" ht="9.75">
      <c r="A347" s="106"/>
      <c r="B347" s="26" t="s">
        <v>177</v>
      </c>
      <c r="C347" s="26"/>
      <c r="D347" s="6">
        <f>SUM(D345:D346)</f>
        <v>184000</v>
      </c>
      <c r="E347" s="6">
        <f>SUM(E345:E346)</f>
        <v>0</v>
      </c>
      <c r="F347" s="6">
        <f>SUM(F345:F346)</f>
        <v>0</v>
      </c>
      <c r="G347" s="6">
        <f>SUM(G345:G346)</f>
        <v>0</v>
      </c>
      <c r="H347" s="6">
        <f t="shared" si="31"/>
        <v>184000</v>
      </c>
      <c r="I347" s="6">
        <f>SUM(I345:I346)</f>
        <v>90681.83</v>
      </c>
      <c r="J347" s="6">
        <f>SUM(J345:J346)</f>
        <v>0</v>
      </c>
      <c r="K347" s="6">
        <f>SUM(K345:K346)</f>
        <v>0</v>
      </c>
      <c r="L347" s="6">
        <f>SUM(L345:L346)</f>
        <v>0</v>
      </c>
      <c r="M347" s="6">
        <f t="shared" si="30"/>
        <v>90681.83</v>
      </c>
      <c r="N347" s="25">
        <f t="shared" si="32"/>
        <v>0.4928360326086957</v>
      </c>
    </row>
    <row r="348" spans="1:14" s="10" customFormat="1" ht="38.25" customHeight="1">
      <c r="A348" s="106"/>
      <c r="B348" s="102" t="s">
        <v>222</v>
      </c>
      <c r="C348" s="16" t="s">
        <v>240</v>
      </c>
      <c r="D348" s="70">
        <v>103324</v>
      </c>
      <c r="E348" s="13"/>
      <c r="F348" s="13"/>
      <c r="G348" s="13"/>
      <c r="H348" s="7">
        <f t="shared" si="31"/>
        <v>103324</v>
      </c>
      <c r="I348" s="70">
        <v>42364.09</v>
      </c>
      <c r="J348" s="13"/>
      <c r="K348" s="13"/>
      <c r="L348" s="13"/>
      <c r="M348" s="7">
        <f t="shared" si="30"/>
        <v>42364.09</v>
      </c>
      <c r="N348" s="5">
        <f t="shared" si="32"/>
        <v>0.41001209786690407</v>
      </c>
    </row>
    <row r="349" spans="1:14" ht="38.25" customHeight="1">
      <c r="A349" s="106"/>
      <c r="B349" s="104"/>
      <c r="C349" s="16" t="s">
        <v>212</v>
      </c>
      <c r="D349" s="71"/>
      <c r="E349" s="4"/>
      <c r="F349" s="4"/>
      <c r="G349" s="4"/>
      <c r="H349" s="7">
        <f t="shared" si="31"/>
        <v>0</v>
      </c>
      <c r="I349" s="7">
        <v>147.97</v>
      </c>
      <c r="J349" s="9"/>
      <c r="K349" s="9"/>
      <c r="L349" s="9"/>
      <c r="M349" s="7">
        <f t="shared" si="30"/>
        <v>147.97</v>
      </c>
      <c r="N349" s="5"/>
    </row>
    <row r="350" spans="1:14" ht="9.75">
      <c r="A350" s="106"/>
      <c r="B350" s="34" t="s">
        <v>222</v>
      </c>
      <c r="C350" s="26"/>
      <c r="D350" s="6">
        <f>SUM(D348:D349)</f>
        <v>103324</v>
      </c>
      <c r="E350" s="6">
        <f>SUM(E348:E349)</f>
        <v>0</v>
      </c>
      <c r="F350" s="6">
        <f>SUM(F348:F349)</f>
        <v>0</v>
      </c>
      <c r="G350" s="6">
        <f>SUM(G348:G349)</f>
        <v>0</v>
      </c>
      <c r="H350" s="6">
        <f t="shared" si="31"/>
        <v>103324</v>
      </c>
      <c r="I350" s="6">
        <f>SUM(I348:I349)</f>
        <v>42512.06</v>
      </c>
      <c r="J350" s="6">
        <f>SUM(J348:J349)</f>
        <v>0</v>
      </c>
      <c r="K350" s="6">
        <f>SUM(K348:K349)</f>
        <v>0</v>
      </c>
      <c r="L350" s="6">
        <f>SUM(L348:L349)</f>
        <v>0</v>
      </c>
      <c r="M350" s="6">
        <f>SUM(I350:L350)</f>
        <v>42512.06</v>
      </c>
      <c r="N350" s="25">
        <f t="shared" si="32"/>
        <v>0.4114441949595447</v>
      </c>
    </row>
    <row r="351" spans="1:14" ht="39" customHeight="1">
      <c r="A351" s="106"/>
      <c r="B351" s="102" t="s">
        <v>178</v>
      </c>
      <c r="C351" s="16" t="s">
        <v>69</v>
      </c>
      <c r="D351" s="4"/>
      <c r="E351" s="4"/>
      <c r="F351" s="4"/>
      <c r="G351" s="4">
        <v>265000</v>
      </c>
      <c r="H351" s="7">
        <f t="shared" si="31"/>
        <v>265000</v>
      </c>
      <c r="I351" s="13"/>
      <c r="J351" s="13"/>
      <c r="K351" s="13"/>
      <c r="L351" s="7">
        <v>139170</v>
      </c>
      <c r="M351" s="7">
        <f aca="true" t="shared" si="33" ref="M351:M384">SUM(I351:L351)</f>
        <v>139170</v>
      </c>
      <c r="N351" s="5">
        <f t="shared" si="32"/>
        <v>0.5251698113207547</v>
      </c>
    </row>
    <row r="352" spans="1:14" ht="27.75" customHeight="1">
      <c r="A352" s="106"/>
      <c r="B352" s="104"/>
      <c r="C352" s="16" t="s">
        <v>83</v>
      </c>
      <c r="D352" s="4"/>
      <c r="E352" s="4">
        <v>45000</v>
      </c>
      <c r="F352" s="4"/>
      <c r="G352" s="4"/>
      <c r="H352" s="7">
        <f t="shared" si="31"/>
        <v>45000</v>
      </c>
      <c r="I352" s="13"/>
      <c r="J352" s="7">
        <v>23010</v>
      </c>
      <c r="K352" s="13"/>
      <c r="L352" s="13"/>
      <c r="M352" s="7">
        <f t="shared" si="33"/>
        <v>23010</v>
      </c>
      <c r="N352" s="5">
        <f t="shared" si="32"/>
        <v>0.5113333333333333</v>
      </c>
    </row>
    <row r="353" spans="1:14" ht="9.75">
      <c r="A353" s="106"/>
      <c r="B353" s="42" t="s">
        <v>179</v>
      </c>
      <c r="C353" s="26"/>
      <c r="D353" s="6">
        <f>SUM(D351:D352)</f>
        <v>0</v>
      </c>
      <c r="E353" s="6">
        <f>SUM(E351:E352)</f>
        <v>45000</v>
      </c>
      <c r="F353" s="6">
        <f>SUM(F351:F352)</f>
        <v>0</v>
      </c>
      <c r="G353" s="6">
        <f>SUM(G351:G352)</f>
        <v>265000</v>
      </c>
      <c r="H353" s="6">
        <f t="shared" si="31"/>
        <v>310000</v>
      </c>
      <c r="I353" s="6">
        <f>SUM(I351:I352)</f>
        <v>0</v>
      </c>
      <c r="J353" s="6">
        <f>SUM(J351:J352)</f>
        <v>23010</v>
      </c>
      <c r="K353" s="6">
        <f>SUM(K351:K352)</f>
        <v>0</v>
      </c>
      <c r="L353" s="6">
        <f>SUM(L351:L352)</f>
        <v>139170</v>
      </c>
      <c r="M353" s="6">
        <f t="shared" si="33"/>
        <v>162180</v>
      </c>
      <c r="N353" s="25">
        <f t="shared" si="32"/>
        <v>0.5231612903225806</v>
      </c>
    </row>
    <row r="354" spans="1:14" s="10" customFormat="1" ht="47.25" customHeight="1">
      <c r="A354" s="106"/>
      <c r="B354" s="102" t="s">
        <v>48</v>
      </c>
      <c r="C354" s="16" t="s">
        <v>104</v>
      </c>
      <c r="D354" s="13"/>
      <c r="E354" s="13"/>
      <c r="F354" s="13"/>
      <c r="G354" s="13"/>
      <c r="H354" s="7">
        <f t="shared" si="31"/>
        <v>0</v>
      </c>
      <c r="I354" s="13"/>
      <c r="J354" s="7">
        <v>900</v>
      </c>
      <c r="K354" s="13"/>
      <c r="L354" s="13"/>
      <c r="M354" s="7">
        <f t="shared" si="33"/>
        <v>900</v>
      </c>
      <c r="N354" s="5"/>
    </row>
    <row r="355" spans="1:14" s="10" customFormat="1" ht="10.5" customHeight="1">
      <c r="A355" s="106"/>
      <c r="B355" s="103"/>
      <c r="C355" s="16" t="s">
        <v>72</v>
      </c>
      <c r="D355" s="13"/>
      <c r="E355" s="13"/>
      <c r="F355" s="13"/>
      <c r="G355" s="13"/>
      <c r="H355" s="7">
        <f t="shared" si="31"/>
        <v>0</v>
      </c>
      <c r="I355" s="13"/>
      <c r="J355" s="7">
        <v>3073.65</v>
      </c>
      <c r="K355" s="13"/>
      <c r="L355" s="13"/>
      <c r="M355" s="7">
        <f t="shared" si="33"/>
        <v>3073.65</v>
      </c>
      <c r="N355" s="5"/>
    </row>
    <row r="356" spans="1:14" ht="28.5" customHeight="1">
      <c r="A356" s="106"/>
      <c r="B356" s="103"/>
      <c r="C356" s="16" t="s">
        <v>83</v>
      </c>
      <c r="D356" s="4"/>
      <c r="E356" s="4">
        <f>150000+97000</f>
        <v>247000</v>
      </c>
      <c r="F356" s="4"/>
      <c r="G356" s="4"/>
      <c r="H356" s="7">
        <f t="shared" si="31"/>
        <v>247000</v>
      </c>
      <c r="I356" s="9"/>
      <c r="J356" s="7">
        <v>123467.88</v>
      </c>
      <c r="K356" s="9"/>
      <c r="L356" s="9"/>
      <c r="M356" s="7">
        <f t="shared" si="33"/>
        <v>123467.88</v>
      </c>
      <c r="N356" s="5">
        <f t="shared" si="32"/>
        <v>0.49986995951417007</v>
      </c>
    </row>
    <row r="357" spans="1:14" ht="48.75" customHeight="1">
      <c r="A357" s="106"/>
      <c r="B357" s="103"/>
      <c r="C357" s="16" t="s">
        <v>291</v>
      </c>
      <c r="D357" s="4"/>
      <c r="E357" s="4">
        <v>202900</v>
      </c>
      <c r="F357" s="4"/>
      <c r="G357" s="4"/>
      <c r="H357" s="7">
        <f t="shared" si="31"/>
        <v>202900</v>
      </c>
      <c r="I357" s="9"/>
      <c r="J357" s="7">
        <v>101400</v>
      </c>
      <c r="K357" s="9"/>
      <c r="L357" s="9"/>
      <c r="M357" s="7">
        <f t="shared" si="33"/>
        <v>101400</v>
      </c>
      <c r="N357" s="5">
        <f t="shared" si="32"/>
        <v>0.49975357318876296</v>
      </c>
    </row>
    <row r="358" spans="1:14" ht="39" customHeight="1">
      <c r="A358" s="106"/>
      <c r="B358" s="97"/>
      <c r="C358" s="16" t="s">
        <v>240</v>
      </c>
      <c r="D358" s="4"/>
      <c r="E358" s="4"/>
      <c r="F358" s="4"/>
      <c r="G358" s="4"/>
      <c r="H358" s="7">
        <f t="shared" si="31"/>
        <v>0</v>
      </c>
      <c r="I358" s="9"/>
      <c r="J358" s="7">
        <v>800</v>
      </c>
      <c r="K358" s="9"/>
      <c r="L358" s="9"/>
      <c r="M358" s="7">
        <f t="shared" si="33"/>
        <v>800</v>
      </c>
      <c r="N358" s="5"/>
    </row>
    <row r="359" spans="1:14" ht="9.75">
      <c r="A359" s="106"/>
      <c r="B359" s="42" t="s">
        <v>180</v>
      </c>
      <c r="C359" s="26"/>
      <c r="D359" s="6">
        <f>SUM(D354:D358)</f>
        <v>0</v>
      </c>
      <c r="E359" s="6">
        <f>SUM(E354:E358)</f>
        <v>449900</v>
      </c>
      <c r="F359" s="6">
        <f>SUM(F354:F358)</f>
        <v>0</v>
      </c>
      <c r="G359" s="6">
        <f>SUM(G354:G358)</f>
        <v>0</v>
      </c>
      <c r="H359" s="6">
        <f t="shared" si="31"/>
        <v>449900</v>
      </c>
      <c r="I359" s="6">
        <f>SUM(I354:I358)</f>
        <v>0</v>
      </c>
      <c r="J359" s="6">
        <f>SUM(J354:J358)</f>
        <v>229641.53</v>
      </c>
      <c r="K359" s="6">
        <f>SUM(K354:K358)</f>
        <v>0</v>
      </c>
      <c r="L359" s="6">
        <f>SUM(L354:L358)</f>
        <v>0</v>
      </c>
      <c r="M359" s="6">
        <f t="shared" si="33"/>
        <v>229641.53</v>
      </c>
      <c r="N359" s="25">
        <f t="shared" si="32"/>
        <v>0.5104279395421205</v>
      </c>
    </row>
    <row r="360" spans="1:14" s="10" customFormat="1" ht="9.75" customHeight="1" hidden="1">
      <c r="A360" s="106"/>
      <c r="C360" s="16" t="s">
        <v>72</v>
      </c>
      <c r="D360" s="13"/>
      <c r="E360" s="13"/>
      <c r="F360" s="13"/>
      <c r="G360" s="13"/>
      <c r="H360" s="7">
        <f t="shared" si="31"/>
        <v>0</v>
      </c>
      <c r="I360" s="13"/>
      <c r="J360" s="13"/>
      <c r="K360" s="13"/>
      <c r="L360" s="13"/>
      <c r="M360" s="7">
        <f t="shared" si="33"/>
        <v>0</v>
      </c>
      <c r="N360" s="5" t="e">
        <f t="shared" si="32"/>
        <v>#DIV/0!</v>
      </c>
    </row>
    <row r="361" spans="1:14" s="10" customFormat="1" ht="37.5" customHeight="1">
      <c r="A361" s="106"/>
      <c r="B361" s="96" t="s">
        <v>257</v>
      </c>
      <c r="C361" s="16" t="s">
        <v>240</v>
      </c>
      <c r="D361" s="70">
        <v>138343</v>
      </c>
      <c r="E361" s="13" t="s">
        <v>321</v>
      </c>
      <c r="F361" s="13"/>
      <c r="G361" s="13"/>
      <c r="H361" s="7">
        <f t="shared" si="31"/>
        <v>138343</v>
      </c>
      <c r="I361" s="13"/>
      <c r="J361" s="13"/>
      <c r="K361" s="13"/>
      <c r="L361" s="13"/>
      <c r="M361" s="7">
        <f t="shared" si="33"/>
        <v>0</v>
      </c>
      <c r="N361" s="5">
        <f t="shared" si="32"/>
        <v>0</v>
      </c>
    </row>
    <row r="362" spans="1:14" s="10" customFormat="1" ht="37.5" customHeight="1">
      <c r="A362" s="106"/>
      <c r="B362" s="93"/>
      <c r="C362" s="16" t="s">
        <v>212</v>
      </c>
      <c r="D362" s="13"/>
      <c r="E362" s="13"/>
      <c r="F362" s="13"/>
      <c r="G362" s="13"/>
      <c r="H362" s="7">
        <f t="shared" si="31"/>
        <v>0</v>
      </c>
      <c r="I362" s="13">
        <v>534.77</v>
      </c>
      <c r="J362" s="13"/>
      <c r="K362" s="13"/>
      <c r="L362" s="13"/>
      <c r="M362" s="7">
        <f t="shared" si="33"/>
        <v>534.77</v>
      </c>
      <c r="N362" s="5"/>
    </row>
    <row r="363" spans="1:14" s="10" customFormat="1" ht="9" customHeight="1">
      <c r="A363" s="107"/>
      <c r="B363" s="108" t="s">
        <v>258</v>
      </c>
      <c r="C363" s="109"/>
      <c r="D363" s="6">
        <f>SUM(D360:D362)</f>
        <v>138343</v>
      </c>
      <c r="E363" s="6">
        <f>SUM(E360:E362)</f>
        <v>0</v>
      </c>
      <c r="F363" s="6">
        <f>SUM(F360:F362)</f>
        <v>0</v>
      </c>
      <c r="G363" s="6">
        <f>SUM(G360:G362)</f>
        <v>0</v>
      </c>
      <c r="H363" s="6">
        <f t="shared" si="31"/>
        <v>138343</v>
      </c>
      <c r="I363" s="6">
        <f>SUM(I360:I362)</f>
        <v>534.77</v>
      </c>
      <c r="J363" s="6">
        <f>SUM(J360:J362)</f>
        <v>0</v>
      </c>
      <c r="K363" s="6">
        <f>SUM(K360:K362)</f>
        <v>0</v>
      </c>
      <c r="L363" s="6">
        <f>SUM(L360:L362)</f>
        <v>0</v>
      </c>
      <c r="M363" s="6">
        <f t="shared" si="33"/>
        <v>534.77</v>
      </c>
      <c r="N363" s="25">
        <f t="shared" si="32"/>
        <v>0.0038655371070455318</v>
      </c>
    </row>
    <row r="364" spans="1:14" ht="10.5" customHeight="1">
      <c r="A364" s="84" t="s">
        <v>112</v>
      </c>
      <c r="B364" s="36"/>
      <c r="C364" s="37"/>
      <c r="D364" s="22">
        <f>SUM(D359,D353,D350,D347,D363)</f>
        <v>425667</v>
      </c>
      <c r="E364" s="22">
        <f>SUM(E359,E353,E350,E347,E363)</f>
        <v>494900</v>
      </c>
      <c r="F364" s="22">
        <f>SUM(F359,F353,F350,F347,F363)</f>
        <v>0</v>
      </c>
      <c r="G364" s="22">
        <f>SUM(G359,G353,G350,G347,G363)</f>
        <v>265000</v>
      </c>
      <c r="H364" s="22">
        <f t="shared" si="31"/>
        <v>1185567</v>
      </c>
      <c r="I364" s="22">
        <f>SUM(I359,I353,I350,I347,I363)</f>
        <v>133728.66</v>
      </c>
      <c r="J364" s="22">
        <f>SUM(J359,J353,J350,J347,J363)</f>
        <v>252651.53</v>
      </c>
      <c r="K364" s="22">
        <f>SUM(K359,K353,K350,K347,K363)</f>
        <v>0</v>
      </c>
      <c r="L364" s="22">
        <f>SUM(L359,L353,L350,L347,L363)</f>
        <v>139170</v>
      </c>
      <c r="M364" s="22">
        <f t="shared" si="33"/>
        <v>525550.19</v>
      </c>
      <c r="N364" s="27">
        <f aca="true" t="shared" si="34" ref="N364:N376">M364/H364</f>
        <v>0.4432901641155666</v>
      </c>
    </row>
    <row r="365" spans="1:14" ht="9.75" customHeight="1" hidden="1">
      <c r="A365" s="60" t="s">
        <v>49</v>
      </c>
      <c r="B365" s="110" t="s">
        <v>194</v>
      </c>
      <c r="C365" s="16" t="s">
        <v>76</v>
      </c>
      <c r="D365" s="4"/>
      <c r="E365" s="4"/>
      <c r="F365" s="4"/>
      <c r="G365" s="4"/>
      <c r="H365" s="7">
        <f t="shared" si="31"/>
        <v>0</v>
      </c>
      <c r="I365" s="7"/>
      <c r="J365" s="7"/>
      <c r="K365" s="7"/>
      <c r="L365" s="7"/>
      <c r="M365" s="7">
        <f t="shared" si="33"/>
        <v>0</v>
      </c>
      <c r="N365" s="5" t="e">
        <f t="shared" si="34"/>
        <v>#DIV/0!</v>
      </c>
    </row>
    <row r="366" spans="1:14" ht="9.75" hidden="1">
      <c r="A366" s="61"/>
      <c r="B366" s="111"/>
      <c r="C366" s="16" t="s">
        <v>72</v>
      </c>
      <c r="D366" s="4"/>
      <c r="E366" s="4"/>
      <c r="F366" s="4"/>
      <c r="G366" s="4"/>
      <c r="H366" s="7">
        <f t="shared" si="31"/>
        <v>0</v>
      </c>
      <c r="I366" s="7"/>
      <c r="J366" s="7"/>
      <c r="K366" s="7"/>
      <c r="L366" s="7"/>
      <c r="M366" s="7">
        <f t="shared" si="33"/>
        <v>0</v>
      </c>
      <c r="N366" s="5" t="e">
        <f t="shared" si="34"/>
        <v>#DIV/0!</v>
      </c>
    </row>
    <row r="367" spans="1:14" ht="20.25" customHeight="1" hidden="1">
      <c r="A367" s="61"/>
      <c r="B367" s="111"/>
      <c r="C367" s="16" t="s">
        <v>204</v>
      </c>
      <c r="D367" s="4"/>
      <c r="E367" s="4"/>
      <c r="F367" s="4"/>
      <c r="G367" s="4"/>
      <c r="H367" s="7">
        <f t="shared" si="31"/>
        <v>0</v>
      </c>
      <c r="I367" s="7"/>
      <c r="J367" s="7"/>
      <c r="K367" s="7"/>
      <c r="L367" s="7"/>
      <c r="M367" s="7">
        <f t="shared" si="33"/>
        <v>0</v>
      </c>
      <c r="N367" s="5" t="e">
        <f t="shared" si="34"/>
        <v>#DIV/0!</v>
      </c>
    </row>
    <row r="368" spans="1:14" ht="12" customHeight="1" hidden="1">
      <c r="A368" s="61"/>
      <c r="B368" s="111"/>
      <c r="C368" s="16" t="s">
        <v>74</v>
      </c>
      <c r="D368" s="4"/>
      <c r="E368" s="4"/>
      <c r="F368" s="4"/>
      <c r="G368" s="4"/>
      <c r="H368" s="7">
        <f t="shared" si="31"/>
        <v>0</v>
      </c>
      <c r="I368" s="7"/>
      <c r="J368" s="7"/>
      <c r="K368" s="7"/>
      <c r="L368" s="7"/>
      <c r="M368" s="7">
        <f t="shared" si="33"/>
        <v>0</v>
      </c>
      <c r="N368" s="5" t="e">
        <f t="shared" si="34"/>
        <v>#DIV/0!</v>
      </c>
    </row>
    <row r="369" spans="1:14" ht="20.25" customHeight="1" hidden="1">
      <c r="A369" s="61"/>
      <c r="B369" s="112"/>
      <c r="C369" s="16" t="s">
        <v>200</v>
      </c>
      <c r="D369" s="4"/>
      <c r="E369" s="4"/>
      <c r="F369" s="4"/>
      <c r="G369" s="4"/>
      <c r="H369" s="7">
        <f t="shared" si="31"/>
        <v>0</v>
      </c>
      <c r="I369" s="7"/>
      <c r="J369" s="7"/>
      <c r="K369" s="7"/>
      <c r="L369" s="7"/>
      <c r="M369" s="7">
        <f t="shared" si="33"/>
        <v>0</v>
      </c>
      <c r="N369" s="5" t="e">
        <f t="shared" si="34"/>
        <v>#DIV/0!</v>
      </c>
    </row>
    <row r="370" spans="1:14" ht="9" customHeight="1" hidden="1">
      <c r="A370" s="61"/>
      <c r="B370" s="101" t="s">
        <v>246</v>
      </c>
      <c r="C370" s="116"/>
      <c r="D370" s="6">
        <f>SUM(D365:D369)</f>
        <v>0</v>
      </c>
      <c r="E370" s="6">
        <f>SUM(E365:E369)</f>
        <v>0</v>
      </c>
      <c r="F370" s="6">
        <f>SUM(F365:F369)</f>
        <v>0</v>
      </c>
      <c r="G370" s="6">
        <f>SUM(G365:G369)</f>
        <v>0</v>
      </c>
      <c r="H370" s="6">
        <f t="shared" si="31"/>
        <v>0</v>
      </c>
      <c r="I370" s="6">
        <f>SUM(I365:I369)</f>
        <v>0</v>
      </c>
      <c r="J370" s="6">
        <f>SUM(J365:J369)</f>
        <v>0</v>
      </c>
      <c r="K370" s="6">
        <f>SUM(K365:K369)</f>
        <v>0</v>
      </c>
      <c r="L370" s="6">
        <f>SUM(L365:L369)</f>
        <v>0</v>
      </c>
      <c r="M370" s="6">
        <f t="shared" si="33"/>
        <v>0</v>
      </c>
      <c r="N370" s="25" t="e">
        <f t="shared" si="34"/>
        <v>#DIV/0!</v>
      </c>
    </row>
    <row r="371" spans="1:14" ht="46.5" customHeight="1">
      <c r="A371" s="105" t="s">
        <v>49</v>
      </c>
      <c r="B371" s="110" t="s">
        <v>50</v>
      </c>
      <c r="C371" s="16" t="s">
        <v>104</v>
      </c>
      <c r="D371" s="4"/>
      <c r="E371" s="4"/>
      <c r="F371" s="4"/>
      <c r="G371" s="4"/>
      <c r="H371" s="7">
        <f t="shared" si="31"/>
        <v>0</v>
      </c>
      <c r="I371" s="7"/>
      <c r="J371" s="7">
        <v>11385.08</v>
      </c>
      <c r="K371" s="7"/>
      <c r="L371" s="7"/>
      <c r="M371" s="7">
        <f t="shared" si="33"/>
        <v>11385.08</v>
      </c>
      <c r="N371" s="5"/>
    </row>
    <row r="372" spans="1:14" ht="9.75">
      <c r="A372" s="106"/>
      <c r="B372" s="111"/>
      <c r="C372" s="24" t="s">
        <v>76</v>
      </c>
      <c r="D372" s="4"/>
      <c r="E372" s="4"/>
      <c r="F372" s="4"/>
      <c r="G372" s="4"/>
      <c r="H372" s="7">
        <f t="shared" si="31"/>
        <v>0</v>
      </c>
      <c r="I372" s="7"/>
      <c r="J372" s="7">
        <v>21114.77</v>
      </c>
      <c r="K372" s="7"/>
      <c r="L372" s="7"/>
      <c r="M372" s="7">
        <f t="shared" si="33"/>
        <v>21114.77</v>
      </c>
      <c r="N372" s="5"/>
    </row>
    <row r="373" spans="1:14" ht="9.75">
      <c r="A373" s="106"/>
      <c r="B373" s="111"/>
      <c r="C373" s="16" t="s">
        <v>72</v>
      </c>
      <c r="D373" s="4"/>
      <c r="E373" s="4"/>
      <c r="F373" s="4"/>
      <c r="G373" s="4"/>
      <c r="H373" s="7">
        <f t="shared" si="31"/>
        <v>0</v>
      </c>
      <c r="I373" s="7"/>
      <c r="J373" s="7">
        <v>3257.21</v>
      </c>
      <c r="K373" s="7"/>
      <c r="L373" s="7"/>
      <c r="M373" s="7">
        <f t="shared" si="33"/>
        <v>3257.21</v>
      </c>
      <c r="N373" s="5"/>
    </row>
    <row r="374" spans="1:14" ht="19.5" customHeight="1" hidden="1">
      <c r="A374" s="61"/>
      <c r="B374" s="111"/>
      <c r="C374" s="16" t="s">
        <v>204</v>
      </c>
      <c r="D374" s="4"/>
      <c r="E374" s="4"/>
      <c r="F374" s="4"/>
      <c r="G374" s="4"/>
      <c r="H374" s="7">
        <f t="shared" si="31"/>
        <v>0</v>
      </c>
      <c r="I374" s="7"/>
      <c r="J374" s="7"/>
      <c r="K374" s="7"/>
      <c r="L374" s="7"/>
      <c r="M374" s="7">
        <f t="shared" si="33"/>
        <v>0</v>
      </c>
      <c r="N374" s="5" t="e">
        <f t="shared" si="34"/>
        <v>#DIV/0!</v>
      </c>
    </row>
    <row r="375" spans="1:14" ht="9.75" hidden="1">
      <c r="A375" s="61"/>
      <c r="B375" s="111"/>
      <c r="C375" s="16" t="s">
        <v>74</v>
      </c>
      <c r="D375" s="4"/>
      <c r="E375" s="4"/>
      <c r="F375" s="4"/>
      <c r="G375" s="4"/>
      <c r="H375" s="7">
        <f t="shared" si="31"/>
        <v>0</v>
      </c>
      <c r="I375" s="7"/>
      <c r="J375" s="7"/>
      <c r="K375" s="7"/>
      <c r="L375" s="7"/>
      <c r="M375" s="7">
        <f t="shared" si="33"/>
        <v>0</v>
      </c>
      <c r="N375" s="5" t="e">
        <f t="shared" si="34"/>
        <v>#DIV/0!</v>
      </c>
    </row>
    <row r="376" spans="1:14" ht="21" customHeight="1" hidden="1">
      <c r="A376" s="61"/>
      <c r="B376" s="112"/>
      <c r="C376" s="16" t="s">
        <v>200</v>
      </c>
      <c r="D376" s="4"/>
      <c r="E376" s="4"/>
      <c r="F376" s="4"/>
      <c r="G376" s="4"/>
      <c r="H376" s="7">
        <f t="shared" si="31"/>
        <v>0</v>
      </c>
      <c r="I376" s="7"/>
      <c r="J376" s="7"/>
      <c r="K376" s="7"/>
      <c r="L376" s="7"/>
      <c r="M376" s="7">
        <f t="shared" si="33"/>
        <v>0</v>
      </c>
      <c r="N376" s="5" t="e">
        <f t="shared" si="34"/>
        <v>#DIV/0!</v>
      </c>
    </row>
    <row r="377" spans="1:14" ht="9.75">
      <c r="A377" s="61"/>
      <c r="B377" s="42" t="s">
        <v>181</v>
      </c>
      <c r="C377" s="26"/>
      <c r="D377" s="6">
        <f>SUM(D371:D376)</f>
        <v>0</v>
      </c>
      <c r="E377" s="6">
        <f>SUM(E371:E376)</f>
        <v>0</v>
      </c>
      <c r="F377" s="6">
        <f>SUM(F371:F376)</f>
        <v>0</v>
      </c>
      <c r="G377" s="6">
        <f>SUM(G371:G376)</f>
        <v>0</v>
      </c>
      <c r="H377" s="6">
        <f t="shared" si="31"/>
        <v>0</v>
      </c>
      <c r="I377" s="6">
        <f>SUM(I371:I376)</f>
        <v>0</v>
      </c>
      <c r="J377" s="6">
        <f>SUM(J371:J376)</f>
        <v>35757.06</v>
      </c>
      <c r="K377" s="6">
        <f>SUM(K371:K376)</f>
        <v>0</v>
      </c>
      <c r="L377" s="6">
        <f>SUM(L371:L376)</f>
        <v>0</v>
      </c>
      <c r="M377" s="6">
        <f t="shared" si="33"/>
        <v>35757.06</v>
      </c>
      <c r="N377" s="25"/>
    </row>
    <row r="378" spans="1:14" ht="24.75" customHeight="1" hidden="1">
      <c r="A378" s="61"/>
      <c r="B378" s="19" t="s">
        <v>195</v>
      </c>
      <c r="C378" s="16" t="s">
        <v>76</v>
      </c>
      <c r="D378" s="4"/>
      <c r="E378" s="4">
        <f>14-14</f>
        <v>0</v>
      </c>
      <c r="F378" s="4"/>
      <c r="G378" s="4"/>
      <c r="H378" s="7">
        <f t="shared" si="31"/>
        <v>0</v>
      </c>
      <c r="I378" s="7"/>
      <c r="J378" s="7"/>
      <c r="K378" s="7"/>
      <c r="L378" s="7"/>
      <c r="M378" s="7">
        <f t="shared" si="33"/>
        <v>0</v>
      </c>
      <c r="N378" s="5"/>
    </row>
    <row r="379" spans="1:14" ht="15" customHeight="1">
      <c r="A379" s="61"/>
      <c r="B379" s="102" t="s">
        <v>195</v>
      </c>
      <c r="C379" s="16" t="s">
        <v>72</v>
      </c>
      <c r="D379" s="4"/>
      <c r="E379" s="4"/>
      <c r="F379" s="4"/>
      <c r="G379" s="4"/>
      <c r="H379" s="7">
        <f t="shared" si="31"/>
        <v>0</v>
      </c>
      <c r="I379" s="7"/>
      <c r="J379" s="7">
        <v>1660.99</v>
      </c>
      <c r="K379" s="7"/>
      <c r="L379" s="7"/>
      <c r="M379" s="7">
        <f t="shared" si="33"/>
        <v>1660.99</v>
      </c>
      <c r="N379" s="5"/>
    </row>
    <row r="380" spans="1:14" ht="32.25" customHeight="1">
      <c r="A380" s="61"/>
      <c r="B380" s="104"/>
      <c r="C380" s="16" t="s">
        <v>74</v>
      </c>
      <c r="D380" s="4"/>
      <c r="E380" s="4"/>
      <c r="F380" s="4"/>
      <c r="G380" s="4"/>
      <c r="H380" s="7">
        <f t="shared" si="31"/>
        <v>0</v>
      </c>
      <c r="I380" s="7"/>
      <c r="J380" s="7">
        <v>89.5</v>
      </c>
      <c r="K380" s="7"/>
      <c r="L380" s="7"/>
      <c r="M380" s="7">
        <f t="shared" si="33"/>
        <v>89.5</v>
      </c>
      <c r="N380" s="5"/>
    </row>
    <row r="381" spans="1:14" ht="9.75">
      <c r="A381" s="61"/>
      <c r="B381" s="42" t="s">
        <v>196</v>
      </c>
      <c r="C381" s="26"/>
      <c r="D381" s="6">
        <f>SUM(D378:D380)</f>
        <v>0</v>
      </c>
      <c r="E381" s="6">
        <f>SUM(E378:E380)</f>
        <v>0</v>
      </c>
      <c r="F381" s="6">
        <f>SUM(F378:F380)</f>
        <v>0</v>
      </c>
      <c r="G381" s="6">
        <f>SUM(G378:G380)</f>
        <v>0</v>
      </c>
      <c r="H381" s="6">
        <f t="shared" si="31"/>
        <v>0</v>
      </c>
      <c r="I381" s="6">
        <f>SUM(I378:I379)</f>
        <v>0</v>
      </c>
      <c r="J381" s="6">
        <f>SUM(J378:J380)</f>
        <v>1750.49</v>
      </c>
      <c r="K381" s="6">
        <f>SUM(K378:K380)</f>
        <v>0</v>
      </c>
      <c r="L381" s="6">
        <f>SUM(L378:L380)</f>
        <v>0</v>
      </c>
      <c r="M381" s="6">
        <f t="shared" si="33"/>
        <v>1750.49</v>
      </c>
      <c r="N381" s="25"/>
    </row>
    <row r="382" spans="1:14" s="10" customFormat="1" ht="9.75" customHeight="1">
      <c r="A382" s="61"/>
      <c r="B382" s="102" t="s">
        <v>51</v>
      </c>
      <c r="C382" s="69" t="s">
        <v>71</v>
      </c>
      <c r="D382" s="13"/>
      <c r="E382" s="13"/>
      <c r="F382" s="13"/>
      <c r="G382" s="13"/>
      <c r="H382" s="7">
        <f t="shared" si="31"/>
        <v>0</v>
      </c>
      <c r="I382" s="13"/>
      <c r="J382" s="70">
        <v>5054</v>
      </c>
      <c r="K382" s="13"/>
      <c r="L382" s="13"/>
      <c r="M382" s="7">
        <f t="shared" si="33"/>
        <v>5054</v>
      </c>
      <c r="N382" s="5"/>
    </row>
    <row r="383" spans="1:14" ht="39" customHeight="1" hidden="1">
      <c r="A383" s="61"/>
      <c r="B383" s="103"/>
      <c r="C383" s="16" t="s">
        <v>104</v>
      </c>
      <c r="D383" s="4"/>
      <c r="E383" s="4"/>
      <c r="F383" s="4"/>
      <c r="G383" s="4"/>
      <c r="H383" s="7">
        <f t="shared" si="31"/>
        <v>0</v>
      </c>
      <c r="I383" s="7"/>
      <c r="J383" s="7"/>
      <c r="K383" s="7"/>
      <c r="L383" s="7"/>
      <c r="M383" s="7">
        <f t="shared" si="33"/>
        <v>0</v>
      </c>
      <c r="N383" s="5" t="e">
        <f>M383/H383</f>
        <v>#DIV/0!</v>
      </c>
    </row>
    <row r="384" spans="1:14" ht="9" customHeight="1" hidden="1">
      <c r="A384" s="61"/>
      <c r="B384" s="103"/>
      <c r="C384" s="16" t="s">
        <v>76</v>
      </c>
      <c r="D384" s="4"/>
      <c r="E384" s="4">
        <f>360-360</f>
        <v>0</v>
      </c>
      <c r="F384" s="4"/>
      <c r="G384" s="4"/>
      <c r="H384" s="7">
        <f t="shared" si="31"/>
        <v>0</v>
      </c>
      <c r="I384" s="7"/>
      <c r="J384" s="7"/>
      <c r="K384" s="7"/>
      <c r="L384" s="7"/>
      <c r="M384" s="7">
        <f t="shared" si="33"/>
        <v>0</v>
      </c>
      <c r="N384" s="5" t="e">
        <f>M384/H384</f>
        <v>#DIV/0!</v>
      </c>
    </row>
    <row r="385" spans="1:14" ht="9" customHeight="1">
      <c r="A385" s="61"/>
      <c r="B385" s="103"/>
      <c r="C385" s="16" t="s">
        <v>72</v>
      </c>
      <c r="D385" s="4"/>
      <c r="E385" s="4"/>
      <c r="F385" s="4"/>
      <c r="G385" s="4"/>
      <c r="H385" s="7">
        <f t="shared" si="31"/>
        <v>0</v>
      </c>
      <c r="I385" s="7"/>
      <c r="J385" s="7">
        <v>470.67</v>
      </c>
      <c r="K385" s="7"/>
      <c r="L385" s="7"/>
      <c r="M385" s="7">
        <f aca="true" t="shared" si="35" ref="M385:M416">SUM(I385:L385)</f>
        <v>470.67</v>
      </c>
      <c r="N385" s="5"/>
    </row>
    <row r="386" spans="1:14" ht="10.5" customHeight="1">
      <c r="A386" s="61"/>
      <c r="B386" s="104"/>
      <c r="C386" s="16" t="s">
        <v>74</v>
      </c>
      <c r="D386" s="4"/>
      <c r="E386" s="4"/>
      <c r="F386" s="4"/>
      <c r="G386" s="4"/>
      <c r="H386" s="7">
        <f t="shared" si="31"/>
        <v>0</v>
      </c>
      <c r="I386" s="7"/>
      <c r="J386" s="7">
        <v>5794.58</v>
      </c>
      <c r="K386" s="7"/>
      <c r="L386" s="7"/>
      <c r="M386" s="7">
        <f t="shared" si="35"/>
        <v>5794.58</v>
      </c>
      <c r="N386" s="5"/>
    </row>
    <row r="387" spans="1:14" ht="10.5" customHeight="1">
      <c r="A387" s="61"/>
      <c r="B387" s="42" t="s">
        <v>182</v>
      </c>
      <c r="C387" s="26"/>
      <c r="D387" s="6">
        <f>SUM(D382:D386)</f>
        <v>0</v>
      </c>
      <c r="E387" s="6">
        <f>SUM(E382:E386)</f>
        <v>0</v>
      </c>
      <c r="F387" s="6">
        <f>SUM(F382:F386)</f>
        <v>0</v>
      </c>
      <c r="G387" s="6">
        <f>SUM(G382:G386)</f>
        <v>0</v>
      </c>
      <c r="H387" s="6">
        <f t="shared" si="31"/>
        <v>0</v>
      </c>
      <c r="I387" s="6">
        <f>SUM(I382:I386)</f>
        <v>0</v>
      </c>
      <c r="J387" s="6">
        <f>SUM(J382:J386)</f>
        <v>11319.25</v>
      </c>
      <c r="K387" s="6">
        <f>SUM(K382:K386)</f>
        <v>0</v>
      </c>
      <c r="L387" s="6">
        <f>SUM(L382:L386)</f>
        <v>0</v>
      </c>
      <c r="M387" s="6">
        <f t="shared" si="35"/>
        <v>11319.25</v>
      </c>
      <c r="N387" s="25"/>
    </row>
    <row r="388" spans="1:14" ht="47.25" customHeight="1">
      <c r="A388" s="106"/>
      <c r="B388" s="102" t="s">
        <v>52</v>
      </c>
      <c r="C388" s="24" t="s">
        <v>104</v>
      </c>
      <c r="D388" s="7"/>
      <c r="E388" s="4"/>
      <c r="F388" s="4"/>
      <c r="G388" s="4"/>
      <c r="H388" s="7">
        <f t="shared" si="31"/>
        <v>0</v>
      </c>
      <c r="I388" s="7"/>
      <c r="J388" s="7">
        <v>11824.01</v>
      </c>
      <c r="K388" s="7"/>
      <c r="L388" s="7"/>
      <c r="M388" s="7">
        <f t="shared" si="35"/>
        <v>11824.01</v>
      </c>
      <c r="N388" s="5"/>
    </row>
    <row r="389" spans="1:14" ht="12.75" customHeight="1" hidden="1">
      <c r="A389" s="106"/>
      <c r="B389" s="103"/>
      <c r="C389" s="16" t="s">
        <v>76</v>
      </c>
      <c r="D389" s="4"/>
      <c r="E389" s="4"/>
      <c r="F389" s="4"/>
      <c r="G389" s="4"/>
      <c r="H389" s="7">
        <f aca="true" t="shared" si="36" ref="H389:H437">SUM(D389:G389)</f>
        <v>0</v>
      </c>
      <c r="I389" s="7"/>
      <c r="J389" s="7"/>
      <c r="K389" s="7"/>
      <c r="L389" s="7"/>
      <c r="M389" s="7">
        <f t="shared" si="35"/>
        <v>0</v>
      </c>
      <c r="N389" s="5" t="e">
        <f>M389/H389</f>
        <v>#DIV/0!</v>
      </c>
    </row>
    <row r="390" spans="1:14" ht="20.25" customHeight="1" hidden="1">
      <c r="A390" s="106"/>
      <c r="B390" s="103"/>
      <c r="C390" s="16" t="s">
        <v>161</v>
      </c>
      <c r="D390" s="4"/>
      <c r="E390" s="4"/>
      <c r="F390" s="4"/>
      <c r="G390" s="4"/>
      <c r="H390" s="7">
        <f t="shared" si="36"/>
        <v>0</v>
      </c>
      <c r="I390" s="7"/>
      <c r="J390" s="7"/>
      <c r="K390" s="7"/>
      <c r="L390" s="7"/>
      <c r="M390" s="7">
        <f t="shared" si="35"/>
        <v>0</v>
      </c>
      <c r="N390" s="5" t="e">
        <f>M390/H390</f>
        <v>#DIV/0!</v>
      </c>
    </row>
    <row r="391" spans="1:14" ht="10.5" customHeight="1">
      <c r="A391" s="106"/>
      <c r="B391" s="103"/>
      <c r="C391" s="16" t="s">
        <v>72</v>
      </c>
      <c r="D391" s="4"/>
      <c r="E391" s="4"/>
      <c r="F391" s="4"/>
      <c r="G391" s="4"/>
      <c r="H391" s="7">
        <f t="shared" si="36"/>
        <v>0</v>
      </c>
      <c r="I391" s="7"/>
      <c r="J391" s="7">
        <v>801.75</v>
      </c>
      <c r="K391" s="7"/>
      <c r="L391" s="7"/>
      <c r="M391" s="7">
        <f t="shared" si="35"/>
        <v>801.75</v>
      </c>
      <c r="N391" s="5"/>
    </row>
    <row r="392" spans="1:14" ht="19.5" customHeight="1" hidden="1">
      <c r="A392" s="106"/>
      <c r="B392" s="103"/>
      <c r="C392" s="16" t="s">
        <v>204</v>
      </c>
      <c r="D392" s="4"/>
      <c r="E392" s="4"/>
      <c r="F392" s="4"/>
      <c r="G392" s="4"/>
      <c r="H392" s="7">
        <f t="shared" si="36"/>
        <v>0</v>
      </c>
      <c r="I392" s="7"/>
      <c r="J392" s="7"/>
      <c r="K392" s="7"/>
      <c r="L392" s="7"/>
      <c r="M392" s="7">
        <f t="shared" si="35"/>
        <v>0</v>
      </c>
      <c r="N392" s="5" t="e">
        <f>M392/H392</f>
        <v>#DIV/0!</v>
      </c>
    </row>
    <row r="393" spans="1:14" ht="9.75" customHeight="1">
      <c r="A393" s="106"/>
      <c r="B393" s="103"/>
      <c r="C393" s="16" t="s">
        <v>74</v>
      </c>
      <c r="D393" s="4"/>
      <c r="E393" s="4"/>
      <c r="F393" s="4"/>
      <c r="G393" s="4"/>
      <c r="H393" s="7">
        <f t="shared" si="36"/>
        <v>0</v>
      </c>
      <c r="I393" s="7"/>
      <c r="J393" s="7">
        <v>61.96</v>
      </c>
      <c r="K393" s="7"/>
      <c r="L393" s="7"/>
      <c r="M393" s="7">
        <f t="shared" si="35"/>
        <v>61.96</v>
      </c>
      <c r="N393" s="5"/>
    </row>
    <row r="394" spans="1:14" ht="19.5" hidden="1">
      <c r="A394" s="106"/>
      <c r="B394" s="103"/>
      <c r="C394" s="16" t="s">
        <v>200</v>
      </c>
      <c r="D394" s="4"/>
      <c r="E394" s="4"/>
      <c r="F394" s="4"/>
      <c r="G394" s="4"/>
      <c r="H394" s="7">
        <f t="shared" si="36"/>
        <v>0</v>
      </c>
      <c r="I394" s="7"/>
      <c r="J394" s="7"/>
      <c r="K394" s="7"/>
      <c r="L394" s="7"/>
      <c r="M394" s="7">
        <f t="shared" si="35"/>
        <v>0</v>
      </c>
      <c r="N394" s="5"/>
    </row>
    <row r="395" spans="1:14" ht="29.25" hidden="1">
      <c r="A395" s="106"/>
      <c r="B395" s="104"/>
      <c r="C395" s="19" t="s">
        <v>288</v>
      </c>
      <c r="D395" s="4"/>
      <c r="E395" s="4"/>
      <c r="F395" s="4"/>
      <c r="G395" s="4"/>
      <c r="H395" s="7">
        <f t="shared" si="36"/>
        <v>0</v>
      </c>
      <c r="I395" s="7"/>
      <c r="J395" s="7"/>
      <c r="K395" s="7"/>
      <c r="L395" s="7"/>
      <c r="M395" s="7">
        <f t="shared" si="35"/>
        <v>0</v>
      </c>
      <c r="N395" s="5"/>
    </row>
    <row r="396" spans="1:14" ht="10.5" customHeight="1">
      <c r="A396" s="106"/>
      <c r="B396" s="45" t="s">
        <v>183</v>
      </c>
      <c r="C396" s="31"/>
      <c r="D396" s="6">
        <f>SUM(D388:D395)</f>
        <v>0</v>
      </c>
      <c r="E396" s="6">
        <f>SUM(E388:E395)</f>
        <v>0</v>
      </c>
      <c r="F396" s="6">
        <f>SUM(F388:F395)</f>
        <v>0</v>
      </c>
      <c r="G396" s="6">
        <f>SUM(G388:G395)</f>
        <v>0</v>
      </c>
      <c r="H396" s="6">
        <f t="shared" si="36"/>
        <v>0</v>
      </c>
      <c r="I396" s="6">
        <f>SUM(I388:I395)</f>
        <v>0</v>
      </c>
      <c r="J396" s="6">
        <f>SUM(J388:J395)</f>
        <v>12687.72</v>
      </c>
      <c r="K396" s="6">
        <f>SUM(K388:K395)</f>
        <v>0</v>
      </c>
      <c r="L396" s="6">
        <f>SUM(L388:L395)</f>
        <v>0</v>
      </c>
      <c r="M396" s="6">
        <f t="shared" si="35"/>
        <v>12687.72</v>
      </c>
      <c r="N396" s="25"/>
    </row>
    <row r="397" spans="1:14" ht="9.75" hidden="1">
      <c r="A397" s="63"/>
      <c r="B397" s="102" t="s">
        <v>197</v>
      </c>
      <c r="C397" s="16" t="s">
        <v>76</v>
      </c>
      <c r="D397" s="7"/>
      <c r="E397" s="4"/>
      <c r="F397" s="4"/>
      <c r="G397" s="4"/>
      <c r="H397" s="7">
        <f t="shared" si="36"/>
        <v>0</v>
      </c>
      <c r="I397" s="7"/>
      <c r="J397" s="7"/>
      <c r="K397" s="7"/>
      <c r="L397" s="7"/>
      <c r="M397" s="7">
        <f t="shared" si="35"/>
        <v>0</v>
      </c>
      <c r="N397" s="5" t="e">
        <f aca="true" t="shared" si="37" ref="N397:N412">M397/H397</f>
        <v>#DIV/0!</v>
      </c>
    </row>
    <row r="398" spans="1:14" ht="9.75" hidden="1">
      <c r="A398" s="63"/>
      <c r="B398" s="103"/>
      <c r="C398" s="16" t="s">
        <v>72</v>
      </c>
      <c r="D398" s="7"/>
      <c r="E398" s="4"/>
      <c r="F398" s="4"/>
      <c r="G398" s="4"/>
      <c r="H398" s="7">
        <f t="shared" si="36"/>
        <v>0</v>
      </c>
      <c r="I398" s="7"/>
      <c r="J398" s="7"/>
      <c r="K398" s="7"/>
      <c r="L398" s="7"/>
      <c r="M398" s="7">
        <f t="shared" si="35"/>
        <v>0</v>
      </c>
      <c r="N398" s="5" t="e">
        <f t="shared" si="37"/>
        <v>#DIV/0!</v>
      </c>
    </row>
    <row r="399" spans="1:14" ht="19.5" customHeight="1" hidden="1">
      <c r="A399" s="63"/>
      <c r="B399" s="103"/>
      <c r="C399" s="16" t="s">
        <v>204</v>
      </c>
      <c r="D399" s="7"/>
      <c r="E399" s="4"/>
      <c r="F399" s="4"/>
      <c r="G399" s="4"/>
      <c r="H399" s="7">
        <f t="shared" si="36"/>
        <v>0</v>
      </c>
      <c r="I399" s="7"/>
      <c r="J399" s="7"/>
      <c r="K399" s="7"/>
      <c r="L399" s="7"/>
      <c r="M399" s="7">
        <f t="shared" si="35"/>
        <v>0</v>
      </c>
      <c r="N399" s="5" t="e">
        <f t="shared" si="37"/>
        <v>#DIV/0!</v>
      </c>
    </row>
    <row r="400" spans="1:14" ht="21" customHeight="1" hidden="1">
      <c r="A400" s="63"/>
      <c r="B400" s="103"/>
      <c r="C400" s="16" t="s">
        <v>200</v>
      </c>
      <c r="D400" s="7"/>
      <c r="E400" s="4"/>
      <c r="F400" s="4"/>
      <c r="G400" s="4"/>
      <c r="H400" s="7">
        <f t="shared" si="36"/>
        <v>0</v>
      </c>
      <c r="I400" s="7"/>
      <c r="J400" s="7"/>
      <c r="K400" s="7"/>
      <c r="L400" s="7"/>
      <c r="M400" s="7">
        <f t="shared" si="35"/>
        <v>0</v>
      </c>
      <c r="N400" s="5" t="e">
        <f t="shared" si="37"/>
        <v>#DIV/0!</v>
      </c>
    </row>
    <row r="401" spans="1:14" ht="40.5" customHeight="1" hidden="1">
      <c r="A401" s="63"/>
      <c r="B401" s="104"/>
      <c r="C401" s="16" t="s">
        <v>212</v>
      </c>
      <c r="D401" s="7"/>
      <c r="E401" s="4"/>
      <c r="F401" s="4"/>
      <c r="G401" s="4"/>
      <c r="H401" s="7">
        <f t="shared" si="36"/>
        <v>0</v>
      </c>
      <c r="I401" s="7"/>
      <c r="J401" s="7"/>
      <c r="K401" s="7"/>
      <c r="L401" s="7"/>
      <c r="M401" s="7">
        <f t="shared" si="35"/>
        <v>0</v>
      </c>
      <c r="N401" s="5" t="e">
        <f t="shared" si="37"/>
        <v>#DIV/0!</v>
      </c>
    </row>
    <row r="402" spans="1:14" ht="9.75" hidden="1">
      <c r="A402" s="61"/>
      <c r="B402" s="45" t="s">
        <v>197</v>
      </c>
      <c r="C402" s="31"/>
      <c r="D402" s="6">
        <f>SUM(D397:D401)</f>
        <v>0</v>
      </c>
      <c r="E402" s="6">
        <f>SUM(E397:E401)</f>
        <v>0</v>
      </c>
      <c r="F402" s="6">
        <f>SUM(F397:F401)</f>
        <v>0</v>
      </c>
      <c r="G402" s="6">
        <f>SUM(G397:G401)</f>
        <v>0</v>
      </c>
      <c r="H402" s="6">
        <f t="shared" si="36"/>
        <v>0</v>
      </c>
      <c r="I402" s="6">
        <f>SUM(I397:I401)</f>
        <v>0</v>
      </c>
      <c r="J402" s="6">
        <f>SUM(J397:J400)</f>
        <v>0</v>
      </c>
      <c r="K402" s="6">
        <f>SUM(K397:K400)</f>
        <v>0</v>
      </c>
      <c r="L402" s="6">
        <f>SUM(L397:L400)</f>
        <v>0</v>
      </c>
      <c r="M402" s="6">
        <f t="shared" si="35"/>
        <v>0</v>
      </c>
      <c r="N402" s="25" t="e">
        <f t="shared" si="37"/>
        <v>#DIV/0!</v>
      </c>
    </row>
    <row r="403" spans="1:14" s="10" customFormat="1" ht="11.25" customHeight="1" hidden="1">
      <c r="A403" s="85"/>
      <c r="B403" s="19" t="s">
        <v>223</v>
      </c>
      <c r="C403" s="16" t="s">
        <v>74</v>
      </c>
      <c r="D403" s="13"/>
      <c r="E403" s="13"/>
      <c r="F403" s="13"/>
      <c r="G403" s="13"/>
      <c r="H403" s="7">
        <f t="shared" si="36"/>
        <v>0</v>
      </c>
      <c r="I403" s="13"/>
      <c r="J403" s="7"/>
      <c r="K403" s="13"/>
      <c r="L403" s="13"/>
      <c r="M403" s="7">
        <f t="shared" si="35"/>
        <v>0</v>
      </c>
      <c r="N403" s="5" t="e">
        <f t="shared" si="37"/>
        <v>#DIV/0!</v>
      </c>
    </row>
    <row r="404" spans="1:14" s="10" customFormat="1" ht="11.25" customHeight="1" hidden="1">
      <c r="A404" s="85"/>
      <c r="B404" s="24"/>
      <c r="C404" s="16" t="s">
        <v>259</v>
      </c>
      <c r="D404" s="13"/>
      <c r="E404" s="13"/>
      <c r="F404" s="13"/>
      <c r="G404" s="13"/>
      <c r="H404" s="7">
        <f t="shared" si="36"/>
        <v>0</v>
      </c>
      <c r="I404" s="13"/>
      <c r="J404" s="7"/>
      <c r="K404" s="13"/>
      <c r="L404" s="13"/>
      <c r="M404" s="7">
        <f t="shared" si="35"/>
        <v>0</v>
      </c>
      <c r="N404" s="5" t="e">
        <f t="shared" si="37"/>
        <v>#DIV/0!</v>
      </c>
    </row>
    <row r="405" spans="1:14" s="10" customFormat="1" ht="11.25" customHeight="1" hidden="1">
      <c r="A405" s="85"/>
      <c r="B405" s="24"/>
      <c r="C405" s="16" t="s">
        <v>260</v>
      </c>
      <c r="D405" s="13"/>
      <c r="E405" s="13"/>
      <c r="F405" s="13"/>
      <c r="G405" s="13"/>
      <c r="H405" s="7">
        <f t="shared" si="36"/>
        <v>0</v>
      </c>
      <c r="I405" s="13"/>
      <c r="J405" s="7"/>
      <c r="K405" s="13"/>
      <c r="L405" s="13"/>
      <c r="M405" s="7">
        <f t="shared" si="35"/>
        <v>0</v>
      </c>
      <c r="N405" s="5" t="e">
        <f t="shared" si="37"/>
        <v>#DIV/0!</v>
      </c>
    </row>
    <row r="406" spans="1:14" ht="29.25" customHeight="1">
      <c r="A406" s="61"/>
      <c r="B406" s="102" t="s">
        <v>223</v>
      </c>
      <c r="C406" s="16" t="s">
        <v>101</v>
      </c>
      <c r="D406" s="7">
        <f>18822+49165</f>
        <v>67987</v>
      </c>
      <c r="E406" s="4"/>
      <c r="F406" s="4"/>
      <c r="G406" s="4"/>
      <c r="H406" s="7">
        <f t="shared" si="36"/>
        <v>67987</v>
      </c>
      <c r="I406" s="7">
        <v>67987</v>
      </c>
      <c r="J406" s="7"/>
      <c r="K406" s="7"/>
      <c r="L406" s="7"/>
      <c r="M406" s="7">
        <f t="shared" si="35"/>
        <v>67987</v>
      </c>
      <c r="N406" s="5">
        <f t="shared" si="37"/>
        <v>1</v>
      </c>
    </row>
    <row r="407" spans="1:14" ht="27.75" customHeight="1">
      <c r="A407" s="61"/>
      <c r="B407" s="103"/>
      <c r="C407" s="19" t="s">
        <v>73</v>
      </c>
      <c r="D407" s="7"/>
      <c r="E407" s="4">
        <v>14800</v>
      </c>
      <c r="F407" s="4"/>
      <c r="G407" s="4"/>
      <c r="H407" s="7">
        <f t="shared" si="36"/>
        <v>14800</v>
      </c>
      <c r="I407" s="7"/>
      <c r="J407" s="7">
        <v>14800</v>
      </c>
      <c r="K407" s="7"/>
      <c r="L407" s="7"/>
      <c r="M407" s="7">
        <f t="shared" si="35"/>
        <v>14800</v>
      </c>
      <c r="N407" s="5">
        <f t="shared" si="37"/>
        <v>1</v>
      </c>
    </row>
    <row r="408" spans="1:14" ht="29.25" customHeight="1" hidden="1">
      <c r="A408" s="61"/>
      <c r="B408" s="103"/>
      <c r="C408" s="19" t="s">
        <v>240</v>
      </c>
      <c r="D408" s="7"/>
      <c r="E408" s="4">
        <f>319345-319345</f>
        <v>0</v>
      </c>
      <c r="F408" s="4"/>
      <c r="G408" s="4"/>
      <c r="H408" s="7">
        <f t="shared" si="36"/>
        <v>0</v>
      </c>
      <c r="I408" s="7"/>
      <c r="J408" s="7"/>
      <c r="K408" s="7"/>
      <c r="L408" s="7"/>
      <c r="M408" s="7">
        <f t="shared" si="35"/>
        <v>0</v>
      </c>
      <c r="N408" s="5" t="e">
        <f t="shared" si="37"/>
        <v>#DIV/0!</v>
      </c>
    </row>
    <row r="409" spans="1:14" ht="57.75" customHeight="1">
      <c r="A409" s="63"/>
      <c r="B409" s="103"/>
      <c r="C409" s="16" t="s">
        <v>261</v>
      </c>
      <c r="D409" s="7"/>
      <c r="E409" s="4">
        <v>119839</v>
      </c>
      <c r="F409" s="4"/>
      <c r="G409" s="4"/>
      <c r="H409" s="7">
        <f t="shared" si="36"/>
        <v>119839</v>
      </c>
      <c r="I409" s="7"/>
      <c r="J409" s="7"/>
      <c r="K409" s="7"/>
      <c r="L409" s="7"/>
      <c r="M409" s="7">
        <f t="shared" si="35"/>
        <v>0</v>
      </c>
      <c r="N409" s="5">
        <f t="shared" si="37"/>
        <v>0</v>
      </c>
    </row>
    <row r="410" spans="1:14" ht="57.75" customHeight="1">
      <c r="A410" s="61"/>
      <c r="B410" s="49"/>
      <c r="C410" s="19" t="s">
        <v>262</v>
      </c>
      <c r="D410" s="7"/>
      <c r="E410" s="4">
        <v>56265</v>
      </c>
      <c r="F410" s="4"/>
      <c r="G410" s="4"/>
      <c r="H410" s="7">
        <f t="shared" si="36"/>
        <v>56265</v>
      </c>
      <c r="I410" s="7"/>
      <c r="J410" s="7"/>
      <c r="K410" s="7"/>
      <c r="L410" s="7"/>
      <c r="M410" s="7">
        <f t="shared" si="35"/>
        <v>0</v>
      </c>
      <c r="N410" s="5">
        <f t="shared" si="37"/>
        <v>0</v>
      </c>
    </row>
    <row r="411" spans="1:14" ht="9.75">
      <c r="A411" s="61"/>
      <c r="B411" s="46" t="s">
        <v>247</v>
      </c>
      <c r="C411" s="31"/>
      <c r="D411" s="6">
        <f>SUM(D403:D410)</f>
        <v>67987</v>
      </c>
      <c r="E411" s="6">
        <f>SUM(E403:E410)</f>
        <v>190904</v>
      </c>
      <c r="F411" s="6">
        <f>SUM(F403:F410)</f>
        <v>0</v>
      </c>
      <c r="G411" s="6">
        <f>SUM(G403:G410)</f>
        <v>0</v>
      </c>
      <c r="H411" s="6">
        <f t="shared" si="36"/>
        <v>258891</v>
      </c>
      <c r="I411" s="6">
        <f>SUM(I403:I410)</f>
        <v>67987</v>
      </c>
      <c r="J411" s="6">
        <f>SUM(J403:J410)</f>
        <v>14800</v>
      </c>
      <c r="K411" s="6">
        <f>SUM(K403:K410)</f>
        <v>0</v>
      </c>
      <c r="L411" s="6">
        <f>SUM(L403:L410)</f>
        <v>0</v>
      </c>
      <c r="M411" s="6">
        <f t="shared" si="35"/>
        <v>82787</v>
      </c>
      <c r="N411" s="25">
        <f t="shared" si="37"/>
        <v>0.319775503976577</v>
      </c>
    </row>
    <row r="412" spans="1:14" ht="9" customHeight="1" hidden="1">
      <c r="A412" s="61"/>
      <c r="B412" s="57" t="s">
        <v>198</v>
      </c>
      <c r="C412" s="16" t="s">
        <v>76</v>
      </c>
      <c r="D412" s="7"/>
      <c r="E412" s="4"/>
      <c r="F412" s="4"/>
      <c r="G412" s="4"/>
      <c r="H412" s="7">
        <f t="shared" si="36"/>
        <v>0</v>
      </c>
      <c r="I412" s="7"/>
      <c r="J412" s="7"/>
      <c r="K412" s="7"/>
      <c r="L412" s="7"/>
      <c r="M412" s="7">
        <f t="shared" si="35"/>
        <v>0</v>
      </c>
      <c r="N412" s="5" t="e">
        <f t="shared" si="37"/>
        <v>#DIV/0!</v>
      </c>
    </row>
    <row r="413" spans="1:14" ht="11.25" customHeight="1">
      <c r="A413" s="61"/>
      <c r="B413" s="102" t="s">
        <v>198</v>
      </c>
      <c r="C413" s="16" t="s">
        <v>72</v>
      </c>
      <c r="D413" s="7"/>
      <c r="E413" s="4"/>
      <c r="F413" s="4"/>
      <c r="G413" s="4"/>
      <c r="H413" s="7">
        <f t="shared" si="36"/>
        <v>0</v>
      </c>
      <c r="I413" s="7"/>
      <c r="J413" s="7">
        <v>251.57</v>
      </c>
      <c r="K413" s="7"/>
      <c r="L413" s="7"/>
      <c r="M413" s="7">
        <f t="shared" si="35"/>
        <v>251.57</v>
      </c>
      <c r="N413" s="5"/>
    </row>
    <row r="414" spans="1:14" ht="18" customHeight="1">
      <c r="A414" s="61"/>
      <c r="B414" s="103"/>
      <c r="C414" s="16" t="s">
        <v>74</v>
      </c>
      <c r="D414" s="7"/>
      <c r="E414" s="4"/>
      <c r="F414" s="4"/>
      <c r="G414" s="4"/>
      <c r="H414" s="7">
        <f t="shared" si="36"/>
        <v>0</v>
      </c>
      <c r="I414" s="7"/>
      <c r="J414" s="7">
        <v>441.03</v>
      </c>
      <c r="K414" s="7"/>
      <c r="L414" s="7"/>
      <c r="M414" s="7">
        <f t="shared" si="35"/>
        <v>441.03</v>
      </c>
      <c r="N414" s="5"/>
    </row>
    <row r="415" spans="1:14" ht="18" customHeight="1" hidden="1">
      <c r="A415" s="61"/>
      <c r="B415" s="49"/>
      <c r="C415" s="16" t="s">
        <v>200</v>
      </c>
      <c r="D415" s="7"/>
      <c r="E415" s="4"/>
      <c r="F415" s="4"/>
      <c r="G415" s="4"/>
      <c r="H415" s="7">
        <f t="shared" si="36"/>
        <v>0</v>
      </c>
      <c r="I415" s="7"/>
      <c r="J415" s="7"/>
      <c r="K415" s="7"/>
      <c r="L415" s="7"/>
      <c r="M415" s="7">
        <f t="shared" si="35"/>
        <v>0</v>
      </c>
      <c r="N415" s="5"/>
    </row>
    <row r="416" spans="1:14" ht="9.75">
      <c r="A416" s="63"/>
      <c r="B416" s="26" t="s">
        <v>199</v>
      </c>
      <c r="C416" s="31"/>
      <c r="D416" s="6">
        <f>SUM(D412:D415)</f>
        <v>0</v>
      </c>
      <c r="E416" s="6">
        <f>SUM(E412:E415)</f>
        <v>0</v>
      </c>
      <c r="F416" s="6">
        <f>SUM(F412:F415)</f>
        <v>0</v>
      </c>
      <c r="G416" s="6">
        <f>SUM(G412:G415)</f>
        <v>0</v>
      </c>
      <c r="H416" s="6">
        <f t="shared" si="36"/>
        <v>0</v>
      </c>
      <c r="I416" s="6">
        <f>SUM(I412:I415)</f>
        <v>0</v>
      </c>
      <c r="J416" s="6">
        <f>SUM(J412:J415)</f>
        <v>692.5999999999999</v>
      </c>
      <c r="K416" s="6">
        <f>SUM(K412:K415)</f>
        <v>0</v>
      </c>
      <c r="L416" s="6">
        <f>SUM(L412:L415)</f>
        <v>0</v>
      </c>
      <c r="M416" s="6">
        <f t="shared" si="35"/>
        <v>692.5999999999999</v>
      </c>
      <c r="N416" s="25"/>
    </row>
    <row r="417" spans="1:14" ht="39.75" customHeight="1" hidden="1">
      <c r="A417" s="61"/>
      <c r="B417" s="49" t="s">
        <v>241</v>
      </c>
      <c r="C417" s="16" t="s">
        <v>212</v>
      </c>
      <c r="D417" s="7"/>
      <c r="E417" s="4"/>
      <c r="F417" s="4"/>
      <c r="G417" s="4"/>
      <c r="H417" s="7">
        <f t="shared" si="36"/>
        <v>0</v>
      </c>
      <c r="I417" s="7"/>
      <c r="J417" s="7"/>
      <c r="K417" s="7"/>
      <c r="L417" s="7"/>
      <c r="M417" s="7">
        <f aca="true" t="shared" si="38" ref="M417:M450">SUM(I417:L417)</f>
        <v>0</v>
      </c>
      <c r="N417" s="5" t="e">
        <f aca="true" t="shared" si="39" ref="N417:N423">M417/H417</f>
        <v>#DIV/0!</v>
      </c>
    </row>
    <row r="418" spans="1:14" ht="9.75" hidden="1">
      <c r="A418" s="62"/>
      <c r="B418" s="42" t="s">
        <v>298</v>
      </c>
      <c r="C418" s="31"/>
      <c r="D418" s="6">
        <f>SUM(D417)</f>
        <v>0</v>
      </c>
      <c r="E418" s="6">
        <f>SUM(E417)</f>
        <v>0</v>
      </c>
      <c r="F418" s="6">
        <f>SUM(F417)</f>
        <v>0</v>
      </c>
      <c r="G418" s="6">
        <f>SUM(G417)</f>
        <v>0</v>
      </c>
      <c r="H418" s="6">
        <f t="shared" si="36"/>
        <v>0</v>
      </c>
      <c r="I418" s="6">
        <f>SUM(I417:I417)</f>
        <v>0</v>
      </c>
      <c r="J418" s="6">
        <f>SUM(J417:J417)</f>
        <v>0</v>
      </c>
      <c r="K418" s="6">
        <f>SUM(K417:K417)</f>
        <v>0</v>
      </c>
      <c r="L418" s="6">
        <f>SUM(L417:L417)</f>
        <v>0</v>
      </c>
      <c r="M418" s="6">
        <f t="shared" si="38"/>
        <v>0</v>
      </c>
      <c r="N418" s="25" t="e">
        <f t="shared" si="39"/>
        <v>#DIV/0!</v>
      </c>
    </row>
    <row r="419" spans="1:14" ht="9" customHeight="1">
      <c r="A419" s="23" t="s">
        <v>53</v>
      </c>
      <c r="B419" s="23"/>
      <c r="C419" s="21"/>
      <c r="D419" s="22">
        <f>SUM(D418,D416,D411,D370,D377,D381,D387,D396,D402)</f>
        <v>67987</v>
      </c>
      <c r="E419" s="22">
        <f>SUM(E418,E416,E411,E370,E377,E381,E387,E396,E402)</f>
        <v>190904</v>
      </c>
      <c r="F419" s="22">
        <f>SUM(F418,F416,F411,F370,F377,F381,F387,F396,F402)</f>
        <v>0</v>
      </c>
      <c r="G419" s="22">
        <f>SUM(G418,G416,G411,G370,G377,G381,G387,G396,G402)</f>
        <v>0</v>
      </c>
      <c r="H419" s="22">
        <f t="shared" si="36"/>
        <v>258891</v>
      </c>
      <c r="I419" s="22">
        <f>SUM(I418,I416,I411,I370,I377,I381,I387,I396,I402)</f>
        <v>67987</v>
      </c>
      <c r="J419" s="22">
        <f>SUM(J418,J416,J411,J370,J377,J381,J387,J396,J402)</f>
        <v>77007.12</v>
      </c>
      <c r="K419" s="22">
        <f>SUM(K418,K416,K411,K370,K377,K381,K387,K396,K402)</f>
        <v>0</v>
      </c>
      <c r="L419" s="22">
        <f>SUM(L418,L416,L411,L370,L377,L381,L387,L396,L402)</f>
        <v>0</v>
      </c>
      <c r="M419" s="22">
        <f t="shared" si="38"/>
        <v>144994.12</v>
      </c>
      <c r="N419" s="27">
        <f t="shared" si="39"/>
        <v>0.560058557462407</v>
      </c>
    </row>
    <row r="420" spans="1:14" ht="39" customHeight="1">
      <c r="A420" s="105" t="s">
        <v>54</v>
      </c>
      <c r="B420" s="41" t="s">
        <v>296</v>
      </c>
      <c r="C420" s="16" t="s">
        <v>79</v>
      </c>
      <c r="D420" s="4">
        <v>255629</v>
      </c>
      <c r="E420" s="4"/>
      <c r="F420" s="4"/>
      <c r="G420" s="4"/>
      <c r="H420" s="7">
        <f t="shared" si="36"/>
        <v>255629</v>
      </c>
      <c r="I420" s="7"/>
      <c r="J420" s="7"/>
      <c r="K420" s="7"/>
      <c r="L420" s="7"/>
      <c r="M420" s="7">
        <f t="shared" si="38"/>
        <v>0</v>
      </c>
      <c r="N420" s="5">
        <f t="shared" si="39"/>
        <v>0</v>
      </c>
    </row>
    <row r="421" spans="1:14" ht="12" customHeight="1">
      <c r="A421" s="106"/>
      <c r="B421" s="135" t="s">
        <v>297</v>
      </c>
      <c r="C421" s="135"/>
      <c r="D421" s="6">
        <f>SUM(D420)</f>
        <v>255629</v>
      </c>
      <c r="E421" s="6">
        <f>SUM(E420)</f>
        <v>0</v>
      </c>
      <c r="F421" s="6">
        <f>SUM(F420)</f>
        <v>0</v>
      </c>
      <c r="G421" s="6">
        <f>SUM(G420)</f>
        <v>0</v>
      </c>
      <c r="H421" s="6">
        <f t="shared" si="36"/>
        <v>255629</v>
      </c>
      <c r="I421" s="6">
        <f>SUM(I420)</f>
        <v>0</v>
      </c>
      <c r="J421" s="6">
        <f>SUM(J420)</f>
        <v>0</v>
      </c>
      <c r="K421" s="6">
        <f>SUM(K420)</f>
        <v>0</v>
      </c>
      <c r="L421" s="6">
        <f>SUM(L420)</f>
        <v>0</v>
      </c>
      <c r="M421" s="6">
        <f t="shared" si="38"/>
        <v>0</v>
      </c>
      <c r="N421" s="25">
        <f t="shared" si="39"/>
        <v>0</v>
      </c>
    </row>
    <row r="422" spans="1:14" ht="19.5" customHeight="1" hidden="1">
      <c r="A422" s="106"/>
      <c r="B422" s="41" t="s">
        <v>224</v>
      </c>
      <c r="C422" s="15" t="s">
        <v>74</v>
      </c>
      <c r="D422" s="4"/>
      <c r="E422" s="4"/>
      <c r="F422" s="4"/>
      <c r="G422" s="4"/>
      <c r="H422" s="7">
        <f t="shared" si="36"/>
        <v>0</v>
      </c>
      <c r="I422" s="7"/>
      <c r="J422" s="7"/>
      <c r="K422" s="7"/>
      <c r="L422" s="7"/>
      <c r="M422" s="7">
        <f t="shared" si="38"/>
        <v>0</v>
      </c>
      <c r="N422" s="5" t="e">
        <f t="shared" si="39"/>
        <v>#DIV/0!</v>
      </c>
    </row>
    <row r="423" spans="1:14" ht="12" customHeight="1" hidden="1">
      <c r="A423" s="106"/>
      <c r="B423" s="42" t="s">
        <v>248</v>
      </c>
      <c r="C423" s="26"/>
      <c r="D423" s="6">
        <f>SUM(D422)</f>
        <v>0</v>
      </c>
      <c r="E423" s="6">
        <f>SUM(E422)</f>
        <v>0</v>
      </c>
      <c r="F423" s="6">
        <f>SUM(F422)</f>
        <v>0</v>
      </c>
      <c r="G423" s="6">
        <f>SUM(G422)</f>
        <v>0</v>
      </c>
      <c r="H423" s="6">
        <f t="shared" si="36"/>
        <v>0</v>
      </c>
      <c r="I423" s="6">
        <f>SUM(I422)</f>
        <v>0</v>
      </c>
      <c r="J423" s="6">
        <f>SUM(J422)</f>
        <v>0</v>
      </c>
      <c r="K423" s="6">
        <f>SUM(K422)</f>
        <v>0</v>
      </c>
      <c r="L423" s="6">
        <f>SUM(L422)</f>
        <v>0</v>
      </c>
      <c r="M423" s="6">
        <f t="shared" si="38"/>
        <v>0</v>
      </c>
      <c r="N423" s="25" t="e">
        <f t="shared" si="39"/>
        <v>#DIV/0!</v>
      </c>
    </row>
    <row r="424" spans="1:14" ht="47.25" customHeight="1">
      <c r="A424" s="106"/>
      <c r="B424" s="41" t="s">
        <v>225</v>
      </c>
      <c r="C424" s="24" t="s">
        <v>263</v>
      </c>
      <c r="D424" s="4"/>
      <c r="E424" s="4"/>
      <c r="F424" s="4"/>
      <c r="G424" s="4"/>
      <c r="H424" s="7">
        <f t="shared" si="36"/>
        <v>0</v>
      </c>
      <c r="I424" s="7">
        <v>12125.88</v>
      </c>
      <c r="J424" s="7"/>
      <c r="K424" s="7"/>
      <c r="L424" s="7"/>
      <c r="M424" s="7">
        <f t="shared" si="38"/>
        <v>12125.88</v>
      </c>
      <c r="N424" s="5"/>
    </row>
    <row r="425" spans="1:14" ht="9.75">
      <c r="A425" s="61"/>
      <c r="B425" s="42" t="s">
        <v>249</v>
      </c>
      <c r="C425" s="26"/>
      <c r="D425" s="6">
        <f>SUM(D424)</f>
        <v>0</v>
      </c>
      <c r="E425" s="6">
        <f>SUM(E424)</f>
        <v>0</v>
      </c>
      <c r="F425" s="6">
        <f>SUM(F424)</f>
        <v>0</v>
      </c>
      <c r="G425" s="6">
        <f>SUM(G424)</f>
        <v>0</v>
      </c>
      <c r="H425" s="6">
        <f t="shared" si="36"/>
        <v>0</v>
      </c>
      <c r="I425" s="6">
        <f>SUM(I424)</f>
        <v>12125.88</v>
      </c>
      <c r="J425" s="6">
        <f>SUM(J424)</f>
        <v>0</v>
      </c>
      <c r="K425" s="6">
        <f>SUM(K424)</f>
        <v>0</v>
      </c>
      <c r="L425" s="6">
        <f>SUM(L424)</f>
        <v>0</v>
      </c>
      <c r="M425" s="6">
        <f t="shared" si="38"/>
        <v>12125.88</v>
      </c>
      <c r="N425" s="25"/>
    </row>
    <row r="426" spans="1:14" ht="47.25" customHeight="1">
      <c r="A426" s="61"/>
      <c r="B426" s="47" t="s">
        <v>244</v>
      </c>
      <c r="C426" s="16" t="s">
        <v>72</v>
      </c>
      <c r="D426" s="4"/>
      <c r="E426" s="4"/>
      <c r="F426" s="4"/>
      <c r="G426" s="4"/>
      <c r="H426" s="7">
        <f t="shared" si="36"/>
        <v>0</v>
      </c>
      <c r="I426" s="7">
        <v>36640.37</v>
      </c>
      <c r="J426" s="7">
        <v>2900.05</v>
      </c>
      <c r="K426" s="7"/>
      <c r="L426" s="7"/>
      <c r="M426" s="7">
        <f t="shared" si="38"/>
        <v>39540.420000000006</v>
      </c>
      <c r="N426" s="5"/>
    </row>
    <row r="427" spans="1:14" s="53" customFormat="1" ht="9.75" customHeight="1">
      <c r="A427" s="61"/>
      <c r="B427" s="42" t="s">
        <v>245</v>
      </c>
      <c r="C427" s="54"/>
      <c r="D427" s="55">
        <f>SUM(D426:D426)</f>
        <v>0</v>
      </c>
      <c r="E427" s="55">
        <f>SUM(E426:E426)</f>
        <v>0</v>
      </c>
      <c r="F427" s="55">
        <f>SUM(F426:F426)</f>
        <v>0</v>
      </c>
      <c r="G427" s="55">
        <f>SUM(G426:G426)</f>
        <v>0</v>
      </c>
      <c r="H427" s="55">
        <f t="shared" si="36"/>
        <v>0</v>
      </c>
      <c r="I427" s="6">
        <f>SUM(I426:I426)</f>
        <v>36640.37</v>
      </c>
      <c r="J427" s="6">
        <f>SUM(J426:J426)</f>
        <v>2900.05</v>
      </c>
      <c r="K427" s="6">
        <f>SUM(K426:K426)</f>
        <v>0</v>
      </c>
      <c r="L427" s="6">
        <f>SUM(L426:L426)</f>
        <v>0</v>
      </c>
      <c r="M427" s="6">
        <f t="shared" si="38"/>
        <v>39540.420000000006</v>
      </c>
      <c r="N427" s="25"/>
    </row>
    <row r="428" spans="1:14" ht="37.5" customHeight="1">
      <c r="A428" s="61"/>
      <c r="B428" s="19" t="s">
        <v>273</v>
      </c>
      <c r="C428" s="16" t="s">
        <v>230</v>
      </c>
      <c r="D428" s="4"/>
      <c r="E428" s="4"/>
      <c r="F428" s="4"/>
      <c r="G428" s="4"/>
      <c r="H428" s="7">
        <f t="shared" si="36"/>
        <v>0</v>
      </c>
      <c r="I428" s="7">
        <v>30270.04</v>
      </c>
      <c r="J428" s="7"/>
      <c r="K428" s="7"/>
      <c r="L428" s="7"/>
      <c r="M428" s="7">
        <f t="shared" si="38"/>
        <v>30270.04</v>
      </c>
      <c r="N428" s="5"/>
    </row>
    <row r="429" spans="1:14" ht="10.5" customHeight="1">
      <c r="A429" s="61"/>
      <c r="B429" s="42" t="s">
        <v>274</v>
      </c>
      <c r="C429" s="26"/>
      <c r="D429" s="6">
        <f>SUM(D428:D428)</f>
        <v>0</v>
      </c>
      <c r="E429" s="6">
        <f>SUM(E428:E428)</f>
        <v>0</v>
      </c>
      <c r="F429" s="6">
        <f>SUM(F428:F428)</f>
        <v>0</v>
      </c>
      <c r="G429" s="6">
        <f>SUM(G428:G428)</f>
        <v>0</v>
      </c>
      <c r="H429" s="6">
        <f t="shared" si="36"/>
        <v>0</v>
      </c>
      <c r="I429" s="6">
        <f>SUM(I428:I428)</f>
        <v>30270.04</v>
      </c>
      <c r="J429" s="6">
        <f>SUM(J428:J428)</f>
        <v>0</v>
      </c>
      <c r="K429" s="6">
        <f>SUM(K428:K428)</f>
        <v>0</v>
      </c>
      <c r="L429" s="6">
        <f>SUM(L428:L428)</f>
        <v>0</v>
      </c>
      <c r="M429" s="6">
        <f t="shared" si="38"/>
        <v>30270.04</v>
      </c>
      <c r="N429" s="25"/>
    </row>
    <row r="430" spans="1:14" ht="28.5" customHeight="1">
      <c r="A430" s="61"/>
      <c r="B430" s="19" t="s">
        <v>303</v>
      </c>
      <c r="C430" s="15" t="s">
        <v>74</v>
      </c>
      <c r="D430" s="4"/>
      <c r="E430" s="4"/>
      <c r="F430" s="4"/>
      <c r="G430" s="4"/>
      <c r="H430" s="7">
        <f t="shared" si="36"/>
        <v>0</v>
      </c>
      <c r="I430" s="7">
        <v>2582.06</v>
      </c>
      <c r="J430" s="7"/>
      <c r="K430" s="7"/>
      <c r="L430" s="7"/>
      <c r="M430" s="7">
        <f t="shared" si="38"/>
        <v>2582.06</v>
      </c>
      <c r="N430" s="5"/>
    </row>
    <row r="431" spans="1:14" ht="10.5" customHeight="1">
      <c r="A431" s="61"/>
      <c r="B431" s="42" t="s">
        <v>304</v>
      </c>
      <c r="C431" s="26"/>
      <c r="D431" s="6">
        <f>SUM(D430:D430)</f>
        <v>0</v>
      </c>
      <c r="E431" s="6">
        <f>SUM(E430:E430)</f>
        <v>0</v>
      </c>
      <c r="F431" s="6">
        <f>SUM(F430:F430)</f>
        <v>0</v>
      </c>
      <c r="G431" s="6">
        <f>SUM(G430:G430)</f>
        <v>0</v>
      </c>
      <c r="H431" s="6">
        <f t="shared" si="36"/>
        <v>0</v>
      </c>
      <c r="I431" s="6">
        <f>SUM(I430:I430)</f>
        <v>2582.06</v>
      </c>
      <c r="J431" s="6">
        <f>SUM(J430:J430)</f>
        <v>0</v>
      </c>
      <c r="K431" s="6">
        <f>SUM(K430:K430)</f>
        <v>0</v>
      </c>
      <c r="L431" s="6">
        <f>SUM(L430:L430)</f>
        <v>0</v>
      </c>
      <c r="M431" s="6">
        <f t="shared" si="38"/>
        <v>2582.06</v>
      </c>
      <c r="N431" s="25"/>
    </row>
    <row r="432" spans="1:14" ht="48" customHeight="1">
      <c r="A432" s="61"/>
      <c r="B432" s="113" t="s">
        <v>61</v>
      </c>
      <c r="C432" s="16" t="s">
        <v>104</v>
      </c>
      <c r="D432" s="4">
        <v>31200</v>
      </c>
      <c r="E432" s="4"/>
      <c r="F432" s="4"/>
      <c r="G432" s="4"/>
      <c r="H432" s="7">
        <f t="shared" si="36"/>
        <v>31200</v>
      </c>
      <c r="I432" s="7">
        <v>14537.33</v>
      </c>
      <c r="J432" s="7"/>
      <c r="K432" s="7"/>
      <c r="L432" s="7"/>
      <c r="M432" s="7">
        <f t="shared" si="38"/>
        <v>14537.33</v>
      </c>
      <c r="N432" s="5">
        <f aca="true" t="shared" si="40" ref="N432:N445">M432/H432</f>
        <v>0.4659400641025641</v>
      </c>
    </row>
    <row r="433" spans="1:14" ht="9" customHeight="1">
      <c r="A433" s="61"/>
      <c r="B433" s="113"/>
      <c r="C433" s="16" t="s">
        <v>72</v>
      </c>
      <c r="D433" s="4"/>
      <c r="E433" s="4"/>
      <c r="F433" s="4"/>
      <c r="G433" s="4"/>
      <c r="H433" s="7">
        <f t="shared" si="36"/>
        <v>0</v>
      </c>
      <c r="I433" s="7">
        <v>5.52</v>
      </c>
      <c r="J433" s="7"/>
      <c r="K433" s="7"/>
      <c r="L433" s="7"/>
      <c r="M433" s="7">
        <f t="shared" si="38"/>
        <v>5.52</v>
      </c>
      <c r="N433" s="5"/>
    </row>
    <row r="434" spans="1:14" ht="10.5" customHeight="1">
      <c r="A434" s="61"/>
      <c r="B434" s="42" t="s">
        <v>184</v>
      </c>
      <c r="C434" s="26"/>
      <c r="D434" s="6">
        <f>SUM(D432:D433)</f>
        <v>31200</v>
      </c>
      <c r="E434" s="6">
        <f>SUM(E432:E433)</f>
        <v>0</v>
      </c>
      <c r="F434" s="6">
        <f>SUM(F432:F433)</f>
        <v>0</v>
      </c>
      <c r="G434" s="6">
        <f>SUM(G432:G433)</f>
        <v>0</v>
      </c>
      <c r="H434" s="6">
        <f t="shared" si="36"/>
        <v>31200</v>
      </c>
      <c r="I434" s="6">
        <f>SUM(I432:I433)</f>
        <v>14542.85</v>
      </c>
      <c r="J434" s="6">
        <f>SUM(J432:J433)</f>
        <v>0</v>
      </c>
      <c r="K434" s="6">
        <f>SUM(K432:K433)</f>
        <v>0</v>
      </c>
      <c r="L434" s="6">
        <f>SUM(L432:L433)</f>
        <v>0</v>
      </c>
      <c r="M434" s="6">
        <f t="shared" si="38"/>
        <v>14542.85</v>
      </c>
      <c r="N434" s="25">
        <f t="shared" si="40"/>
        <v>0.4661169871794872</v>
      </c>
    </row>
    <row r="435" spans="1:14" ht="48.75" hidden="1">
      <c r="A435" s="61"/>
      <c r="B435" s="47" t="s">
        <v>55</v>
      </c>
      <c r="C435" s="16" t="s">
        <v>102</v>
      </c>
      <c r="D435" s="4"/>
      <c r="E435" s="4"/>
      <c r="F435" s="4"/>
      <c r="G435" s="4"/>
      <c r="H435" s="7">
        <f t="shared" si="36"/>
        <v>0</v>
      </c>
      <c r="I435" s="7"/>
      <c r="J435" s="7"/>
      <c r="K435" s="7"/>
      <c r="L435" s="7"/>
      <c r="M435" s="7">
        <f t="shared" si="38"/>
        <v>0</v>
      </c>
      <c r="N435" s="5" t="e">
        <f t="shared" si="40"/>
        <v>#DIV/0!</v>
      </c>
    </row>
    <row r="436" spans="1:14" ht="38.25" customHeight="1">
      <c r="A436" s="61"/>
      <c r="B436" s="47" t="s">
        <v>55</v>
      </c>
      <c r="C436" s="16" t="s">
        <v>79</v>
      </c>
      <c r="D436" s="4">
        <v>316017</v>
      </c>
      <c r="E436" s="4"/>
      <c r="F436" s="4"/>
      <c r="G436" s="4"/>
      <c r="H436" s="7">
        <f t="shared" si="36"/>
        <v>316017</v>
      </c>
      <c r="I436" s="7">
        <v>222950.79</v>
      </c>
      <c r="J436" s="7"/>
      <c r="K436" s="7"/>
      <c r="L436" s="7"/>
      <c r="M436" s="7">
        <f t="shared" si="38"/>
        <v>222950.79</v>
      </c>
      <c r="N436" s="5">
        <f t="shared" si="40"/>
        <v>0.7055025204340273</v>
      </c>
    </row>
    <row r="437" spans="1:14" ht="10.5" customHeight="1">
      <c r="A437" s="62"/>
      <c r="B437" s="48" t="s">
        <v>185</v>
      </c>
      <c r="C437" s="31"/>
      <c r="D437" s="6">
        <f>SUM(D435:D436)</f>
        <v>316017</v>
      </c>
      <c r="E437" s="6">
        <f>SUM(E435:E436)</f>
        <v>0</v>
      </c>
      <c r="F437" s="6">
        <f>SUM(F435:F436)</f>
        <v>0</v>
      </c>
      <c r="G437" s="6">
        <f>SUM(G435:G436)</f>
        <v>0</v>
      </c>
      <c r="H437" s="6">
        <f t="shared" si="36"/>
        <v>316017</v>
      </c>
      <c r="I437" s="6">
        <f>SUM(I435:I436)</f>
        <v>222950.79</v>
      </c>
      <c r="J437" s="6">
        <f>SUM(J435:J436)</f>
        <v>0</v>
      </c>
      <c r="K437" s="6">
        <f>SUM(K435:K436)</f>
        <v>0</v>
      </c>
      <c r="L437" s="6">
        <f>SUM(L435:L436)</f>
        <v>0</v>
      </c>
      <c r="M437" s="6">
        <f t="shared" si="38"/>
        <v>222950.79</v>
      </c>
      <c r="N437" s="25">
        <f t="shared" si="40"/>
        <v>0.7055025204340273</v>
      </c>
    </row>
    <row r="438" spans="1:14" ht="11.25" customHeight="1">
      <c r="A438" s="23" t="s">
        <v>56</v>
      </c>
      <c r="B438" s="50"/>
      <c r="C438" s="21"/>
      <c r="D438" s="22">
        <f>SUM(D437,D421,D434,D429,D425,D423,D427)</f>
        <v>602846</v>
      </c>
      <c r="E438" s="22">
        <f>SUM(E437,E421,E434,E429,E425,E423,E427)</f>
        <v>0</v>
      </c>
      <c r="F438" s="22">
        <f>SUM(F437,F421,F434,F429,F425,F423,F427)</f>
        <v>0</v>
      </c>
      <c r="G438" s="22">
        <f>SUM(G437,G421,G431,G434,G429,G425,G423,G427)</f>
        <v>0</v>
      </c>
      <c r="H438" s="22">
        <f>SUM(H437,H421,H431,H434,H429,H425,H423,H427)</f>
        <v>602846</v>
      </c>
      <c r="I438" s="22">
        <f>SUM(I437,I421,I431,I434,I429,I425,I423,I427)</f>
        <v>319111.99</v>
      </c>
      <c r="J438" s="22">
        <f>SUM(J437,J421,J431,J434,J429,J425,J423,J427)</f>
        <v>2900.05</v>
      </c>
      <c r="K438" s="22">
        <f>SUM(K437,K421,K431,K434,K429,K425,K423,K427)</f>
        <v>0</v>
      </c>
      <c r="L438" s="22">
        <f>SUM(L437,L434,L425,L429,L423,L427)</f>
        <v>0</v>
      </c>
      <c r="M438" s="22">
        <f t="shared" si="38"/>
        <v>322012.04</v>
      </c>
      <c r="N438" s="27">
        <f t="shared" si="40"/>
        <v>0.534153067284182</v>
      </c>
    </row>
    <row r="439" spans="1:14" ht="39.75" customHeight="1">
      <c r="A439" s="105" t="s">
        <v>226</v>
      </c>
      <c r="B439" s="16" t="s">
        <v>319</v>
      </c>
      <c r="C439" s="65" t="s">
        <v>212</v>
      </c>
      <c r="D439" s="4"/>
      <c r="E439" s="52"/>
      <c r="F439" s="52"/>
      <c r="G439" s="52"/>
      <c r="H439" s="7">
        <f>SUM(D439:G439)</f>
        <v>0</v>
      </c>
      <c r="I439" s="7">
        <v>557.65</v>
      </c>
      <c r="J439" s="7"/>
      <c r="K439" s="7"/>
      <c r="L439" s="7"/>
      <c r="M439" s="7">
        <f t="shared" si="38"/>
        <v>557.65</v>
      </c>
      <c r="N439" s="5"/>
    </row>
    <row r="440" spans="1:14" ht="9.75" customHeight="1">
      <c r="A440" s="106"/>
      <c r="B440" s="30" t="s">
        <v>320</v>
      </c>
      <c r="C440" s="26"/>
      <c r="D440" s="6">
        <f>SUM(D439)</f>
        <v>0</v>
      </c>
      <c r="E440" s="6">
        <f>SUM(E439)</f>
        <v>0</v>
      </c>
      <c r="F440" s="6">
        <f>SUM(F439)</f>
        <v>0</v>
      </c>
      <c r="G440" s="6">
        <f>SUM(G439)</f>
        <v>0</v>
      </c>
      <c r="H440" s="6">
        <f>SUM(D440:G440)</f>
        <v>0</v>
      </c>
      <c r="I440" s="6">
        <f>SUM(I439)</f>
        <v>557.65</v>
      </c>
      <c r="J440" s="6">
        <f>SUM(J439)</f>
        <v>0</v>
      </c>
      <c r="K440" s="6">
        <f>SUM(K439)</f>
        <v>0</v>
      </c>
      <c r="L440" s="6">
        <f>SUM(L439)</f>
        <v>0</v>
      </c>
      <c r="M440" s="6">
        <f t="shared" si="38"/>
        <v>557.65</v>
      </c>
      <c r="N440" s="25"/>
    </row>
    <row r="441" spans="1:14" s="10" customFormat="1" ht="50.25" customHeight="1" hidden="1">
      <c r="A441" s="106"/>
      <c r="B441" s="19" t="s">
        <v>281</v>
      </c>
      <c r="C441" s="19" t="s">
        <v>80</v>
      </c>
      <c r="D441" s="4"/>
      <c r="E441" s="43"/>
      <c r="F441" s="43"/>
      <c r="G441" s="43"/>
      <c r="H441" s="7">
        <f aca="true" t="shared" si="41" ref="H441:H463">SUM(D441:G441)</f>
        <v>0</v>
      </c>
      <c r="I441" s="43"/>
      <c r="J441" s="43"/>
      <c r="K441" s="43"/>
      <c r="L441" s="43"/>
      <c r="M441" s="7">
        <f t="shared" si="38"/>
        <v>0</v>
      </c>
      <c r="N441" s="5" t="e">
        <f t="shared" si="40"/>
        <v>#DIV/0!</v>
      </c>
    </row>
    <row r="442" spans="1:14" ht="9.75" customHeight="1" hidden="1">
      <c r="A442" s="106"/>
      <c r="B442" s="26" t="s">
        <v>280</v>
      </c>
      <c r="C442" s="26"/>
      <c r="D442" s="6">
        <f>SUM(D441:D441)</f>
        <v>0</v>
      </c>
      <c r="E442" s="6">
        <f>SUM(E441:E441)</f>
        <v>0</v>
      </c>
      <c r="F442" s="6">
        <f>SUM(F441:F441)</f>
        <v>0</v>
      </c>
      <c r="G442" s="6">
        <f>SUM(G441:G441)</f>
        <v>0</v>
      </c>
      <c r="H442" s="6">
        <f t="shared" si="41"/>
        <v>0</v>
      </c>
      <c r="I442" s="6">
        <f>SUM(I441:I441)</f>
        <v>0</v>
      </c>
      <c r="J442" s="6">
        <f>SUM(J441:J441)</f>
        <v>0</v>
      </c>
      <c r="K442" s="6">
        <f>SUM(K441:K441)</f>
        <v>0</v>
      </c>
      <c r="L442" s="6">
        <f>SUM(L441:L441)</f>
        <v>0</v>
      </c>
      <c r="M442" s="6">
        <f t="shared" si="38"/>
        <v>0</v>
      </c>
      <c r="N442" s="25" t="e">
        <f>M442/H442</f>
        <v>#DIV/0!</v>
      </c>
    </row>
    <row r="443" spans="1:14" s="10" customFormat="1" ht="49.5" customHeight="1" hidden="1">
      <c r="A443" s="106"/>
      <c r="B443" s="19" t="s">
        <v>276</v>
      </c>
      <c r="C443" s="19" t="s">
        <v>80</v>
      </c>
      <c r="D443" s="4"/>
      <c r="E443" s="43"/>
      <c r="F443" s="43"/>
      <c r="G443" s="43"/>
      <c r="H443" s="7">
        <f t="shared" si="41"/>
        <v>0</v>
      </c>
      <c r="I443" s="7"/>
      <c r="J443" s="43"/>
      <c r="K443" s="43"/>
      <c r="L443" s="43"/>
      <c r="M443" s="7">
        <f t="shared" si="38"/>
        <v>0</v>
      </c>
      <c r="N443" s="5" t="e">
        <f t="shared" si="40"/>
        <v>#DIV/0!</v>
      </c>
    </row>
    <row r="444" spans="1:14" ht="9.75" customHeight="1" hidden="1">
      <c r="A444" s="106"/>
      <c r="B444" s="26" t="s">
        <v>278</v>
      </c>
      <c r="C444" s="26"/>
      <c r="D444" s="6">
        <f>SUM(D443:D443)</f>
        <v>0</v>
      </c>
      <c r="E444" s="6">
        <f>SUM(E443:E443)</f>
        <v>0</v>
      </c>
      <c r="F444" s="6">
        <f>SUM(F443:F443)</f>
        <v>0</v>
      </c>
      <c r="G444" s="6">
        <f>SUM(G443:G443)</f>
        <v>0</v>
      </c>
      <c r="H444" s="6">
        <f t="shared" si="41"/>
        <v>0</v>
      </c>
      <c r="I444" s="6">
        <f>SUM(I443:I443)</f>
        <v>0</v>
      </c>
      <c r="J444" s="6">
        <f>SUM(J443:J443)</f>
        <v>0</v>
      </c>
      <c r="K444" s="6">
        <f>SUM(K443:K443)</f>
        <v>0</v>
      </c>
      <c r="L444" s="6">
        <f>SUM(L443:L443)</f>
        <v>0</v>
      </c>
      <c r="M444" s="6">
        <f t="shared" si="38"/>
        <v>0</v>
      </c>
      <c r="N444" s="25" t="e">
        <f>M444/H444</f>
        <v>#DIV/0!</v>
      </c>
    </row>
    <row r="445" spans="1:14" s="10" customFormat="1" ht="11.25" customHeight="1" hidden="1">
      <c r="A445" s="106"/>
      <c r="B445" s="66"/>
      <c r="C445" s="65" t="s">
        <v>74</v>
      </c>
      <c r="D445" s="43"/>
      <c r="E445" s="43"/>
      <c r="F445" s="43"/>
      <c r="G445" s="43"/>
      <c r="H445" s="7">
        <f t="shared" si="41"/>
        <v>0</v>
      </c>
      <c r="I445" s="7"/>
      <c r="J445" s="43"/>
      <c r="K445" s="43"/>
      <c r="L445" s="43"/>
      <c r="M445" s="7">
        <f t="shared" si="38"/>
        <v>0</v>
      </c>
      <c r="N445" s="5" t="e">
        <f t="shared" si="40"/>
        <v>#DIV/0!</v>
      </c>
    </row>
    <row r="446" spans="1:14" s="10" customFormat="1" ht="40.5" customHeight="1">
      <c r="A446" s="106"/>
      <c r="B446" s="66" t="s">
        <v>227</v>
      </c>
      <c r="C446" s="65" t="s">
        <v>212</v>
      </c>
      <c r="D446" s="7"/>
      <c r="E446" s="7"/>
      <c r="F446" s="7"/>
      <c r="G446" s="7"/>
      <c r="H446" s="7">
        <f t="shared" si="41"/>
        <v>0</v>
      </c>
      <c r="I446" s="7">
        <v>554.13</v>
      </c>
      <c r="J446" s="7"/>
      <c r="K446" s="7"/>
      <c r="L446" s="7"/>
      <c r="M446" s="7">
        <f t="shared" si="38"/>
        <v>554.13</v>
      </c>
      <c r="N446" s="5"/>
    </row>
    <row r="447" spans="1:14" s="10" customFormat="1" ht="39.75" customHeight="1" hidden="1">
      <c r="A447" s="106"/>
      <c r="B447" s="64"/>
      <c r="C447" s="66" t="s">
        <v>279</v>
      </c>
      <c r="D447" s="7"/>
      <c r="E447" s="7"/>
      <c r="F447" s="7"/>
      <c r="G447" s="7"/>
      <c r="H447" s="7">
        <f t="shared" si="41"/>
        <v>0</v>
      </c>
      <c r="I447" s="7"/>
      <c r="J447" s="7"/>
      <c r="K447" s="7"/>
      <c r="L447" s="7"/>
      <c r="M447" s="7">
        <f t="shared" si="38"/>
        <v>0</v>
      </c>
      <c r="N447" s="8"/>
    </row>
    <row r="448" spans="1:14" s="10" customFormat="1" ht="9.75" customHeight="1">
      <c r="A448" s="106"/>
      <c r="B448" s="26" t="s">
        <v>277</v>
      </c>
      <c r="C448" s="31"/>
      <c r="D448" s="6">
        <f>SUM(D445:D447)</f>
        <v>0</v>
      </c>
      <c r="E448" s="6">
        <f>SUM(E445:E447)</f>
        <v>0</v>
      </c>
      <c r="F448" s="6">
        <f>SUM(F445:F447)</f>
        <v>0</v>
      </c>
      <c r="G448" s="6">
        <f>SUM(G445:G447)</f>
        <v>0</v>
      </c>
      <c r="H448" s="6">
        <f t="shared" si="41"/>
        <v>0</v>
      </c>
      <c r="I448" s="6">
        <f>SUM(I445:I447)</f>
        <v>554.13</v>
      </c>
      <c r="J448" s="6">
        <f>SUM(J445:J447)</f>
        <v>0</v>
      </c>
      <c r="K448" s="6">
        <f>SUM(K445:K447)</f>
        <v>0</v>
      </c>
      <c r="L448" s="6">
        <f>SUM(L445:L447)</f>
        <v>0</v>
      </c>
      <c r="M448" s="6">
        <f t="shared" si="38"/>
        <v>554.13</v>
      </c>
      <c r="N448" s="25"/>
    </row>
    <row r="449" spans="1:14" s="10" customFormat="1" ht="39" customHeight="1">
      <c r="A449" s="106"/>
      <c r="B449" s="66" t="s">
        <v>312</v>
      </c>
      <c r="C449" s="65" t="s">
        <v>212</v>
      </c>
      <c r="D449" s="7"/>
      <c r="E449" s="7"/>
      <c r="F449" s="7"/>
      <c r="G449" s="7"/>
      <c r="H449" s="7">
        <f t="shared" si="41"/>
        <v>0</v>
      </c>
      <c r="I449" s="7">
        <v>432</v>
      </c>
      <c r="J449" s="7"/>
      <c r="K449" s="7"/>
      <c r="L449" s="7"/>
      <c r="M449" s="7">
        <f t="shared" si="38"/>
        <v>432</v>
      </c>
      <c r="N449" s="5"/>
    </row>
    <row r="450" spans="1:14" s="10" customFormat="1" ht="9.75" customHeight="1">
      <c r="A450" s="107"/>
      <c r="B450" s="48" t="s">
        <v>313</v>
      </c>
      <c r="C450" s="31"/>
      <c r="D450" s="6">
        <f>SUM(D449:D449)</f>
        <v>0</v>
      </c>
      <c r="E450" s="6">
        <f>SUM(E449:E449)</f>
        <v>0</v>
      </c>
      <c r="F450" s="6">
        <f>SUM(F449:F449)</f>
        <v>0</v>
      </c>
      <c r="G450" s="6">
        <f>SUM(G449:G449)</f>
        <v>0</v>
      </c>
      <c r="H450" s="6">
        <f t="shared" si="41"/>
        <v>0</v>
      </c>
      <c r="I450" s="6">
        <f>SUM(I449:I449)</f>
        <v>432</v>
      </c>
      <c r="J450" s="6">
        <f>SUM(J449:J449)</f>
        <v>0</v>
      </c>
      <c r="K450" s="6">
        <f>SUM(K449:K449)</f>
        <v>0</v>
      </c>
      <c r="L450" s="6">
        <f>SUM(L449:L449)</f>
        <v>0</v>
      </c>
      <c r="M450" s="6">
        <f t="shared" si="38"/>
        <v>432</v>
      </c>
      <c r="N450" s="25"/>
    </row>
    <row r="451" spans="1:14" ht="11.25" customHeight="1">
      <c r="A451" s="23" t="s">
        <v>226</v>
      </c>
      <c r="B451" s="50"/>
      <c r="C451" s="21"/>
      <c r="D451" s="22">
        <f>SUM(D448,D440,D450,D442,D444)</f>
        <v>0</v>
      </c>
      <c r="E451" s="22">
        <f>SUM(E448,E440,E450,E442,E444)</f>
        <v>0</v>
      </c>
      <c r="F451" s="22">
        <f>SUM(F448,F440,F450,F442,F444)</f>
        <v>0</v>
      </c>
      <c r="G451" s="22">
        <f>SUM(G448,G440,G450,G442,G444)</f>
        <v>0</v>
      </c>
      <c r="H451" s="22">
        <f t="shared" si="41"/>
        <v>0</v>
      </c>
      <c r="I451" s="22">
        <f>SUM(I448,I440,I450,I442,I444)</f>
        <v>1543.78</v>
      </c>
      <c r="J451" s="22">
        <f>SUM(J448,J440,J450,J442,J444)</f>
        <v>0</v>
      </c>
      <c r="K451" s="22">
        <f>SUM(K448,K440,K450,K442,K444)</f>
        <v>0</v>
      </c>
      <c r="L451" s="22">
        <f>SUM(L448,L440,L450,L442,L444)</f>
        <v>0</v>
      </c>
      <c r="M451" s="22">
        <f aca="true" t="shared" si="42" ref="M451:M462">SUM(I451:L451)</f>
        <v>1543.78</v>
      </c>
      <c r="N451" s="27"/>
    </row>
    <row r="452" spans="1:14" ht="11.25" customHeight="1">
      <c r="A452" s="105" t="s">
        <v>59</v>
      </c>
      <c r="B452" s="102" t="s">
        <v>67</v>
      </c>
      <c r="C452" s="16" t="s">
        <v>71</v>
      </c>
      <c r="D452" s="4">
        <v>8000000</v>
      </c>
      <c r="E452" s="4"/>
      <c r="F452" s="4"/>
      <c r="G452" s="4"/>
      <c r="H452" s="7">
        <f t="shared" si="41"/>
        <v>8000000</v>
      </c>
      <c r="I452" s="7"/>
      <c r="J452" s="7"/>
      <c r="K452" s="7"/>
      <c r="L452" s="7"/>
      <c r="M452" s="7">
        <f t="shared" si="42"/>
        <v>0</v>
      </c>
      <c r="N452" s="5">
        <f>M452/H452</f>
        <v>0</v>
      </c>
    </row>
    <row r="453" spans="1:14" ht="10.5" customHeight="1">
      <c r="A453" s="106"/>
      <c r="B453" s="103"/>
      <c r="C453" s="16" t="s">
        <v>72</v>
      </c>
      <c r="D453" s="4"/>
      <c r="E453" s="4"/>
      <c r="F453" s="4"/>
      <c r="G453" s="4"/>
      <c r="H453" s="7">
        <f t="shared" si="41"/>
        <v>0</v>
      </c>
      <c r="I453" s="7">
        <v>3330.45</v>
      </c>
      <c r="J453" s="7"/>
      <c r="K453" s="7"/>
      <c r="L453" s="7"/>
      <c r="M453" s="7">
        <f t="shared" si="42"/>
        <v>3330.45</v>
      </c>
      <c r="N453" s="5"/>
    </row>
    <row r="454" spans="1:14" ht="18" customHeight="1" hidden="1">
      <c r="A454" s="106"/>
      <c r="B454" s="15"/>
      <c r="C454" s="16" t="s">
        <v>74</v>
      </c>
      <c r="D454" s="4"/>
      <c r="E454" s="4"/>
      <c r="F454" s="4"/>
      <c r="G454" s="4"/>
      <c r="H454" s="7">
        <f t="shared" si="41"/>
        <v>0</v>
      </c>
      <c r="I454" s="7"/>
      <c r="J454" s="7"/>
      <c r="K454" s="7"/>
      <c r="L454" s="7"/>
      <c r="M454" s="7">
        <f t="shared" si="42"/>
        <v>0</v>
      </c>
      <c r="N454" s="5"/>
    </row>
    <row r="455" spans="1:14" ht="9.75">
      <c r="A455" s="106"/>
      <c r="B455" s="26" t="s">
        <v>186</v>
      </c>
      <c r="C455" s="26"/>
      <c r="D455" s="6">
        <f>SUM(D452:D454)</f>
        <v>8000000</v>
      </c>
      <c r="E455" s="6">
        <f>SUM(E452:E454)</f>
        <v>0</v>
      </c>
      <c r="F455" s="6">
        <f>SUM(F452:F454)</f>
        <v>0</v>
      </c>
      <c r="G455" s="6">
        <f>SUM(G452:G454)</f>
        <v>0</v>
      </c>
      <c r="H455" s="6">
        <f t="shared" si="41"/>
        <v>8000000</v>
      </c>
      <c r="I455" s="6">
        <f>SUM(I452:I454)</f>
        <v>3330.45</v>
      </c>
      <c r="J455" s="6">
        <f>SUM(J452:J454)</f>
        <v>0</v>
      </c>
      <c r="K455" s="6">
        <f>SUM(K452:K454)</f>
        <v>0</v>
      </c>
      <c r="L455" s="6">
        <f>SUM(L452:L454)</f>
        <v>0</v>
      </c>
      <c r="M455" s="6">
        <f t="shared" si="42"/>
        <v>3330.45</v>
      </c>
      <c r="N455" s="25">
        <f>M455/H455</f>
        <v>0.00041630625</v>
      </c>
    </row>
    <row r="456" spans="1:14" ht="9.75" customHeight="1" hidden="1">
      <c r="A456" s="106"/>
      <c r="B456" s="19" t="s">
        <v>228</v>
      </c>
      <c r="C456" s="16" t="s">
        <v>71</v>
      </c>
      <c r="D456" s="4"/>
      <c r="E456" s="4"/>
      <c r="F456" s="4"/>
      <c r="G456" s="4"/>
      <c r="H456" s="7">
        <f t="shared" si="41"/>
        <v>0</v>
      </c>
      <c r="I456" s="7"/>
      <c r="J456" s="7"/>
      <c r="K456" s="7"/>
      <c r="L456" s="7"/>
      <c r="M456" s="7">
        <f t="shared" si="42"/>
        <v>0</v>
      </c>
      <c r="N456" s="5"/>
    </row>
    <row r="457" spans="1:14" ht="49.5" customHeight="1">
      <c r="A457" s="106"/>
      <c r="B457" s="102" t="s">
        <v>228</v>
      </c>
      <c r="C457" s="16" t="s">
        <v>104</v>
      </c>
      <c r="D457" s="4">
        <v>290000</v>
      </c>
      <c r="E457" s="4"/>
      <c r="F457" s="4"/>
      <c r="G457" s="4"/>
      <c r="H457" s="7">
        <f t="shared" si="41"/>
        <v>290000</v>
      </c>
      <c r="I457" s="7">
        <v>110011.02</v>
      </c>
      <c r="J457" s="7"/>
      <c r="K457" s="7"/>
      <c r="L457" s="7"/>
      <c r="M457" s="7">
        <f t="shared" si="42"/>
        <v>110011.02</v>
      </c>
      <c r="N457" s="5">
        <f aca="true" t="shared" si="43" ref="N457:N464">M457/H457</f>
        <v>0.3793483448275862</v>
      </c>
    </row>
    <row r="458" spans="1:14" ht="9.75">
      <c r="A458" s="61"/>
      <c r="B458" s="103"/>
      <c r="C458" s="16" t="s">
        <v>72</v>
      </c>
      <c r="D458" s="4"/>
      <c r="E458" s="4"/>
      <c r="F458" s="4"/>
      <c r="G458" s="4"/>
      <c r="H458" s="7">
        <f t="shared" si="41"/>
        <v>0</v>
      </c>
      <c r="I458" s="7">
        <v>5761.95</v>
      </c>
      <c r="J458" s="7"/>
      <c r="K458" s="7"/>
      <c r="L458" s="7"/>
      <c r="M458" s="7">
        <f t="shared" si="42"/>
        <v>5761.95</v>
      </c>
      <c r="N458" s="5"/>
    </row>
    <row r="459" spans="1:14" ht="10.5" customHeight="1">
      <c r="A459" s="61"/>
      <c r="B459" s="103"/>
      <c r="C459" s="16" t="s">
        <v>74</v>
      </c>
      <c r="D459" s="4"/>
      <c r="E459" s="4"/>
      <c r="F459" s="4"/>
      <c r="G459" s="4"/>
      <c r="H459" s="7">
        <f t="shared" si="41"/>
        <v>0</v>
      </c>
      <c r="I459" s="7">
        <v>2834.47</v>
      </c>
      <c r="J459" s="7"/>
      <c r="K459" s="7"/>
      <c r="L459" s="7"/>
      <c r="M459" s="7">
        <f t="shared" si="42"/>
        <v>2834.47</v>
      </c>
      <c r="N459" s="5"/>
    </row>
    <row r="460" spans="1:14" ht="20.25" customHeight="1" hidden="1">
      <c r="A460" s="61"/>
      <c r="B460" s="103"/>
      <c r="C460" s="16" t="s">
        <v>200</v>
      </c>
      <c r="D460" s="4"/>
      <c r="E460" s="4"/>
      <c r="F460" s="4"/>
      <c r="G460" s="4"/>
      <c r="H460" s="7">
        <f t="shared" si="41"/>
        <v>0</v>
      </c>
      <c r="I460" s="7"/>
      <c r="J460" s="7"/>
      <c r="K460" s="7"/>
      <c r="L460" s="7"/>
      <c r="M460" s="7">
        <f t="shared" si="42"/>
        <v>0</v>
      </c>
      <c r="N460" s="5" t="e">
        <f t="shared" si="43"/>
        <v>#DIV/0!</v>
      </c>
    </row>
    <row r="461" spans="1:14" ht="39.75" customHeight="1">
      <c r="A461" s="61"/>
      <c r="B461" s="104"/>
      <c r="C461" s="16" t="s">
        <v>240</v>
      </c>
      <c r="D461" s="4">
        <v>26800</v>
      </c>
      <c r="E461" s="4"/>
      <c r="F461" s="4"/>
      <c r="G461" s="4"/>
      <c r="H461" s="7">
        <f t="shared" si="41"/>
        <v>26800</v>
      </c>
      <c r="I461" s="7"/>
      <c r="J461" s="7"/>
      <c r="K461" s="7"/>
      <c r="L461" s="7"/>
      <c r="M461" s="7">
        <f t="shared" si="42"/>
        <v>0</v>
      </c>
      <c r="N461" s="5">
        <f t="shared" si="43"/>
        <v>0</v>
      </c>
    </row>
    <row r="462" spans="1:14" ht="10.5" customHeight="1">
      <c r="A462" s="62"/>
      <c r="B462" s="26" t="s">
        <v>229</v>
      </c>
      <c r="C462" s="26"/>
      <c r="D462" s="6">
        <f>SUM(D456:D461)</f>
        <v>316800</v>
      </c>
      <c r="E462" s="6">
        <f>SUM(E456:E461)</f>
        <v>0</v>
      </c>
      <c r="F462" s="6">
        <f>SUM(F456:F461)</f>
        <v>0</v>
      </c>
      <c r="G462" s="6">
        <f>SUM(G456:G461)</f>
        <v>0</v>
      </c>
      <c r="H462" s="6">
        <f t="shared" si="41"/>
        <v>316800</v>
      </c>
      <c r="I462" s="6">
        <f>SUM(I456:I461)</f>
        <v>118607.44</v>
      </c>
      <c r="J462" s="6">
        <f>SUM(J456:J461)</f>
        <v>0</v>
      </c>
      <c r="K462" s="6">
        <f>SUM(K456:K461)</f>
        <v>0</v>
      </c>
      <c r="L462" s="6">
        <f>SUM(L456:L461)</f>
        <v>0</v>
      </c>
      <c r="M462" s="6">
        <f t="shared" si="42"/>
        <v>118607.44</v>
      </c>
      <c r="N462" s="25">
        <f t="shared" si="43"/>
        <v>0.3743921717171717</v>
      </c>
    </row>
    <row r="463" spans="1:14" ht="10.5" customHeight="1">
      <c r="A463" s="23" t="s">
        <v>60</v>
      </c>
      <c r="B463" s="51"/>
      <c r="C463" s="38"/>
      <c r="D463" s="22">
        <f>SUM(D462,D455)</f>
        <v>8316800</v>
      </c>
      <c r="E463" s="22">
        <f>SUM(E462,E455)</f>
        <v>0</v>
      </c>
      <c r="F463" s="22">
        <f>SUM(F462,F455)</f>
        <v>0</v>
      </c>
      <c r="G463" s="22">
        <f>SUM(G462,G455)</f>
        <v>0</v>
      </c>
      <c r="H463" s="22">
        <f t="shared" si="41"/>
        <v>8316800</v>
      </c>
      <c r="I463" s="22">
        <f>SUM(I455,I462)</f>
        <v>121937.89</v>
      </c>
      <c r="J463" s="22">
        <f>SUM(J455,J462)</f>
        <v>0</v>
      </c>
      <c r="K463" s="22">
        <f>SUM(K455,K462)</f>
        <v>0</v>
      </c>
      <c r="L463" s="22">
        <f>SUM(L455,L462)</f>
        <v>0</v>
      </c>
      <c r="M463" s="22">
        <f>SUM(M455,M462)</f>
        <v>121937.89</v>
      </c>
      <c r="N463" s="27">
        <f t="shared" si="43"/>
        <v>0.014661635484801847</v>
      </c>
    </row>
    <row r="464" spans="1:14" ht="10.5" customHeight="1">
      <c r="A464" s="86" t="s">
        <v>7</v>
      </c>
      <c r="B464" s="39"/>
      <c r="C464" s="40"/>
      <c r="D464" s="12">
        <f aca="true" t="shared" si="44" ref="D464:L464">SUM(D33,D37,D58,D87,D110,D117,D126,D165,D182,D262,D285,D344,D364,D419,D438,D451,D463)</f>
        <v>522748916</v>
      </c>
      <c r="E464" s="12">
        <f t="shared" si="44"/>
        <v>207381884</v>
      </c>
      <c r="F464" s="12">
        <f t="shared" si="44"/>
        <v>45128813</v>
      </c>
      <c r="G464" s="12">
        <f t="shared" si="44"/>
        <v>15826278</v>
      </c>
      <c r="H464" s="12">
        <f t="shared" si="44"/>
        <v>791085891</v>
      </c>
      <c r="I464" s="12">
        <f t="shared" si="44"/>
        <v>276603559.03000003</v>
      </c>
      <c r="J464" s="12">
        <f t="shared" si="44"/>
        <v>73101743.32000001</v>
      </c>
      <c r="K464" s="12">
        <f t="shared" si="44"/>
        <v>20920914</v>
      </c>
      <c r="L464" s="12">
        <f t="shared" si="44"/>
        <v>10626767</v>
      </c>
      <c r="M464" s="12">
        <f>SUM(I464:L464)</f>
        <v>381252983.35</v>
      </c>
      <c r="N464" s="5">
        <f t="shared" si="43"/>
        <v>0.48193626973685977</v>
      </c>
    </row>
    <row r="465" ht="8.25" customHeight="1">
      <c r="D465" s="29"/>
    </row>
    <row r="466" spans="1:14" s="53" customFormat="1" ht="19.5" customHeight="1" hidden="1">
      <c r="A466" s="73"/>
      <c r="B466" s="73"/>
      <c r="C466" s="87" t="s">
        <v>233</v>
      </c>
      <c r="D466" s="88" t="s">
        <v>264</v>
      </c>
      <c r="E466" s="88" t="s">
        <v>234</v>
      </c>
      <c r="F466" s="88" t="s">
        <v>235</v>
      </c>
      <c r="G466" s="74"/>
      <c r="H466" s="74"/>
      <c r="I466" s="74"/>
      <c r="J466" s="74"/>
      <c r="K466" s="74"/>
      <c r="L466" s="74"/>
      <c r="M466" s="74"/>
      <c r="N466" s="74"/>
    </row>
    <row r="467" spans="1:14" s="53" customFormat="1" ht="12.75" hidden="1">
      <c r="A467" s="73"/>
      <c r="B467" s="73"/>
      <c r="C467" s="89" t="s">
        <v>236</v>
      </c>
      <c r="D467" s="12">
        <f>SUM(D468:D470)</f>
        <v>180309336</v>
      </c>
      <c r="E467" s="12">
        <f>SUM(E468:E470)</f>
        <v>45309336</v>
      </c>
      <c r="F467" s="90">
        <f>E467/D467*100</f>
        <v>25.128668878243776</v>
      </c>
      <c r="G467" s="74"/>
      <c r="H467" s="74"/>
      <c r="I467" s="74"/>
      <c r="J467" s="74"/>
      <c r="K467" s="74"/>
      <c r="L467" s="74"/>
      <c r="M467" s="67"/>
      <c r="N467" s="74"/>
    </row>
    <row r="468" spans="1:14" s="53" customFormat="1" ht="10.5" customHeight="1" hidden="1">
      <c r="A468" s="73"/>
      <c r="B468" s="73"/>
      <c r="C468" s="91" t="s">
        <v>237</v>
      </c>
      <c r="D468" s="92">
        <v>45309336</v>
      </c>
      <c r="E468" s="92">
        <v>45309336</v>
      </c>
      <c r="F468" s="90">
        <f>E468/D468*100</f>
        <v>100</v>
      </c>
      <c r="G468" s="74"/>
      <c r="H468" s="74"/>
      <c r="I468" s="74"/>
      <c r="J468" s="74"/>
      <c r="K468" s="74"/>
      <c r="L468" s="74"/>
      <c r="M468" s="74"/>
      <c r="N468" s="74"/>
    </row>
    <row r="469" spans="1:14" s="53" customFormat="1" ht="9.75" customHeight="1" hidden="1">
      <c r="A469" s="73"/>
      <c r="B469" s="73"/>
      <c r="C469" s="91" t="s">
        <v>238</v>
      </c>
      <c r="D469" s="92">
        <v>90000000</v>
      </c>
      <c r="E469" s="92"/>
      <c r="F469" s="90">
        <f>E469/D469*100</f>
        <v>0</v>
      </c>
      <c r="G469" s="74"/>
      <c r="H469" s="74"/>
      <c r="I469" s="74"/>
      <c r="J469" s="74"/>
      <c r="K469" s="74"/>
      <c r="L469" s="74"/>
      <c r="M469" s="74"/>
      <c r="N469" s="74"/>
    </row>
    <row r="470" spans="1:14" s="53" customFormat="1" ht="11.25" hidden="1">
      <c r="A470" s="73"/>
      <c r="B470" s="73"/>
      <c r="C470" s="91" t="s">
        <v>306</v>
      </c>
      <c r="D470" s="92">
        <v>45000000</v>
      </c>
      <c r="E470" s="92"/>
      <c r="F470" s="90">
        <f>E470/D470*100</f>
        <v>0</v>
      </c>
      <c r="G470" s="74"/>
      <c r="H470" s="74"/>
      <c r="I470" s="74"/>
      <c r="J470" s="74"/>
      <c r="K470" s="74"/>
      <c r="L470" s="74"/>
      <c r="M470" s="74"/>
      <c r="N470" s="74"/>
    </row>
    <row r="471" spans="1:14" s="53" customFormat="1" ht="12" customHeight="1" hidden="1">
      <c r="A471" s="73"/>
      <c r="B471" s="73"/>
      <c r="C471" s="89" t="s">
        <v>239</v>
      </c>
      <c r="D471" s="12">
        <f>SUM(H464,D467)</f>
        <v>971395227</v>
      </c>
      <c r="E471" s="12">
        <f>SUM(E467,M464)</f>
        <v>426562319.35</v>
      </c>
      <c r="F471" s="90">
        <f>E471/D471*100</f>
        <v>43.912334289243944</v>
      </c>
      <c r="G471" s="74"/>
      <c r="H471" s="74"/>
      <c r="I471" s="74"/>
      <c r="J471" s="74"/>
      <c r="K471" s="74"/>
      <c r="L471" s="74"/>
      <c r="M471" s="74"/>
      <c r="N471" s="74"/>
    </row>
    <row r="472" ht="15">
      <c r="H472" s="94"/>
    </row>
  </sheetData>
  <mergeCells count="85">
    <mergeCell ref="A452:A457"/>
    <mergeCell ref="B452:B453"/>
    <mergeCell ref="B248:B249"/>
    <mergeCell ref="A371:A373"/>
    <mergeCell ref="A263:A266"/>
    <mergeCell ref="A388:A396"/>
    <mergeCell ref="B345:B346"/>
    <mergeCell ref="B457:B461"/>
    <mergeCell ref="B382:B386"/>
    <mergeCell ref="B379:B380"/>
    <mergeCell ref="B195:B198"/>
    <mergeCell ref="B127:B128"/>
    <mergeCell ref="A59:A62"/>
    <mergeCell ref="B282:B283"/>
    <mergeCell ref="B241:B242"/>
    <mergeCell ref="B170:C170"/>
    <mergeCell ref="B162:B163"/>
    <mergeCell ref="A111:A113"/>
    <mergeCell ref="B168:B169"/>
    <mergeCell ref="A118:A125"/>
    <mergeCell ref="B118:B121"/>
    <mergeCell ref="B112:C112"/>
    <mergeCell ref="A127:A139"/>
    <mergeCell ref="B421:C421"/>
    <mergeCell ref="B354:B357"/>
    <mergeCell ref="B406:B409"/>
    <mergeCell ref="B413:B414"/>
    <mergeCell ref="B370:C370"/>
    <mergeCell ref="B388:B395"/>
    <mergeCell ref="B397:B401"/>
    <mergeCell ref="A38:A41"/>
    <mergeCell ref="A1:N1"/>
    <mergeCell ref="D2:H2"/>
    <mergeCell ref="I2:M2"/>
    <mergeCell ref="A4:A7"/>
    <mergeCell ref="B4:B9"/>
    <mergeCell ref="A2:A3"/>
    <mergeCell ref="B2:B3"/>
    <mergeCell ref="A37:B37"/>
    <mergeCell ref="N2:N3"/>
    <mergeCell ref="B266:B267"/>
    <mergeCell ref="B296:B300"/>
    <mergeCell ref="B302:B305"/>
    <mergeCell ref="C2:C3"/>
    <mergeCell ref="B40:B41"/>
    <mergeCell ref="B263:B264"/>
    <mergeCell ref="B171:B173"/>
    <mergeCell ref="B123:B124"/>
    <mergeCell ref="B130:B136"/>
    <mergeCell ref="B159:B160"/>
    <mergeCell ref="B25:B30"/>
    <mergeCell ref="B39:C39"/>
    <mergeCell ref="B105:B108"/>
    <mergeCell ref="B92:B94"/>
    <mergeCell ref="B71:B73"/>
    <mergeCell ref="B59:B60"/>
    <mergeCell ref="B66:B69"/>
    <mergeCell ref="B75:B82"/>
    <mergeCell ref="B53:B55"/>
    <mergeCell ref="B432:B433"/>
    <mergeCell ref="B11:B16"/>
    <mergeCell ref="B179:B180"/>
    <mergeCell ref="B278:B279"/>
    <mergeCell ref="B210:B216"/>
    <mergeCell ref="B200:B208"/>
    <mergeCell ref="B218:B225"/>
    <mergeCell ref="B138:B150"/>
    <mergeCell ref="B152:B157"/>
    <mergeCell ref="B323:B324"/>
    <mergeCell ref="B326:B328"/>
    <mergeCell ref="A286:A292"/>
    <mergeCell ref="B286:B293"/>
    <mergeCell ref="B319:B321"/>
    <mergeCell ref="B311:B315"/>
    <mergeCell ref="B308:B309"/>
    <mergeCell ref="B332:B336"/>
    <mergeCell ref="B339:B340"/>
    <mergeCell ref="A439:A450"/>
    <mergeCell ref="A420:A424"/>
    <mergeCell ref="A345:A363"/>
    <mergeCell ref="B363:C363"/>
    <mergeCell ref="B365:B369"/>
    <mergeCell ref="B371:B376"/>
    <mergeCell ref="B351:B352"/>
    <mergeCell ref="B348:B349"/>
  </mergeCells>
  <printOptions/>
  <pageMargins left="0.2362204724409449" right="0.17" top="0.45" bottom="0.34" header="0.3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Radkiewicz</dc:creator>
  <cp:keywords/>
  <dc:description/>
  <cp:lastModifiedBy>Anna Zakrzewska</cp:lastModifiedBy>
  <cp:lastPrinted>2006-08-17T08:12:48Z</cp:lastPrinted>
  <dcterms:created xsi:type="dcterms:W3CDTF">2001-04-03T07:57:11Z</dcterms:created>
  <dcterms:modified xsi:type="dcterms:W3CDTF">2006-08-30T09:21:24Z</dcterms:modified>
  <cp:category/>
  <cp:version/>
  <cp:contentType/>
  <cp:contentStatus/>
</cp:coreProperties>
</file>