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1670" windowHeight="6150" activeTab="0"/>
  </bookViews>
  <sheets>
    <sheet name="źródła" sheetId="1" r:id="rId1"/>
  </sheets>
  <definedNames>
    <definedName name="_xlnm.Print_Titles" localSheetId="0">'źródła'!$2:$5</definedName>
  </definedNames>
  <calcPr fullCalcOnLoad="1" fullPrecision="0"/>
</workbook>
</file>

<file path=xl/sharedStrings.xml><?xml version="1.0" encoding="utf-8"?>
<sst xmlns="http://schemas.openxmlformats.org/spreadsheetml/2006/main" count="148" uniqueCount="139">
  <si>
    <t>Lp.</t>
  </si>
  <si>
    <t>Treść</t>
  </si>
  <si>
    <t>DOCHODY OGÓŁEM</t>
  </si>
  <si>
    <t>Podatki i opłaty pobierane przez gminę</t>
  </si>
  <si>
    <t xml:space="preserve">podatek od nieruchomości </t>
  </si>
  <si>
    <t xml:space="preserve">podatek od środków transportowych </t>
  </si>
  <si>
    <t>opłata skarbowa</t>
  </si>
  <si>
    <t>opłaty lokalne</t>
  </si>
  <si>
    <t>pozostałe</t>
  </si>
  <si>
    <t>podatek rolny</t>
  </si>
  <si>
    <t xml:space="preserve">podatek leśny </t>
  </si>
  <si>
    <t>zaległości z podatków zniesionych</t>
  </si>
  <si>
    <t xml:space="preserve">opłata administracyjna </t>
  </si>
  <si>
    <t>podatek od posiadania psów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</si>
  <si>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</si>
  <si>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</si>
  <si>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</si>
  <si>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</si>
  <si>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</si>
  <si>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 xml:space="preserve">Dochody z majątku </t>
  </si>
  <si>
    <t>wpływy ze sprzedaży mienia komunalnego</t>
  </si>
  <si>
    <t>dochody z dzierżawy</t>
  </si>
  <si>
    <t>wpływy z lokali użytkowych</t>
  </si>
  <si>
    <t>użytkowanie wieczyste</t>
  </si>
  <si>
    <t xml:space="preserve">sprzedaż składników majątkowych </t>
  </si>
  <si>
    <t>dochody z najmu i dzierżawy skł. majątkowych gminy oddanych w użytkowanie jednostkom i zakł. budżetowym</t>
  </si>
  <si>
    <t>dochody z najmu lokali mieszkalnych i pomieszczeń w szkołach i placówkach oświatowych</t>
  </si>
  <si>
    <t>inne (odsetki od nieterminowych opłat za najem i dzierżawę skł. majątkowych gminy)</t>
  </si>
  <si>
    <t>opłaty administracyjne za miejsca na cmentarzach</t>
  </si>
  <si>
    <t>wpływy z opłat rodziców za pobyt dzieci w żłobku</t>
  </si>
  <si>
    <t>wpływy z usług opiekuńczych i opłaty za pobyt w ośrodkach wsparcia</t>
  </si>
  <si>
    <t xml:space="preserve">wpływy z opłat za pobyt w domu opieki społecznej </t>
  </si>
  <si>
    <t>dochody z tyt. ustawy o przeciwdziałaniu alkoholizmowi</t>
  </si>
  <si>
    <t>opłaty za wpis do rejestru działalności gospodarczej, dochody z tyt.opłat za reklamy, mat. przetargowe itp.</t>
  </si>
  <si>
    <t xml:space="preserve">5% dochodów uzysk. na rzecz budżetu państwa w związku z real. zad. zleconych </t>
  </si>
  <si>
    <t>opłaty za licencje, zaświadczenia, zezwolenia, wypisy związane z wykonywaniem transportu drogowego</t>
  </si>
  <si>
    <t>opłaty za tablice rejestracyjne, prawa jazdy, świadectwa kwal.itp.</t>
  </si>
  <si>
    <t xml:space="preserve">opłaty za egzaminy w zakresie wykonywania taksówką usług transportu drogowego </t>
  </si>
  <si>
    <t>opłaty za usuwanie pojazdów z pasa drogowego</t>
  </si>
  <si>
    <t>odsetki od środków na rachunkach bankowych</t>
  </si>
  <si>
    <t>wpływy z opłat za korzystanie z lodowiska</t>
  </si>
  <si>
    <t>pozostałe dochody</t>
  </si>
  <si>
    <t>grzywny i kary - Straż Miejska</t>
  </si>
  <si>
    <t>wpływy z opłat za pobyt dzieci w placówkach opiekuńczo - wychowawczych</t>
  </si>
  <si>
    <t>zwrot kosztów wyceny i kosztów postępowania sądowego</t>
  </si>
  <si>
    <t>otrzymane darowizny</t>
  </si>
  <si>
    <t>różne dochody jednostek organizacyjnych miasta</t>
  </si>
  <si>
    <t xml:space="preserve">zadania oświatowe </t>
  </si>
  <si>
    <t>Pomorski Inkubator Przedsiębiorczości</t>
  </si>
  <si>
    <t>Zespół ds. Orzekania o Stopniu Niepełnosprawności</t>
  </si>
  <si>
    <t>Miejski Rzecznik Konsumentów</t>
  </si>
  <si>
    <t>obsługa mieszkańców Sopotu przez Powiatowy Urząd Pracy w Gdyni</t>
  </si>
  <si>
    <t>z WFOŚ na projekt "Urząd przyjazny środowisku"</t>
  </si>
  <si>
    <t xml:space="preserve">środki z PEFRON-u - rekompensata utraconych dochodów </t>
  </si>
  <si>
    <t>z WFOŚ na wyposażenie laboratoriów badawczych w Pomorskim Parku Naukowo - Technologicznym</t>
  </si>
  <si>
    <t>schronisko dla zwierząt</t>
  </si>
  <si>
    <t>środki na rozbudowę ul. J.Wiśniewskiego (porozumienie z Zarządem Morskiego Portu Gdynia S.A.)</t>
  </si>
  <si>
    <t xml:space="preserve"> lokalne inicjatywy inwestycyjne</t>
  </si>
  <si>
    <t>środki pochodzące z budżetu UE</t>
  </si>
  <si>
    <t>projekty współfinansowane środkami z UE</t>
  </si>
  <si>
    <t>Udziały we wpływach z podatków dochodowych</t>
  </si>
  <si>
    <t xml:space="preserve">udziały w podatku dochodowym od osób fizycznych </t>
  </si>
  <si>
    <t xml:space="preserve"> udziały w podatku dochodowym od osób prawnych</t>
  </si>
  <si>
    <t>II.  SUBWENCJA OGÓLNA, w tym:</t>
  </si>
  <si>
    <t>część oświatowa</t>
  </si>
  <si>
    <t xml:space="preserve">część rekompensująca </t>
  </si>
  <si>
    <t>część równoważąca</t>
  </si>
  <si>
    <t>III.  DOTACJE CELOWE Z BUDŻETU PAŃSTWA</t>
  </si>
  <si>
    <t>Inspektorat Nadzoru Budowlanego</t>
  </si>
  <si>
    <t>Inspektorat Nadzoru Budowlanego - zakupy inwestycyjne</t>
  </si>
  <si>
    <t>Komenda Powiatowa Państwowej Straży Pożarnej (na zadania bieżące)</t>
  </si>
  <si>
    <t>Komenda Powiatowa Państwowej Straży Pożarnej (na inwestycje)</t>
  </si>
  <si>
    <t>oświetlenie ulic</t>
  </si>
  <si>
    <t>gmina</t>
  </si>
  <si>
    <t xml:space="preserve"> ośrodki wsparcia</t>
  </si>
  <si>
    <t xml:space="preserve"> składki na ubezp. zdrowotne</t>
  </si>
  <si>
    <t xml:space="preserve"> zasiłki i pomoc w naturze</t>
  </si>
  <si>
    <t>powiat</t>
  </si>
  <si>
    <t>świadczenia rodzinne</t>
  </si>
  <si>
    <t>świadczenia rodzinne (zakupy inwestycyjne)</t>
  </si>
  <si>
    <t>zasiłki rodzinne, pielęgn.i wychow.</t>
  </si>
  <si>
    <t xml:space="preserve"> ośrodki pomocy społecznej</t>
  </si>
  <si>
    <t xml:space="preserve"> usługi opiekuńcze</t>
  </si>
  <si>
    <t>pomoc dla repatriantów</t>
  </si>
  <si>
    <t>zespół ds. orzekania o stopniu niepełnosprawn.</t>
  </si>
  <si>
    <t xml:space="preserve"> wyprawki szkolne</t>
  </si>
  <si>
    <t xml:space="preserve">składki na ubezpieczenia zdrowotne </t>
  </si>
  <si>
    <t>administracja państwowa</t>
  </si>
  <si>
    <t>wybory do Parlamentu Europejskiego</t>
  </si>
  <si>
    <t>rejestr wyborców, wybory</t>
  </si>
  <si>
    <t xml:space="preserve">prace geodezyjne i kartograficzne </t>
  </si>
  <si>
    <t>opracowania geodezyjne i kartograficzne</t>
  </si>
  <si>
    <t>gospodarka gruntami i nieruchomościami</t>
  </si>
  <si>
    <t>komisje poborowe</t>
  </si>
  <si>
    <t>organizacja uroczystości związanych z przystąpieniem Polski do UE</t>
  </si>
  <si>
    <t>utrzymanie grobów wojennych</t>
  </si>
  <si>
    <t>pomoc materialna dla uczniów</t>
  </si>
  <si>
    <t>uczniowskie praktyki zawodowe</t>
  </si>
  <si>
    <t>komisje kwalifikacyjne i egzaminacyjne</t>
  </si>
  <si>
    <t>zadania z zakresu opieki społecznej:</t>
  </si>
  <si>
    <t>dożywianie uczniów</t>
  </si>
  <si>
    <t>DPS Legionów</t>
  </si>
  <si>
    <t>opieka w domach o zasięgu ponadgminnym</t>
  </si>
  <si>
    <t xml:space="preserve">rodziny zastępcze </t>
  </si>
  <si>
    <t>placówki opiekuńczo - wychowawcze</t>
  </si>
  <si>
    <t>PRZYCHODY, w tym:</t>
  </si>
  <si>
    <t>wolne środki</t>
  </si>
  <si>
    <t>pożyczka z WFOŚ</t>
  </si>
  <si>
    <t xml:space="preserve">kredyt </t>
  </si>
  <si>
    <t xml:space="preserve">RAZEM DOCHODY I PRZYCHODY </t>
  </si>
  <si>
    <r>
      <t xml:space="preserve">opieka społeczna, </t>
    </r>
    <r>
      <rPr>
        <i/>
        <sz val="8"/>
        <rFont val="Arial CE"/>
        <family val="2"/>
      </rPr>
      <t>w tym:</t>
    </r>
  </si>
  <si>
    <t>Przewidywane wykonanie 2004r.</t>
  </si>
  <si>
    <t>odsetki od należności podatkowych pobieranych przez US</t>
  </si>
  <si>
    <t>środki z PEFRON-u - rekompensata utraconych dochodów z tytułu zwolnień w podatkach</t>
  </si>
  <si>
    <t>IV</t>
  </si>
  <si>
    <t>funkcjonowanie Centrum Ratownictwa Medycznego</t>
  </si>
  <si>
    <t>zasiłki i pomoc w naturze</t>
  </si>
  <si>
    <t>ośrodki pomocy społecznej</t>
  </si>
  <si>
    <t>25% dochodów z nieruchom.Skarbu Państwa</t>
  </si>
  <si>
    <t>wpływy z usług Gdyńskiego Centrum Innowacji</t>
  </si>
  <si>
    <t>wpływy Zarządu Komunikacji Miejskiej</t>
  </si>
  <si>
    <t>wpłaty przychodni lekarskich na współfinansowanie realizacji inwestycji</t>
  </si>
  <si>
    <t>zadania z zakresu oświaty</t>
  </si>
  <si>
    <t>Inne dochody własne stanowiące dochody jednostek organizacyjnych miasta</t>
  </si>
  <si>
    <t>Dotacje i inne środki zewnętrzne na dofinansowanie zadań własnych</t>
  </si>
  <si>
    <t>NA ZADANIA REALIZOWANE NA MOCY POROZUMIEŃ Z ORGANAMI ADMINISTRACJI RZĄDOWEJ</t>
  </si>
  <si>
    <t>NA FINANSOWANIE LUB DOFINANSOWANIE ZADAŃ WŁASNYCH</t>
  </si>
  <si>
    <t>NA ZADANIA ZLECONE</t>
  </si>
  <si>
    <t>razem</t>
  </si>
  <si>
    <t xml:space="preserve">uzupełnienie subwencji ogólnej </t>
  </si>
  <si>
    <t>zadania z zakresu kultury</t>
  </si>
  <si>
    <t>Plan na 2004 rok                                                    (wg stanu na 22-12-2004r.)</t>
  </si>
  <si>
    <t>środki na dofinansowanie projektów: Tellus, ABC Alians Miast Bałtyckich, Otwarta platforma usług Urzędu udostępnianych drogą telefonii komórkowej, Fundusz stypendialny dla uczniów gdyńskich szkół ponadgimnazjalnych</t>
  </si>
  <si>
    <t>środki na współfinansowanie budowy hali widowiskowo - sportowej</t>
  </si>
  <si>
    <t>program "Posiłek dla potrzebujących"</t>
  </si>
  <si>
    <t>I.  DOCHODY WŁASNE, w tym:</t>
  </si>
  <si>
    <t xml:space="preserve">Plan dochodów budżetu miasta Gdyni na 2005 roku wg źródeł                                </t>
  </si>
  <si>
    <t>Plan na 2005r.</t>
  </si>
  <si>
    <t>dynamika (kol. 8:5)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</si>
</sst>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  <numFmt numFmtId="167" formatCode="yy\-mm\-dd"/>
    <numFmt numFmtId="168" formatCode="dd\-mmm\-yy"/>
    <numFmt numFmtId="169" formatCode="dd\-mmm"/>
    <numFmt numFmtId="170" formatCode="mmm\-yy"/>
    <numFmt numFmtId="171" formatCode="yy\-mm\-dd\ hh:mm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sz val="8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8"/>
      <name val="MS Sans Serif"/>
      <family val="2"/>
    </font>
    <font>
      <i/>
      <sz val="8"/>
      <name val="MS Sans Serif"/>
      <family val="2"/>
    </font>
    <font>
      <b/>
      <sz val="9"/>
      <color indexed="12"/>
      <name val="Arial CE"/>
      <family val="2"/>
    </font>
    <font>
      <b/>
      <sz val="8"/>
      <color indexed="12"/>
      <name val="Arial CE"/>
      <family val="2"/>
    </font>
    <font>
      <b/>
      <sz val="7"/>
      <color indexed="12"/>
      <name val="Arial CE"/>
      <family val="2"/>
    </font>
    <font>
      <b/>
      <sz val="10"/>
      <color indexed="12"/>
      <name val="Arial CE"/>
      <family val="2"/>
    </font>
    <font>
      <sz val="8"/>
      <color indexed="12"/>
      <name val="Arial CE"/>
      <family val="2"/>
    </font>
    <font>
      <i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b/>
      <i/>
      <sz val="7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1"/>
      <color indexed="12"/>
      <name val="Arial CE"/>
      <family val="2"/>
    </font>
    <font>
      <b/>
      <sz val="12"/>
      <color indexed="12"/>
      <name val="Arial CE"/>
      <family val="2"/>
    </font>
    <font>
      <b/>
      <i/>
      <sz val="12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62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4" fontId="5" fillId="0" borderId="0" xfId="19" applyNumberFormat="1" applyFont="1" applyFill="1" applyAlignment="1">
      <alignment vertical="center"/>
      <protection/>
    </xf>
    <xf numFmtId="4" fontId="6" fillId="0" borderId="0" xfId="19" applyNumberFormat="1" applyFont="1" applyFill="1" applyAlignment="1">
      <alignment vertical="center"/>
      <protection/>
    </xf>
    <xf numFmtId="1" fontId="7" fillId="0" borderId="0" xfId="19" applyNumberFormat="1" applyFont="1" applyFill="1">
      <alignment/>
      <protection/>
    </xf>
    <xf numFmtId="1" fontId="10" fillId="0" borderId="0" xfId="19" applyNumberFormat="1" applyFont="1" applyFill="1">
      <alignment/>
      <protection/>
    </xf>
    <xf numFmtId="0" fontId="6" fillId="0" borderId="0" xfId="18" applyFont="1" applyFill="1">
      <alignment/>
      <protection/>
    </xf>
    <xf numFmtId="0" fontId="13" fillId="0" borderId="0" xfId="18" applyFont="1" applyFill="1">
      <alignment/>
      <protection/>
    </xf>
    <xf numFmtId="0" fontId="13" fillId="0" borderId="0" xfId="18" applyFont="1" applyFill="1" applyAlignment="1">
      <alignment vertical="center"/>
      <protection/>
    </xf>
    <xf numFmtId="4" fontId="13" fillId="0" borderId="0" xfId="19" applyNumberFormat="1" applyFont="1" applyFill="1">
      <alignment/>
      <protection/>
    </xf>
    <xf numFmtId="4" fontId="15" fillId="0" borderId="0" xfId="19" applyNumberFormat="1" applyFont="1" applyFill="1" applyAlignment="1">
      <alignment vertical="center"/>
      <protection/>
    </xf>
    <xf numFmtId="4" fontId="6" fillId="0" borderId="0" xfId="19" applyNumberFormat="1" applyFont="1" applyFill="1">
      <alignment/>
      <protection/>
    </xf>
    <xf numFmtId="4" fontId="15" fillId="0" borderId="0" xfId="19" applyNumberFormat="1" applyFont="1" applyFill="1">
      <alignment/>
      <protection/>
    </xf>
    <xf numFmtId="4" fontId="6" fillId="0" borderId="0" xfId="19" applyNumberFormat="1" applyFont="1" applyFill="1" applyBorder="1">
      <alignment/>
      <protection/>
    </xf>
    <xf numFmtId="4" fontId="23" fillId="0" borderId="0" xfId="19" applyNumberFormat="1" applyFont="1" applyFill="1" applyAlignment="1">
      <alignment vertical="center"/>
      <protection/>
    </xf>
    <xf numFmtId="4" fontId="12" fillId="0" borderId="0" xfId="19" applyNumberFormat="1" applyFont="1" applyFill="1" applyAlignment="1">
      <alignment vertical="center"/>
      <protection/>
    </xf>
    <xf numFmtId="3" fontId="12" fillId="0" borderId="0" xfId="19" applyNumberFormat="1" applyFont="1" applyFill="1" applyAlignment="1">
      <alignment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3" fontId="6" fillId="0" borderId="2" xfId="18" applyNumberFormat="1" applyFont="1" applyFill="1" applyBorder="1" applyAlignment="1">
      <alignment vertical="center"/>
      <protection/>
    </xf>
    <xf numFmtId="3" fontId="13" fillId="2" borderId="2" xfId="18" applyNumberFormat="1" applyFont="1" applyFill="1" applyBorder="1" applyAlignment="1">
      <alignment vertical="center"/>
      <protection/>
    </xf>
    <xf numFmtId="3" fontId="23" fillId="0" borderId="2" xfId="18" applyNumberFormat="1" applyFont="1" applyFill="1" applyBorder="1" applyAlignment="1">
      <alignment vertical="center"/>
      <protection/>
    </xf>
    <xf numFmtId="0" fontId="15" fillId="0" borderId="1" xfId="18" applyFont="1" applyFill="1" applyBorder="1" applyAlignment="1">
      <alignment horizontal="center" vertical="center"/>
      <protection/>
    </xf>
    <xf numFmtId="3" fontId="13" fillId="0" borderId="2" xfId="18" applyNumberFormat="1" applyFont="1" applyFill="1" applyBorder="1" applyAlignment="1">
      <alignment vertical="center"/>
      <protection/>
    </xf>
    <xf numFmtId="3" fontId="24" fillId="0" borderId="2" xfId="18" applyNumberFormat="1" applyFont="1" applyFill="1" applyBorder="1" applyAlignment="1">
      <alignment vertical="center"/>
      <protection/>
    </xf>
    <xf numFmtId="0" fontId="13" fillId="0" borderId="1" xfId="18" applyFont="1" applyFill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1" fontId="6" fillId="0" borderId="1" xfId="19" applyNumberFormat="1" applyFont="1" applyFill="1" applyBorder="1" applyAlignment="1">
      <alignment horizontal="center" vertical="center"/>
      <protection/>
    </xf>
    <xf numFmtId="3" fontId="6" fillId="0" borderId="2" xfId="19" applyNumberFormat="1" applyFont="1" applyFill="1" applyBorder="1" applyAlignment="1">
      <alignment vertical="center"/>
      <protection/>
    </xf>
    <xf numFmtId="3" fontId="23" fillId="0" borderId="2" xfId="19" applyNumberFormat="1" applyFont="1" applyFill="1" applyBorder="1" applyAlignment="1">
      <alignment vertical="center"/>
      <protection/>
    </xf>
    <xf numFmtId="1" fontId="15" fillId="0" borderId="1" xfId="19" applyNumberFormat="1" applyFont="1" applyFill="1" applyBorder="1" applyAlignment="1">
      <alignment horizontal="center" vertical="center"/>
      <protection/>
    </xf>
    <xf numFmtId="1" fontId="12" fillId="0" borderId="1" xfId="19" applyNumberFormat="1" applyFont="1" applyFill="1" applyBorder="1" applyAlignment="1">
      <alignment horizontal="center" vertical="center"/>
      <protection/>
    </xf>
    <xf numFmtId="3" fontId="12" fillId="0" borderId="2" xfId="18" applyNumberFormat="1" applyFont="1" applyFill="1" applyBorder="1" applyAlignment="1">
      <alignment vertical="center"/>
      <protection/>
    </xf>
    <xf numFmtId="3" fontId="27" fillId="2" borderId="2" xfId="18" applyNumberFormat="1" applyFont="1" applyFill="1" applyBorder="1" applyAlignment="1">
      <alignment vertical="center"/>
      <protection/>
    </xf>
    <xf numFmtId="3" fontId="22" fillId="0" borderId="2" xfId="18" applyNumberFormat="1" applyFont="1" applyFill="1" applyBorder="1" applyAlignment="1">
      <alignment vertical="center"/>
      <protection/>
    </xf>
    <xf numFmtId="1" fontId="7" fillId="0" borderId="1" xfId="19" applyNumberFormat="1" applyFont="1" applyFill="1" applyBorder="1" applyAlignment="1">
      <alignment horizontal="center" vertical="center"/>
      <protection/>
    </xf>
    <xf numFmtId="3" fontId="13" fillId="2" borderId="2" xfId="19" applyNumberFormat="1" applyFont="1" applyFill="1" applyBorder="1" applyAlignment="1">
      <alignment vertical="center"/>
      <protection/>
    </xf>
    <xf numFmtId="3" fontId="13" fillId="2" borderId="3" xfId="18" applyNumberFormat="1" applyFont="1" applyFill="1" applyBorder="1" applyAlignment="1">
      <alignment vertical="center"/>
      <protection/>
    </xf>
    <xf numFmtId="3" fontId="27" fillId="2" borderId="3" xfId="18" applyNumberFormat="1" applyFont="1" applyFill="1" applyBorder="1" applyAlignment="1">
      <alignment vertical="center"/>
      <protection/>
    </xf>
    <xf numFmtId="3" fontId="13" fillId="2" borderId="3" xfId="19" applyNumberFormat="1" applyFont="1" applyFill="1" applyBorder="1" applyAlignment="1">
      <alignment vertical="center"/>
      <protection/>
    </xf>
    <xf numFmtId="3" fontId="12" fillId="0" borderId="4" xfId="19" applyNumberFormat="1" applyFont="1" applyFill="1" applyBorder="1" applyAlignment="1">
      <alignment horizontal="right" vertical="center" wrapText="1"/>
      <protection/>
    </xf>
    <xf numFmtId="3" fontId="8" fillId="0" borderId="4" xfId="19" applyNumberFormat="1" applyFont="1" applyFill="1" applyBorder="1" applyAlignment="1">
      <alignment horizontal="right" vertical="center" wrapText="1"/>
      <protection/>
    </xf>
    <xf numFmtId="3" fontId="7" fillId="0" borderId="4" xfId="19" applyNumberFormat="1" applyFont="1" applyFill="1" applyBorder="1" applyAlignment="1">
      <alignment horizontal="right" vertical="center" wrapText="1"/>
      <protection/>
    </xf>
    <xf numFmtId="3" fontId="15" fillId="0" borderId="4" xfId="19" applyNumberFormat="1" applyFont="1" applyFill="1" applyBorder="1" applyAlignment="1">
      <alignment horizontal="right" vertical="center" wrapText="1"/>
      <protection/>
    </xf>
    <xf numFmtId="3" fontId="27" fillId="2" borderId="5" xfId="19" applyNumberFormat="1" applyFont="1" applyFill="1" applyBorder="1" applyAlignment="1">
      <alignment horizontal="right" vertical="center" wrapText="1"/>
      <protection/>
    </xf>
    <xf numFmtId="3" fontId="16" fillId="2" borderId="5" xfId="19" applyNumberFormat="1" applyFont="1" applyFill="1" applyBorder="1" applyAlignment="1">
      <alignment horizontal="right" vertical="center" wrapText="1"/>
      <protection/>
    </xf>
    <xf numFmtId="3" fontId="15" fillId="2" borderId="5" xfId="19" applyNumberFormat="1" applyFont="1" applyFill="1" applyBorder="1" applyAlignment="1">
      <alignment horizontal="right" vertical="center" wrapText="1"/>
      <protection/>
    </xf>
    <xf numFmtId="165" fontId="6" fillId="0" borderId="6" xfId="19" applyNumberFormat="1" applyFont="1" applyFill="1" applyBorder="1" applyAlignment="1">
      <alignment horizontal="center" vertical="center" wrapText="1"/>
      <protection/>
    </xf>
    <xf numFmtId="165" fontId="12" fillId="0" borderId="6" xfId="19" applyNumberFormat="1" applyFont="1" applyFill="1" applyBorder="1" applyAlignment="1">
      <alignment horizontal="center" vertical="center" wrapText="1"/>
      <protection/>
    </xf>
    <xf numFmtId="3" fontId="19" fillId="0" borderId="4" xfId="19" applyNumberFormat="1" applyFont="1" applyFill="1" applyBorder="1" applyAlignment="1">
      <alignment horizontal="right" vertical="center" wrapText="1"/>
      <protection/>
    </xf>
    <xf numFmtId="3" fontId="23" fillId="0" borderId="7" xfId="18" applyNumberFormat="1" applyFont="1" applyFill="1" applyBorder="1" applyAlignment="1">
      <alignment vertical="center"/>
      <protection/>
    </xf>
    <xf numFmtId="3" fontId="20" fillId="0" borderId="4" xfId="19" applyNumberFormat="1" applyFont="1" applyFill="1" applyBorder="1" applyAlignment="1">
      <alignment horizontal="right" vertical="center" wrapText="1"/>
      <protection/>
    </xf>
    <xf numFmtId="3" fontId="24" fillId="0" borderId="7" xfId="18" applyNumberFormat="1" applyFont="1" applyFill="1" applyBorder="1" applyAlignment="1">
      <alignment vertical="center"/>
      <protection/>
    </xf>
    <xf numFmtId="3" fontId="25" fillId="0" borderId="4" xfId="19" applyNumberFormat="1" applyFont="1" applyFill="1" applyBorder="1" applyAlignment="1">
      <alignment horizontal="right" vertical="center" wrapText="1"/>
      <protection/>
    </xf>
    <xf numFmtId="3" fontId="22" fillId="0" borderId="4" xfId="19" applyNumberFormat="1" applyFont="1" applyFill="1" applyBorder="1" applyAlignment="1">
      <alignment horizontal="right" vertical="center" wrapText="1"/>
      <protection/>
    </xf>
    <xf numFmtId="3" fontId="22" fillId="0" borderId="7" xfId="18" applyNumberFormat="1" applyFont="1" applyFill="1" applyBorder="1" applyAlignment="1">
      <alignment vertical="center"/>
      <protection/>
    </xf>
    <xf numFmtId="3" fontId="23" fillId="0" borderId="7" xfId="19" applyNumberFormat="1" applyFont="1" applyFill="1" applyBorder="1" applyAlignment="1">
      <alignment vertical="center"/>
      <protection/>
    </xf>
    <xf numFmtId="1" fontId="9" fillId="0" borderId="8" xfId="19" applyNumberFormat="1" applyFont="1" applyFill="1" applyBorder="1" applyAlignment="1">
      <alignment horizontal="center" vertical="center" wrapText="1"/>
      <protection/>
    </xf>
    <xf numFmtId="1" fontId="10" fillId="0" borderId="9" xfId="19" applyNumberFormat="1" applyFont="1" applyFill="1" applyBorder="1" applyAlignment="1">
      <alignment horizontal="center" vertical="center" wrapText="1"/>
      <protection/>
    </xf>
    <xf numFmtId="1" fontId="10" fillId="0" borderId="10" xfId="19" applyNumberFormat="1" applyFont="1" applyFill="1" applyBorder="1" applyAlignment="1">
      <alignment horizontal="center" vertical="center" wrapText="1"/>
      <protection/>
    </xf>
    <xf numFmtId="1" fontId="26" fillId="2" borderId="11" xfId="19" applyNumberFormat="1" applyFont="1" applyFill="1" applyBorder="1" applyAlignment="1">
      <alignment horizontal="center" vertical="center" wrapText="1"/>
      <protection/>
    </xf>
    <xf numFmtId="1" fontId="26" fillId="2" borderId="9" xfId="19" applyNumberFormat="1" applyFont="1" applyFill="1" applyBorder="1" applyAlignment="1">
      <alignment horizontal="center" vertical="center" wrapText="1"/>
      <protection/>
    </xf>
    <xf numFmtId="1" fontId="26" fillId="2" borderId="12" xfId="19" applyNumberFormat="1" applyFont="1" applyFill="1" applyBorder="1" applyAlignment="1">
      <alignment horizontal="center" vertical="center" wrapText="1"/>
      <protection/>
    </xf>
    <xf numFmtId="1" fontId="21" fillId="0" borderId="13" xfId="19" applyNumberFormat="1" applyFont="1" applyFill="1" applyBorder="1" applyAlignment="1">
      <alignment horizontal="center" vertical="center" wrapText="1"/>
      <protection/>
    </xf>
    <xf numFmtId="1" fontId="21" fillId="0" borderId="9" xfId="19" applyNumberFormat="1" applyFont="1" applyFill="1" applyBorder="1" applyAlignment="1">
      <alignment horizontal="center" vertical="center" wrapText="1"/>
      <protection/>
    </xf>
    <xf numFmtId="1" fontId="21" fillId="0" borderId="10" xfId="19" applyNumberFormat="1" applyFont="1" applyFill="1" applyBorder="1" applyAlignment="1">
      <alignment horizontal="center" vertical="center" wrapText="1"/>
      <protection/>
    </xf>
    <xf numFmtId="3" fontId="8" fillId="0" borderId="14" xfId="19" applyNumberFormat="1" applyFont="1" applyFill="1" applyBorder="1" applyAlignment="1">
      <alignment horizontal="right" vertical="center" wrapText="1"/>
      <protection/>
    </xf>
    <xf numFmtId="3" fontId="16" fillId="2" borderId="15" xfId="19" applyNumberFormat="1" applyFont="1" applyFill="1" applyBorder="1" applyAlignment="1">
      <alignment horizontal="right" vertical="center" wrapText="1"/>
      <protection/>
    </xf>
    <xf numFmtId="3" fontId="19" fillId="0" borderId="14" xfId="19" applyNumberFormat="1" applyFont="1" applyFill="1" applyBorder="1" applyAlignment="1">
      <alignment horizontal="right" vertical="center" wrapText="1"/>
      <protection/>
    </xf>
    <xf numFmtId="0" fontId="7" fillId="0" borderId="16" xfId="18" applyFont="1" applyFill="1" applyBorder="1" applyAlignment="1">
      <alignment horizontal="center" vertical="center"/>
      <protection/>
    </xf>
    <xf numFmtId="3" fontId="6" fillId="0" borderId="17" xfId="18" applyNumberFormat="1" applyFont="1" applyFill="1" applyBorder="1" applyAlignment="1">
      <alignment vertical="center"/>
      <protection/>
    </xf>
    <xf numFmtId="3" fontId="7" fillId="0" borderId="14" xfId="19" applyNumberFormat="1" applyFont="1" applyFill="1" applyBorder="1" applyAlignment="1">
      <alignment horizontal="right" vertical="center" wrapText="1"/>
      <protection/>
    </xf>
    <xf numFmtId="3" fontId="13" fillId="2" borderId="18" xfId="18" applyNumberFormat="1" applyFont="1" applyFill="1" applyBorder="1" applyAlignment="1">
      <alignment vertical="center"/>
      <protection/>
    </xf>
    <xf numFmtId="3" fontId="13" fillId="2" borderId="17" xfId="18" applyNumberFormat="1" applyFont="1" applyFill="1" applyBorder="1" applyAlignment="1">
      <alignment vertical="center"/>
      <protection/>
    </xf>
    <xf numFmtId="3" fontId="15" fillId="2" borderId="15" xfId="19" applyNumberFormat="1" applyFont="1" applyFill="1" applyBorder="1" applyAlignment="1">
      <alignment horizontal="right" vertical="center" wrapText="1"/>
      <protection/>
    </xf>
    <xf numFmtId="3" fontId="23" fillId="0" borderId="19" xfId="18" applyNumberFormat="1" applyFont="1" applyFill="1" applyBorder="1" applyAlignment="1">
      <alignment vertical="center"/>
      <protection/>
    </xf>
    <xf numFmtId="3" fontId="23" fillId="0" borderId="17" xfId="18" applyNumberFormat="1" applyFont="1" applyFill="1" applyBorder="1" applyAlignment="1">
      <alignment vertical="center"/>
      <protection/>
    </xf>
    <xf numFmtId="3" fontId="20" fillId="0" borderId="14" xfId="19" applyNumberFormat="1" applyFont="1" applyFill="1" applyBorder="1" applyAlignment="1">
      <alignment horizontal="right" vertical="center" wrapText="1"/>
      <protection/>
    </xf>
    <xf numFmtId="165" fontId="6" fillId="0" borderId="20" xfId="19" applyNumberFormat="1" applyFont="1" applyFill="1" applyBorder="1" applyAlignment="1">
      <alignment horizontal="center" vertical="center" wrapText="1"/>
      <protection/>
    </xf>
    <xf numFmtId="3" fontId="13" fillId="0" borderId="9" xfId="18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horizontal="right" vertical="center" wrapText="1"/>
      <protection/>
    </xf>
    <xf numFmtId="3" fontId="13" fillId="2" borderId="11" xfId="18" applyNumberFormat="1" applyFont="1" applyFill="1" applyBorder="1" applyAlignment="1">
      <alignment vertical="center"/>
      <protection/>
    </xf>
    <xf numFmtId="3" fontId="13" fillId="2" borderId="9" xfId="18" applyNumberFormat="1" applyFont="1" applyFill="1" applyBorder="1" applyAlignment="1">
      <alignment vertical="center"/>
      <protection/>
    </xf>
    <xf numFmtId="3" fontId="15" fillId="2" borderId="12" xfId="19" applyNumberFormat="1" applyFont="1" applyFill="1" applyBorder="1" applyAlignment="1">
      <alignment horizontal="right" vertical="center" wrapText="1"/>
      <protection/>
    </xf>
    <xf numFmtId="3" fontId="24" fillId="0" borderId="13" xfId="18" applyNumberFormat="1" applyFont="1" applyFill="1" applyBorder="1" applyAlignment="1">
      <alignment vertical="center"/>
      <protection/>
    </xf>
    <xf numFmtId="3" fontId="24" fillId="0" borderId="9" xfId="18" applyNumberFormat="1" applyFont="1" applyFill="1" applyBorder="1" applyAlignment="1">
      <alignment vertical="center"/>
      <protection/>
    </xf>
    <xf numFmtId="3" fontId="25" fillId="0" borderId="10" xfId="19" applyNumberFormat="1" applyFont="1" applyFill="1" applyBorder="1" applyAlignment="1">
      <alignment horizontal="right" vertical="center" wrapText="1"/>
      <protection/>
    </xf>
    <xf numFmtId="165" fontId="6" fillId="0" borderId="21" xfId="19" applyNumberFormat="1" applyFont="1" applyFill="1" applyBorder="1" applyAlignment="1">
      <alignment horizontal="center" vertical="center" wrapText="1"/>
      <protection/>
    </xf>
    <xf numFmtId="0" fontId="7" fillId="0" borderId="8" xfId="18" applyFont="1" applyFill="1" applyBorder="1" applyAlignment="1">
      <alignment horizontal="center" vertical="center"/>
      <protection/>
    </xf>
    <xf numFmtId="3" fontId="6" fillId="0" borderId="9" xfId="18" applyNumberFormat="1" applyFont="1" applyFill="1" applyBorder="1" applyAlignment="1">
      <alignment vertical="center"/>
      <protection/>
    </xf>
    <xf numFmtId="3" fontId="7" fillId="0" borderId="10" xfId="19" applyNumberFormat="1" applyFont="1" applyFill="1" applyBorder="1" applyAlignment="1">
      <alignment horizontal="right" vertical="center" wrapText="1"/>
      <protection/>
    </xf>
    <xf numFmtId="3" fontId="23" fillId="0" borderId="13" xfId="18" applyNumberFormat="1" applyFont="1" applyFill="1" applyBorder="1" applyAlignment="1">
      <alignment vertical="center"/>
      <protection/>
    </xf>
    <xf numFmtId="3" fontId="23" fillId="0" borderId="9" xfId="18" applyNumberFormat="1" applyFont="1" applyFill="1" applyBorder="1" applyAlignment="1">
      <alignment vertical="center"/>
      <protection/>
    </xf>
    <xf numFmtId="3" fontId="20" fillId="0" borderId="10" xfId="19" applyNumberFormat="1" applyFont="1" applyFill="1" applyBorder="1" applyAlignment="1">
      <alignment horizontal="right" vertical="center" wrapText="1"/>
      <protection/>
    </xf>
    <xf numFmtId="0" fontId="13" fillId="0" borderId="8" xfId="18" applyFont="1" applyFill="1" applyBorder="1" applyAlignment="1">
      <alignment horizontal="center" vertical="center"/>
      <protection/>
    </xf>
    <xf numFmtId="0" fontId="15" fillId="0" borderId="8" xfId="18" applyFont="1" applyFill="1" applyBorder="1" applyAlignment="1">
      <alignment horizontal="center" vertical="center"/>
      <protection/>
    </xf>
    <xf numFmtId="1" fontId="6" fillId="0" borderId="16" xfId="19" applyNumberFormat="1" applyFont="1" applyFill="1" applyBorder="1" applyAlignment="1">
      <alignment horizontal="center" vertical="center"/>
      <protection/>
    </xf>
    <xf numFmtId="1" fontId="6" fillId="0" borderId="8" xfId="19" applyNumberFormat="1" applyFont="1" applyFill="1" applyBorder="1" applyAlignment="1">
      <alignment horizontal="center" vertical="center"/>
      <protection/>
    </xf>
    <xf numFmtId="1" fontId="15" fillId="0" borderId="16" xfId="19" applyNumberFormat="1" applyFont="1" applyFill="1" applyBorder="1" applyAlignment="1">
      <alignment horizontal="center" vertical="center"/>
      <protection/>
    </xf>
    <xf numFmtId="1" fontId="13" fillId="0" borderId="8" xfId="19" applyNumberFormat="1" applyFont="1" applyFill="1" applyBorder="1" applyAlignment="1">
      <alignment horizontal="center" vertical="center"/>
      <protection/>
    </xf>
    <xf numFmtId="4" fontId="6" fillId="0" borderId="1" xfId="19" applyNumberFormat="1" applyFont="1" applyFill="1" applyBorder="1" applyAlignment="1">
      <alignment horizontal="center" vertical="center"/>
      <protection/>
    </xf>
    <xf numFmtId="1" fontId="13" fillId="0" borderId="1" xfId="19" applyNumberFormat="1" applyFont="1" applyFill="1" applyBorder="1" applyAlignment="1">
      <alignment horizontal="center" vertical="center"/>
      <protection/>
    </xf>
    <xf numFmtId="1" fontId="15" fillId="0" borderId="8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Alignment="1">
      <alignment horizontal="center" vertical="center"/>
      <protection/>
    </xf>
    <xf numFmtId="1" fontId="7" fillId="0" borderId="16" xfId="19" applyNumberFormat="1" applyFont="1" applyFill="1" applyBorder="1" applyAlignment="1">
      <alignment horizontal="center" vertical="center"/>
      <protection/>
    </xf>
    <xf numFmtId="3" fontId="6" fillId="0" borderId="17" xfId="19" applyNumberFormat="1" applyFont="1" applyFill="1" applyBorder="1" applyAlignment="1">
      <alignment vertical="center"/>
      <protection/>
    </xf>
    <xf numFmtId="3" fontId="13" fillId="2" borderId="18" xfId="19" applyNumberFormat="1" applyFont="1" applyFill="1" applyBorder="1" applyAlignment="1">
      <alignment vertical="center"/>
      <protection/>
    </xf>
    <xf numFmtId="3" fontId="13" fillId="2" borderId="17" xfId="19" applyNumberFormat="1" applyFont="1" applyFill="1" applyBorder="1" applyAlignment="1">
      <alignment vertical="center"/>
      <protection/>
    </xf>
    <xf numFmtId="3" fontId="23" fillId="0" borderId="19" xfId="19" applyNumberFormat="1" applyFont="1" applyFill="1" applyBorder="1" applyAlignment="1">
      <alignment vertical="center"/>
      <protection/>
    </xf>
    <xf numFmtId="3" fontId="23" fillId="0" borderId="17" xfId="19" applyNumberFormat="1" applyFont="1" applyFill="1" applyBorder="1" applyAlignment="1">
      <alignment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3" fontId="6" fillId="0" borderId="9" xfId="19" applyNumberFormat="1" applyFont="1" applyFill="1" applyBorder="1" applyAlignment="1">
      <alignment vertical="center"/>
      <protection/>
    </xf>
    <xf numFmtId="3" fontId="8" fillId="0" borderId="10" xfId="19" applyNumberFormat="1" applyFont="1" applyFill="1" applyBorder="1" applyAlignment="1">
      <alignment horizontal="right" vertical="center" wrapText="1"/>
      <protection/>
    </xf>
    <xf numFmtId="3" fontId="13" fillId="2" borderId="11" xfId="19" applyNumberFormat="1" applyFont="1" applyFill="1" applyBorder="1" applyAlignment="1">
      <alignment vertical="center"/>
      <protection/>
    </xf>
    <xf numFmtId="3" fontId="13" fillId="2" borderId="9" xfId="19" applyNumberFormat="1" applyFont="1" applyFill="1" applyBorder="1" applyAlignment="1">
      <alignment vertical="center"/>
      <protection/>
    </xf>
    <xf numFmtId="3" fontId="16" fillId="2" borderId="12" xfId="19" applyNumberFormat="1" applyFont="1" applyFill="1" applyBorder="1" applyAlignment="1">
      <alignment horizontal="right" vertical="center" wrapText="1"/>
      <protection/>
    </xf>
    <xf numFmtId="3" fontId="23" fillId="0" borderId="13" xfId="19" applyNumberFormat="1" applyFont="1" applyFill="1" applyBorder="1" applyAlignment="1">
      <alignment vertical="center"/>
      <protection/>
    </xf>
    <xf numFmtId="3" fontId="23" fillId="0" borderId="9" xfId="19" applyNumberFormat="1" applyFont="1" applyFill="1" applyBorder="1" applyAlignment="1">
      <alignment vertical="center"/>
      <protection/>
    </xf>
    <xf numFmtId="3" fontId="19" fillId="0" borderId="10" xfId="19" applyNumberFormat="1" applyFont="1" applyFill="1" applyBorder="1" applyAlignment="1">
      <alignment horizontal="right" vertical="center" wrapText="1"/>
      <protection/>
    </xf>
    <xf numFmtId="1" fontId="8" fillId="0" borderId="9" xfId="19" applyNumberFormat="1" applyFont="1" applyFill="1" applyBorder="1" applyAlignment="1">
      <alignment horizontal="center" vertical="center" wrapText="1"/>
      <protection/>
    </xf>
    <xf numFmtId="1" fontId="8" fillId="0" borderId="10" xfId="19" applyNumberFormat="1" applyFont="1" applyFill="1" applyBorder="1" applyAlignment="1">
      <alignment horizontal="center" vertical="center" wrapText="1"/>
      <protection/>
    </xf>
    <xf numFmtId="1" fontId="16" fillId="2" borderId="11" xfId="19" applyNumberFormat="1" applyFont="1" applyFill="1" applyBorder="1" applyAlignment="1">
      <alignment horizontal="center" vertical="center" wrapText="1"/>
      <protection/>
    </xf>
    <xf numFmtId="1" fontId="16" fillId="2" borderId="9" xfId="19" applyNumberFormat="1" applyFont="1" applyFill="1" applyBorder="1" applyAlignment="1">
      <alignment horizontal="center" vertical="center" wrapText="1"/>
      <protection/>
    </xf>
    <xf numFmtId="1" fontId="16" fillId="2" borderId="12" xfId="19" applyNumberFormat="1" applyFont="1" applyFill="1" applyBorder="1" applyAlignment="1">
      <alignment horizontal="center" vertical="center" wrapText="1"/>
      <protection/>
    </xf>
    <xf numFmtId="1" fontId="19" fillId="0" borderId="13" xfId="19" applyNumberFormat="1" applyFont="1" applyFill="1" applyBorder="1" applyAlignment="1">
      <alignment horizontal="center" vertical="center" wrapText="1"/>
      <protection/>
    </xf>
    <xf numFmtId="1" fontId="19" fillId="0" borderId="9" xfId="19" applyNumberFormat="1" applyFont="1" applyFill="1" applyBorder="1" applyAlignment="1">
      <alignment horizontal="center" vertical="center" wrapText="1"/>
      <protection/>
    </xf>
    <xf numFmtId="1" fontId="19" fillId="0" borderId="10" xfId="19" applyNumberFormat="1" applyFont="1" applyFill="1" applyBorder="1" applyAlignment="1">
      <alignment horizontal="center" vertical="center" wrapText="1"/>
      <protection/>
    </xf>
    <xf numFmtId="1" fontId="10" fillId="0" borderId="21" xfId="19" applyNumberFormat="1" applyFont="1" applyFill="1" applyBorder="1" applyAlignment="1">
      <alignment horizontal="center" vertical="center"/>
      <protection/>
    </xf>
    <xf numFmtId="4" fontId="6" fillId="0" borderId="0" xfId="19" applyNumberFormat="1" applyFont="1" applyFill="1" applyAlignment="1">
      <alignment vertical="center" wrapText="1"/>
      <protection/>
    </xf>
    <xf numFmtId="164" fontId="6" fillId="0" borderId="0" xfId="19" applyNumberFormat="1" applyFont="1" applyFill="1" applyAlignment="1">
      <alignment vertical="center"/>
      <protection/>
    </xf>
    <xf numFmtId="0" fontId="6" fillId="0" borderId="22" xfId="18" applyFont="1" applyFill="1" applyBorder="1" applyAlignment="1">
      <alignment horizontal="center" vertical="center"/>
      <protection/>
    </xf>
    <xf numFmtId="3" fontId="6" fillId="0" borderId="23" xfId="18" applyNumberFormat="1" applyFont="1" applyFill="1" applyBorder="1" applyAlignment="1">
      <alignment vertical="center"/>
      <protection/>
    </xf>
    <xf numFmtId="3" fontId="7" fillId="0" borderId="24" xfId="19" applyNumberFormat="1" applyFont="1" applyFill="1" applyBorder="1" applyAlignment="1">
      <alignment horizontal="right" vertical="center" wrapText="1"/>
      <protection/>
    </xf>
    <xf numFmtId="3" fontId="13" fillId="2" borderId="25" xfId="19" applyNumberFormat="1" applyFont="1" applyFill="1" applyBorder="1" applyAlignment="1">
      <alignment vertical="center"/>
      <protection/>
    </xf>
    <xf numFmtId="3" fontId="13" fillId="2" borderId="23" xfId="19" applyNumberFormat="1" applyFont="1" applyFill="1" applyBorder="1" applyAlignment="1">
      <alignment vertical="center"/>
      <protection/>
    </xf>
    <xf numFmtId="3" fontId="15" fillId="2" borderId="26" xfId="19" applyNumberFormat="1" applyFont="1" applyFill="1" applyBorder="1" applyAlignment="1">
      <alignment horizontal="right" vertical="center" wrapText="1"/>
      <protection/>
    </xf>
    <xf numFmtId="3" fontId="23" fillId="0" borderId="27" xfId="18" applyNumberFormat="1" applyFont="1" applyFill="1" applyBorder="1" applyAlignment="1">
      <alignment vertical="center"/>
      <protection/>
    </xf>
    <xf numFmtId="3" fontId="23" fillId="0" borderId="23" xfId="18" applyNumberFormat="1" applyFont="1" applyFill="1" applyBorder="1" applyAlignment="1">
      <alignment vertical="center"/>
      <protection/>
    </xf>
    <xf numFmtId="3" fontId="20" fillId="0" borderId="24" xfId="19" applyNumberFormat="1" applyFont="1" applyFill="1" applyBorder="1" applyAlignment="1">
      <alignment horizontal="right" vertical="center" wrapText="1"/>
      <protection/>
    </xf>
    <xf numFmtId="165" fontId="6" fillId="0" borderId="28" xfId="19" applyNumberFormat="1" applyFont="1" applyFill="1" applyBorder="1" applyAlignment="1">
      <alignment horizontal="center" vertical="center" wrapText="1"/>
      <protection/>
    </xf>
    <xf numFmtId="3" fontId="14" fillId="0" borderId="29" xfId="19" applyNumberFormat="1" applyFont="1" applyFill="1" applyBorder="1" applyAlignment="1">
      <alignment horizontal="right" vertical="center" wrapText="1"/>
      <protection/>
    </xf>
    <xf numFmtId="3" fontId="11" fillId="2" borderId="30" xfId="19" applyNumberFormat="1" applyFont="1" applyFill="1" applyBorder="1" applyAlignment="1">
      <alignment horizontal="right" vertical="center" wrapText="1"/>
      <protection/>
    </xf>
    <xf numFmtId="165" fontId="28" fillId="0" borderId="31" xfId="19" applyNumberFormat="1" applyFont="1" applyFill="1" applyBorder="1" applyAlignment="1">
      <alignment horizontal="center" vertical="center" wrapText="1"/>
      <protection/>
    </xf>
    <xf numFmtId="1" fontId="12" fillId="0" borderId="32" xfId="19" applyNumberFormat="1" applyFont="1" applyFill="1" applyBorder="1" applyAlignment="1">
      <alignment horizontal="center" vertical="center"/>
      <protection/>
    </xf>
    <xf numFmtId="3" fontId="12" fillId="0" borderId="33" xfId="19" applyNumberFormat="1" applyFont="1" applyFill="1" applyBorder="1" applyAlignment="1">
      <alignment vertical="center"/>
      <protection/>
    </xf>
    <xf numFmtId="3" fontId="12" fillId="0" borderId="34" xfId="19" applyNumberFormat="1" applyFont="1" applyFill="1" applyBorder="1" applyAlignment="1">
      <alignment horizontal="right" vertical="center" wrapText="1"/>
      <protection/>
    </xf>
    <xf numFmtId="3" fontId="27" fillId="2" borderId="35" xfId="19" applyNumberFormat="1" applyFont="1" applyFill="1" applyBorder="1" applyAlignment="1">
      <alignment vertical="center"/>
      <protection/>
    </xf>
    <xf numFmtId="3" fontId="27" fillId="2" borderId="36" xfId="19" applyNumberFormat="1" applyFont="1" applyFill="1" applyBorder="1" applyAlignment="1">
      <alignment vertical="center"/>
      <protection/>
    </xf>
    <xf numFmtId="3" fontId="27" fillId="2" borderId="37" xfId="19" applyNumberFormat="1" applyFont="1" applyFill="1" applyBorder="1" applyAlignment="1">
      <alignment horizontal="right" vertical="center" wrapText="1"/>
      <protection/>
    </xf>
    <xf numFmtId="3" fontId="22" fillId="0" borderId="33" xfId="19" applyNumberFormat="1" applyFont="1" applyFill="1" applyBorder="1" applyAlignment="1">
      <alignment vertical="center"/>
      <protection/>
    </xf>
    <xf numFmtId="3" fontId="22" fillId="0" borderId="36" xfId="19" applyNumberFormat="1" applyFont="1" applyFill="1" applyBorder="1" applyAlignment="1">
      <alignment vertical="center"/>
      <protection/>
    </xf>
    <xf numFmtId="3" fontId="22" fillId="0" borderId="34" xfId="19" applyNumberFormat="1" applyFont="1" applyFill="1" applyBorder="1" applyAlignment="1">
      <alignment horizontal="right" vertical="center" wrapText="1"/>
      <protection/>
    </xf>
    <xf numFmtId="165" fontId="0" fillId="0" borderId="38" xfId="19" applyNumberFormat="1" applyFont="1" applyFill="1" applyBorder="1" applyAlignment="1">
      <alignment horizontal="center" vertical="center" wrapText="1"/>
      <protection/>
    </xf>
    <xf numFmtId="4" fontId="30" fillId="0" borderId="0" xfId="19" applyNumberFormat="1" applyFont="1" applyFill="1" applyAlignment="1">
      <alignment vertical="center"/>
      <protection/>
    </xf>
    <xf numFmtId="3" fontId="14" fillId="0" borderId="39" xfId="19" applyNumberFormat="1" applyFont="1" applyFill="1" applyBorder="1" applyAlignment="1">
      <alignment vertical="center"/>
      <protection/>
    </xf>
    <xf numFmtId="3" fontId="14" fillId="0" borderId="29" xfId="19" applyNumberFormat="1" applyFont="1" applyFill="1" applyBorder="1" applyAlignment="1">
      <alignment vertical="center"/>
      <protection/>
    </xf>
    <xf numFmtId="3" fontId="11" fillId="2" borderId="40" xfId="19" applyNumberFormat="1" applyFont="1" applyFill="1" applyBorder="1" applyAlignment="1">
      <alignment vertical="center"/>
      <protection/>
    </xf>
    <xf numFmtId="3" fontId="11" fillId="2" borderId="41" xfId="19" applyNumberFormat="1" applyFont="1" applyFill="1" applyBorder="1" applyAlignment="1">
      <alignment vertical="center"/>
      <protection/>
    </xf>
    <xf numFmtId="3" fontId="11" fillId="2" borderId="30" xfId="19" applyNumberFormat="1" applyFont="1" applyFill="1" applyBorder="1" applyAlignment="1">
      <alignment vertical="center"/>
      <protection/>
    </xf>
    <xf numFmtId="3" fontId="14" fillId="0" borderId="41" xfId="19" applyNumberFormat="1" applyFont="1" applyFill="1" applyBorder="1" applyAlignment="1">
      <alignment vertical="center"/>
      <protection/>
    </xf>
    <xf numFmtId="4" fontId="14" fillId="0" borderId="0" xfId="19" applyNumberFormat="1" applyFont="1" applyFill="1" applyAlignment="1">
      <alignment vertical="center"/>
      <protection/>
    </xf>
    <xf numFmtId="3" fontId="32" fillId="0" borderId="39" xfId="19" applyNumberFormat="1" applyFont="1" applyFill="1" applyBorder="1" applyAlignment="1">
      <alignment horizontal="right" vertical="center" wrapText="1"/>
      <protection/>
    </xf>
    <xf numFmtId="3" fontId="32" fillId="0" borderId="41" xfId="19" applyNumberFormat="1" applyFont="1" applyFill="1" applyBorder="1" applyAlignment="1">
      <alignment horizontal="right" vertical="center" wrapText="1"/>
      <protection/>
    </xf>
    <xf numFmtId="3" fontId="32" fillId="0" borderId="29" xfId="19" applyNumberFormat="1" applyFont="1" applyFill="1" applyBorder="1" applyAlignment="1">
      <alignment horizontal="right" vertical="center" wrapText="1"/>
      <protection/>
    </xf>
    <xf numFmtId="3" fontId="31" fillId="2" borderId="40" xfId="19" applyNumberFormat="1" applyFont="1" applyFill="1" applyBorder="1" applyAlignment="1">
      <alignment horizontal="right" vertical="center" wrapText="1"/>
      <protection/>
    </xf>
    <xf numFmtId="3" fontId="31" fillId="2" borderId="41" xfId="19" applyNumberFormat="1" applyFont="1" applyFill="1" applyBorder="1" applyAlignment="1">
      <alignment horizontal="right" vertical="center" wrapText="1"/>
      <protection/>
    </xf>
    <xf numFmtId="3" fontId="31" fillId="2" borderId="30" xfId="19" applyNumberFormat="1" applyFont="1" applyFill="1" applyBorder="1" applyAlignment="1">
      <alignment horizontal="right" vertical="center" wrapText="1"/>
      <protection/>
    </xf>
    <xf numFmtId="165" fontId="33" fillId="0" borderId="31" xfId="19" applyNumberFormat="1" applyFont="1" applyFill="1" applyBorder="1" applyAlignment="1">
      <alignment horizontal="center" vertical="center" wrapText="1"/>
      <protection/>
    </xf>
    <xf numFmtId="3" fontId="34" fillId="0" borderId="0" xfId="19" applyNumberFormat="1" applyFont="1" applyFill="1" applyAlignment="1">
      <alignment horizontal="center" vertical="center" wrapText="1"/>
      <protection/>
    </xf>
    <xf numFmtId="1" fontId="12" fillId="0" borderId="42" xfId="19" applyNumberFormat="1" applyFont="1" applyFill="1" applyBorder="1" applyAlignment="1">
      <alignment horizontal="center" vertical="center"/>
      <protection/>
    </xf>
    <xf numFmtId="3" fontId="12" fillId="0" borderId="43" xfId="19" applyNumberFormat="1" applyFont="1" applyFill="1" applyBorder="1" applyAlignment="1">
      <alignment vertical="center"/>
      <protection/>
    </xf>
    <xf numFmtId="3" fontId="12" fillId="0" borderId="44" xfId="19" applyNumberFormat="1" applyFont="1" applyFill="1" applyBorder="1" applyAlignment="1">
      <alignment vertical="center"/>
      <protection/>
    </xf>
    <xf numFmtId="3" fontId="12" fillId="0" borderId="45" xfId="19" applyNumberFormat="1" applyFont="1" applyFill="1" applyBorder="1" applyAlignment="1">
      <alignment horizontal="right" vertical="center" wrapText="1"/>
      <protection/>
    </xf>
    <xf numFmtId="3" fontId="27" fillId="2" borderId="46" xfId="19" applyNumberFormat="1" applyFont="1" applyFill="1" applyBorder="1" applyAlignment="1">
      <alignment vertical="center"/>
      <protection/>
    </xf>
    <xf numFmtId="3" fontId="27" fillId="2" borderId="44" xfId="19" applyNumberFormat="1" applyFont="1" applyFill="1" applyBorder="1" applyAlignment="1">
      <alignment vertical="center"/>
      <protection/>
    </xf>
    <xf numFmtId="3" fontId="27" fillId="2" borderId="47" xfId="19" applyNumberFormat="1" applyFont="1" applyFill="1" applyBorder="1" applyAlignment="1">
      <alignment vertical="center"/>
      <protection/>
    </xf>
    <xf numFmtId="3" fontId="22" fillId="0" borderId="43" xfId="19" applyNumberFormat="1" applyFont="1" applyFill="1" applyBorder="1" applyAlignment="1">
      <alignment vertical="center"/>
      <protection/>
    </xf>
    <xf numFmtId="3" fontId="22" fillId="0" borderId="44" xfId="19" applyNumberFormat="1" applyFont="1" applyFill="1" applyBorder="1" applyAlignment="1">
      <alignment vertical="center"/>
      <protection/>
    </xf>
    <xf numFmtId="3" fontId="22" fillId="0" borderId="45" xfId="19" applyNumberFormat="1" applyFont="1" applyFill="1" applyBorder="1" applyAlignment="1">
      <alignment vertical="center"/>
      <protection/>
    </xf>
    <xf numFmtId="165" fontId="0" fillId="0" borderId="48" xfId="19" applyNumberFormat="1" applyFont="1" applyFill="1" applyBorder="1" applyAlignment="1">
      <alignment horizontal="center" vertical="center" wrapText="1"/>
      <protection/>
    </xf>
    <xf numFmtId="4" fontId="0" fillId="0" borderId="0" xfId="19" applyNumberFormat="1" applyFont="1" applyFill="1" applyAlignment="1">
      <alignment vertical="center"/>
      <protection/>
    </xf>
    <xf numFmtId="3" fontId="27" fillId="2" borderId="47" xfId="19" applyNumberFormat="1" applyFont="1" applyFill="1" applyBorder="1" applyAlignment="1">
      <alignment horizontal="right" vertical="center" wrapText="1"/>
      <protection/>
    </xf>
    <xf numFmtId="3" fontId="22" fillId="0" borderId="45" xfId="19" applyNumberFormat="1" applyFont="1" applyFill="1" applyBorder="1" applyAlignment="1">
      <alignment horizontal="right" vertical="center" wrapText="1"/>
      <protection/>
    </xf>
    <xf numFmtId="3" fontId="12" fillId="0" borderId="45" xfId="19" applyNumberFormat="1" applyFont="1" applyFill="1" applyBorder="1" applyAlignment="1">
      <alignment vertical="center"/>
      <protection/>
    </xf>
    <xf numFmtId="3" fontId="11" fillId="2" borderId="29" xfId="19" applyNumberFormat="1" applyFont="1" applyFill="1" applyBorder="1" applyAlignment="1">
      <alignment horizontal="right" vertical="center" wrapText="1"/>
      <protection/>
    </xf>
    <xf numFmtId="3" fontId="35" fillId="0" borderId="39" xfId="19" applyNumberFormat="1" applyFont="1" applyFill="1" applyBorder="1" applyAlignment="1">
      <alignment vertical="center"/>
      <protection/>
    </xf>
    <xf numFmtId="3" fontId="35" fillId="0" borderId="41" xfId="19" applyNumberFormat="1" applyFont="1" applyFill="1" applyBorder="1" applyAlignment="1">
      <alignment vertical="center"/>
      <protection/>
    </xf>
    <xf numFmtId="3" fontId="35" fillId="0" borderId="29" xfId="19" applyNumberFormat="1" applyFont="1" applyFill="1" applyBorder="1" applyAlignment="1">
      <alignment horizontal="right" vertical="center" wrapText="1"/>
      <protection/>
    </xf>
    <xf numFmtId="4" fontId="29" fillId="0" borderId="0" xfId="19" applyNumberFormat="1" applyFont="1" applyFill="1" applyAlignment="1">
      <alignment vertical="center"/>
      <protection/>
    </xf>
    <xf numFmtId="3" fontId="12" fillId="0" borderId="32" xfId="19" applyNumberFormat="1" applyFont="1" applyFill="1" applyBorder="1" applyAlignment="1">
      <alignment horizontal="center" vertical="center"/>
      <protection/>
    </xf>
    <xf numFmtId="3" fontId="12" fillId="0" borderId="36" xfId="19" applyNumberFormat="1" applyFont="1" applyFill="1" applyBorder="1" applyAlignment="1">
      <alignment vertical="center"/>
      <protection/>
    </xf>
    <xf numFmtId="3" fontId="12" fillId="0" borderId="34" xfId="19" applyNumberFormat="1" applyFont="1" applyFill="1" applyBorder="1" applyAlignment="1">
      <alignment vertical="center"/>
      <protection/>
    </xf>
    <xf numFmtId="3" fontId="27" fillId="2" borderId="37" xfId="19" applyNumberFormat="1" applyFont="1" applyFill="1" applyBorder="1" applyAlignment="1">
      <alignment vertical="center"/>
      <protection/>
    </xf>
    <xf numFmtId="3" fontId="12" fillId="0" borderId="44" xfId="18" applyNumberFormat="1" applyFont="1" applyFill="1" applyBorder="1" applyAlignment="1">
      <alignment vertical="center"/>
      <protection/>
    </xf>
    <xf numFmtId="3" fontId="27" fillId="2" borderId="46" xfId="18" applyNumberFormat="1" applyFont="1" applyFill="1" applyBorder="1" applyAlignment="1">
      <alignment vertical="center"/>
      <protection/>
    </xf>
    <xf numFmtId="3" fontId="27" fillId="2" borderId="44" xfId="18" applyNumberFormat="1" applyFont="1" applyFill="1" applyBorder="1" applyAlignment="1">
      <alignment vertical="center"/>
      <protection/>
    </xf>
    <xf numFmtId="3" fontId="22" fillId="0" borderId="43" xfId="18" applyNumberFormat="1" applyFont="1" applyFill="1" applyBorder="1" applyAlignment="1">
      <alignment vertical="center"/>
      <protection/>
    </xf>
    <xf numFmtId="3" fontId="22" fillId="0" borderId="44" xfId="18" applyNumberFormat="1" applyFont="1" applyFill="1" applyBorder="1" applyAlignment="1">
      <alignment vertical="center"/>
      <protection/>
    </xf>
    <xf numFmtId="4" fontId="27" fillId="0" borderId="0" xfId="19" applyNumberFormat="1" applyFont="1" applyFill="1">
      <alignment/>
      <protection/>
    </xf>
    <xf numFmtId="3" fontId="32" fillId="0" borderId="41" xfId="19" applyNumberFormat="1" applyFont="1" applyFill="1" applyBorder="1" applyAlignment="1">
      <alignment horizontal="right" vertical="center"/>
      <protection/>
    </xf>
    <xf numFmtId="3" fontId="31" fillId="2" borderId="40" xfId="19" applyNumberFormat="1" applyFont="1" applyFill="1" applyBorder="1" applyAlignment="1">
      <alignment horizontal="right" vertical="center"/>
      <protection/>
    </xf>
    <xf numFmtId="3" fontId="31" fillId="2" borderId="41" xfId="19" applyNumberFormat="1" applyFont="1" applyFill="1" applyBorder="1" applyAlignment="1">
      <alignment horizontal="right" vertical="center"/>
      <protection/>
    </xf>
    <xf numFmtId="3" fontId="36" fillId="0" borderId="39" xfId="19" applyNumberFormat="1" applyFont="1" applyFill="1" applyBorder="1" applyAlignment="1">
      <alignment horizontal="right" vertical="center"/>
      <protection/>
    </xf>
    <xf numFmtId="3" fontId="36" fillId="0" borderId="41" xfId="19" applyNumberFormat="1" applyFont="1" applyFill="1" applyBorder="1" applyAlignment="1">
      <alignment horizontal="right" vertical="center"/>
      <protection/>
    </xf>
    <xf numFmtId="3" fontId="36" fillId="0" borderId="29" xfId="19" applyNumberFormat="1" applyFont="1" applyFill="1" applyBorder="1" applyAlignment="1">
      <alignment horizontal="right" vertical="center" wrapText="1"/>
      <protection/>
    </xf>
    <xf numFmtId="0" fontId="33" fillId="0" borderId="0" xfId="18" applyFont="1" applyFill="1" applyAlignment="1">
      <alignment vertical="center"/>
      <protection/>
    </xf>
    <xf numFmtId="3" fontId="31" fillId="0" borderId="49" xfId="19" applyNumberFormat="1" applyFont="1" applyFill="1" applyBorder="1" applyAlignment="1">
      <alignment horizontal="center" vertical="center"/>
      <protection/>
    </xf>
    <xf numFmtId="3" fontId="31" fillId="0" borderId="41" xfId="19" applyNumberFormat="1" applyFont="1" applyFill="1" applyBorder="1" applyAlignment="1">
      <alignment vertical="center"/>
      <protection/>
    </xf>
    <xf numFmtId="3" fontId="31" fillId="2" borderId="40" xfId="19" applyNumberFormat="1" applyFont="1" applyFill="1" applyBorder="1" applyAlignment="1">
      <alignment vertical="center"/>
      <protection/>
    </xf>
    <xf numFmtId="3" fontId="31" fillId="2" borderId="41" xfId="19" applyNumberFormat="1" applyFont="1" applyFill="1" applyBorder="1" applyAlignment="1">
      <alignment vertical="center"/>
      <protection/>
    </xf>
    <xf numFmtId="3" fontId="37" fillId="0" borderId="39" xfId="19" applyNumberFormat="1" applyFont="1" applyFill="1" applyBorder="1" applyAlignment="1">
      <alignment vertical="center"/>
      <protection/>
    </xf>
    <xf numFmtId="3" fontId="37" fillId="0" borderId="41" xfId="19" applyNumberFormat="1" applyFont="1" applyFill="1" applyBorder="1" applyAlignment="1">
      <alignment vertical="center"/>
      <protection/>
    </xf>
    <xf numFmtId="3" fontId="31" fillId="0" borderId="0" xfId="19" applyNumberFormat="1" applyFont="1" applyFill="1">
      <alignment/>
      <protection/>
    </xf>
    <xf numFmtId="3" fontId="31" fillId="0" borderId="29" xfId="19" applyNumberFormat="1" applyFont="1" applyFill="1" applyBorder="1" applyAlignment="1">
      <alignment horizontal="right" vertical="center" wrapText="1"/>
      <protection/>
    </xf>
    <xf numFmtId="3" fontId="37" fillId="0" borderId="29" xfId="19" applyNumberFormat="1" applyFont="1" applyFill="1" applyBorder="1" applyAlignment="1">
      <alignment horizontal="right" vertical="center" wrapText="1"/>
      <protection/>
    </xf>
    <xf numFmtId="165" fontId="34" fillId="0" borderId="31" xfId="19" applyNumberFormat="1" applyFont="1" applyFill="1" applyBorder="1" applyAlignment="1">
      <alignment horizontal="center" vertical="center" wrapText="1"/>
      <protection/>
    </xf>
    <xf numFmtId="1" fontId="8" fillId="0" borderId="11" xfId="19" applyNumberFormat="1" applyFont="1" applyFill="1" applyBorder="1" applyAlignment="1">
      <alignment horizontal="center" vertical="center" wrapText="1"/>
      <protection/>
    </xf>
    <xf numFmtId="1" fontId="10" fillId="0" borderId="11" xfId="19" applyNumberFormat="1" applyFont="1" applyFill="1" applyBorder="1" applyAlignment="1">
      <alignment horizontal="center" vertical="center" wrapText="1"/>
      <protection/>
    </xf>
    <xf numFmtId="3" fontId="32" fillId="0" borderId="40" xfId="19" applyNumberFormat="1" applyFont="1" applyFill="1" applyBorder="1" applyAlignment="1">
      <alignment horizontal="right" vertical="center" wrapText="1"/>
      <protection/>
    </xf>
    <xf numFmtId="3" fontId="14" fillId="0" borderId="40" xfId="19" applyNumberFormat="1" applyFont="1" applyFill="1" applyBorder="1" applyAlignment="1">
      <alignment vertical="center"/>
      <protection/>
    </xf>
    <xf numFmtId="3" fontId="12" fillId="0" borderId="35" xfId="19" applyNumberFormat="1" applyFont="1" applyFill="1" applyBorder="1" applyAlignment="1">
      <alignment vertical="center"/>
      <protection/>
    </xf>
    <xf numFmtId="3" fontId="6" fillId="0" borderId="18" xfId="18" applyNumberFormat="1" applyFont="1" applyFill="1" applyBorder="1" applyAlignment="1">
      <alignment vertical="center"/>
      <protection/>
    </xf>
    <xf numFmtId="3" fontId="6" fillId="0" borderId="3" xfId="18" applyNumberFormat="1" applyFont="1" applyFill="1" applyBorder="1" applyAlignment="1">
      <alignment vertical="center"/>
      <protection/>
    </xf>
    <xf numFmtId="3" fontId="13" fillId="0" borderId="3" xfId="18" applyNumberFormat="1" applyFont="1" applyFill="1" applyBorder="1" applyAlignment="1">
      <alignment vertical="center"/>
      <protection/>
    </xf>
    <xf numFmtId="3" fontId="13" fillId="0" borderId="11" xfId="18" applyNumberFormat="1" applyFont="1" applyFill="1" applyBorder="1" applyAlignment="1">
      <alignment vertical="center"/>
      <protection/>
    </xf>
    <xf numFmtId="3" fontId="12" fillId="0" borderId="46" xfId="19" applyNumberFormat="1" applyFont="1" applyFill="1" applyBorder="1" applyAlignment="1">
      <alignment vertical="center"/>
      <protection/>
    </xf>
    <xf numFmtId="3" fontId="6" fillId="0" borderId="11" xfId="18" applyNumberFormat="1" applyFont="1" applyFill="1" applyBorder="1" applyAlignment="1">
      <alignment vertical="center"/>
      <protection/>
    </xf>
    <xf numFmtId="3" fontId="6" fillId="0" borderId="18" xfId="19" applyNumberFormat="1" applyFont="1" applyFill="1" applyBorder="1" applyAlignment="1">
      <alignment vertical="center"/>
      <protection/>
    </xf>
    <xf numFmtId="3" fontId="6" fillId="0" borderId="3" xfId="19" applyNumberFormat="1" applyFont="1" applyFill="1" applyBorder="1" applyAlignment="1">
      <alignment vertical="center"/>
      <protection/>
    </xf>
    <xf numFmtId="3" fontId="6" fillId="0" borderId="25" xfId="18" applyNumberFormat="1" applyFont="1" applyFill="1" applyBorder="1" applyAlignment="1">
      <alignment vertical="center"/>
      <protection/>
    </xf>
    <xf numFmtId="3" fontId="12" fillId="0" borderId="46" xfId="18" applyNumberFormat="1" applyFont="1" applyFill="1" applyBorder="1" applyAlignment="1">
      <alignment vertical="center"/>
      <protection/>
    </xf>
    <xf numFmtId="3" fontId="12" fillId="0" borderId="3" xfId="18" applyNumberFormat="1" applyFont="1" applyFill="1" applyBorder="1" applyAlignment="1">
      <alignment vertical="center"/>
      <protection/>
    </xf>
    <xf numFmtId="3" fontId="32" fillId="0" borderId="40" xfId="19" applyNumberFormat="1" applyFont="1" applyFill="1" applyBorder="1" applyAlignment="1">
      <alignment horizontal="right" vertical="center"/>
      <protection/>
    </xf>
    <xf numFmtId="3" fontId="6" fillId="0" borderId="11" xfId="19" applyNumberFormat="1" applyFont="1" applyFill="1" applyBorder="1" applyAlignment="1">
      <alignment vertical="center"/>
      <protection/>
    </xf>
    <xf numFmtId="3" fontId="31" fillId="0" borderId="40" xfId="19" applyNumberFormat="1" applyFont="1" applyFill="1" applyBorder="1" applyAlignment="1">
      <alignment vertical="center"/>
      <protection/>
    </xf>
    <xf numFmtId="3" fontId="10" fillId="0" borderId="10" xfId="19" applyNumberFormat="1" applyFont="1" applyFill="1" applyBorder="1" applyAlignment="1">
      <alignment horizontal="center" vertical="center" wrapText="1"/>
      <protection/>
    </xf>
    <xf numFmtId="4" fontId="12" fillId="0" borderId="34" xfId="19" applyNumberFormat="1" applyFont="1" applyFill="1" applyBorder="1" applyAlignment="1">
      <alignment vertical="center" wrapText="1"/>
      <protection/>
    </xf>
    <xf numFmtId="0" fontId="6" fillId="0" borderId="14" xfId="18" applyFont="1" applyFill="1" applyBorder="1" applyAlignment="1">
      <alignment horizontal="left" vertical="center" wrapText="1"/>
      <protection/>
    </xf>
    <xf numFmtId="0" fontId="6" fillId="0" borderId="4" xfId="18" applyFont="1" applyFill="1" applyBorder="1" applyAlignment="1">
      <alignment horizontal="left" vertical="center" wrapText="1"/>
      <protection/>
    </xf>
    <xf numFmtId="0" fontId="6" fillId="0" borderId="4" xfId="18" applyFont="1" applyFill="1" applyBorder="1" applyAlignment="1">
      <alignment vertical="center" wrapText="1"/>
      <protection/>
    </xf>
    <xf numFmtId="0" fontId="13" fillId="0" borderId="4" xfId="18" applyFont="1" applyFill="1" applyBorder="1" applyAlignment="1">
      <alignment vertical="center" wrapText="1"/>
      <protection/>
    </xf>
    <xf numFmtId="0" fontId="13" fillId="0" borderId="4" xfId="18" applyFont="1" applyFill="1" applyBorder="1" applyAlignment="1">
      <alignment horizontal="left" vertical="center" wrapText="1"/>
      <protection/>
    </xf>
    <xf numFmtId="4" fontId="13" fillId="0" borderId="10" xfId="19" applyNumberFormat="1" applyFont="1" applyFill="1" applyBorder="1" applyAlignment="1">
      <alignment vertical="center" wrapText="1"/>
      <protection/>
    </xf>
    <xf numFmtId="4" fontId="12" fillId="0" borderId="45" xfId="19" applyNumberFormat="1" applyFont="1" applyFill="1" applyBorder="1" applyAlignment="1">
      <alignment horizontal="left" vertical="center" wrapText="1"/>
      <protection/>
    </xf>
    <xf numFmtId="0" fontId="6" fillId="0" borderId="14" xfId="18" applyFont="1" applyFill="1" applyBorder="1" applyAlignment="1">
      <alignment vertical="center" wrapText="1"/>
      <protection/>
    </xf>
    <xf numFmtId="0" fontId="6" fillId="0" borderId="10" xfId="18" applyFont="1" applyFill="1" applyBorder="1" applyAlignment="1">
      <alignment vertical="center" wrapText="1"/>
      <protection/>
    </xf>
    <xf numFmtId="4" fontId="12" fillId="0" borderId="45" xfId="19" applyNumberFormat="1" applyFont="1" applyFill="1" applyBorder="1" applyAlignment="1">
      <alignment vertical="center" wrapText="1"/>
      <protection/>
    </xf>
    <xf numFmtId="0" fontId="13" fillId="0" borderId="10" xfId="18" applyFont="1" applyFill="1" applyBorder="1" applyAlignment="1">
      <alignment horizontal="left" vertical="center" wrapText="1"/>
      <protection/>
    </xf>
    <xf numFmtId="4" fontId="6" fillId="0" borderId="4" xfId="19" applyNumberFormat="1" applyFont="1" applyFill="1" applyBorder="1" applyAlignment="1">
      <alignment vertical="center" wrapText="1"/>
      <protection/>
    </xf>
    <xf numFmtId="0" fontId="13" fillId="0" borderId="10" xfId="18" applyFont="1" applyFill="1" applyBorder="1" applyAlignment="1">
      <alignment vertical="center" wrapText="1"/>
      <protection/>
    </xf>
    <xf numFmtId="0" fontId="17" fillId="0" borderId="14" xfId="18" applyFont="1" applyFill="1" applyBorder="1" applyAlignment="1">
      <alignment horizontal="left" vertical="center" wrapText="1"/>
      <protection/>
    </xf>
    <xf numFmtId="0" fontId="17" fillId="0" borderId="4" xfId="18" applyFont="1" applyFill="1" applyBorder="1" applyAlignment="1">
      <alignment horizontal="left" vertical="center" wrapText="1"/>
      <protection/>
    </xf>
    <xf numFmtId="0" fontId="17" fillId="0" borderId="4" xfId="18" applyFont="1" applyFill="1" applyBorder="1" applyAlignment="1">
      <alignment vertical="center" wrapText="1"/>
      <protection/>
    </xf>
    <xf numFmtId="4" fontId="6" fillId="0" borderId="4" xfId="19" applyNumberFormat="1" applyFont="1" applyFill="1" applyBorder="1" applyAlignment="1">
      <alignment horizontal="left" vertical="center" wrapText="1"/>
      <protection/>
    </xf>
    <xf numFmtId="0" fontId="6" fillId="0" borderId="24" xfId="18" applyFont="1" applyFill="1" applyBorder="1" applyAlignment="1">
      <alignment horizontal="left" vertical="center" wrapText="1"/>
      <protection/>
    </xf>
    <xf numFmtId="4" fontId="6" fillId="0" borderId="14" xfId="19" applyNumberFormat="1" applyFont="1" applyFill="1" applyBorder="1" applyAlignment="1">
      <alignment vertical="center" wrapText="1"/>
      <protection/>
    </xf>
    <xf numFmtId="4" fontId="6" fillId="0" borderId="10" xfId="19" applyNumberFormat="1" applyFont="1" applyFill="1" applyBorder="1" applyAlignment="1">
      <alignment vertical="center" wrapText="1"/>
      <protection/>
    </xf>
    <xf numFmtId="0" fontId="17" fillId="0" borderId="10" xfId="18" applyFont="1" applyFill="1" applyBorder="1" applyAlignment="1">
      <alignment vertical="center" wrapText="1"/>
      <protection/>
    </xf>
    <xf numFmtId="3" fontId="12" fillId="0" borderId="34" xfId="19" applyNumberFormat="1" applyFont="1" applyFill="1" applyBorder="1" applyAlignment="1">
      <alignment horizontal="left" vertical="center" wrapText="1"/>
      <protection/>
    </xf>
    <xf numFmtId="1" fontId="6" fillId="0" borderId="14" xfId="19" applyNumberFormat="1" applyFont="1" applyFill="1" applyBorder="1" applyAlignment="1">
      <alignment vertical="center" wrapText="1"/>
      <protection/>
    </xf>
    <xf numFmtId="1" fontId="6" fillId="0" borderId="4" xfId="19" applyNumberFormat="1" applyFont="1" applyFill="1" applyBorder="1" applyAlignment="1">
      <alignment vertical="center" wrapText="1"/>
      <protection/>
    </xf>
    <xf numFmtId="1" fontId="6" fillId="0" borderId="4" xfId="19" applyNumberFormat="1" applyFont="1" applyFill="1" applyBorder="1" applyAlignment="1">
      <alignment horizontal="left" vertical="center" wrapText="1"/>
      <protection/>
    </xf>
    <xf numFmtId="1" fontId="13" fillId="0" borderId="4" xfId="19" applyNumberFormat="1" applyFont="1" applyFill="1" applyBorder="1" applyAlignment="1">
      <alignment horizontal="right" vertical="center" wrapText="1"/>
      <protection/>
    </xf>
    <xf numFmtId="4" fontId="6" fillId="0" borderId="10" xfId="19" applyNumberFormat="1" applyFont="1" applyFill="1" applyBorder="1" applyAlignment="1">
      <alignment horizontal="left" vertical="center" wrapText="1"/>
      <protection/>
    </xf>
    <xf numFmtId="0" fontId="17" fillId="0" borderId="14" xfId="18" applyFont="1" applyFill="1" applyBorder="1" applyAlignment="1">
      <alignment horizontal="left" vertical="center" wrapText="1"/>
      <protection/>
    </xf>
    <xf numFmtId="0" fontId="17" fillId="0" borderId="4" xfId="18" applyFont="1" applyFill="1" applyBorder="1" applyAlignment="1">
      <alignment horizontal="left" vertical="center" wrapText="1"/>
      <protection/>
    </xf>
    <xf numFmtId="0" fontId="17" fillId="0" borderId="10" xfId="18" applyFont="1" applyFill="1" applyBorder="1" applyAlignment="1">
      <alignment horizontal="left" vertical="center" wrapText="1"/>
      <protection/>
    </xf>
    <xf numFmtId="0" fontId="17" fillId="0" borderId="14" xfId="18" applyFont="1" applyFill="1" applyBorder="1" applyAlignment="1">
      <alignment vertical="center" wrapText="1"/>
      <protection/>
    </xf>
    <xf numFmtId="0" fontId="13" fillId="0" borderId="4" xfId="18" applyFont="1" applyFill="1" applyBorder="1" applyAlignment="1">
      <alignment horizontal="right" vertical="center" wrapText="1"/>
      <protection/>
    </xf>
    <xf numFmtId="0" fontId="18" fillId="0" borderId="4" xfId="18" applyFont="1" applyFill="1" applyBorder="1" applyAlignment="1">
      <alignment horizontal="right" vertical="center" wrapText="1"/>
      <protection/>
    </xf>
    <xf numFmtId="0" fontId="12" fillId="0" borderId="4" xfId="18" applyFont="1" applyFill="1" applyBorder="1" applyAlignment="1">
      <alignment horizontal="left" vertical="center" wrapText="1"/>
      <protection/>
    </xf>
    <xf numFmtId="0" fontId="6" fillId="0" borderId="10" xfId="18" applyFont="1" applyFill="1" applyBorder="1" applyAlignment="1">
      <alignment horizontal="left" vertical="center" wrapText="1"/>
      <protection/>
    </xf>
    <xf numFmtId="3" fontId="31" fillId="0" borderId="29" xfId="19" applyNumberFormat="1" applyFont="1" applyFill="1" applyBorder="1" applyAlignment="1">
      <alignment horizontal="left" vertical="center" wrapText="1"/>
      <protection/>
    </xf>
    <xf numFmtId="4" fontId="31" fillId="0" borderId="49" xfId="19" applyNumberFormat="1" applyFont="1" applyFill="1" applyBorder="1" applyAlignment="1">
      <alignment horizontal="center" vertical="center" wrapText="1"/>
      <protection/>
    </xf>
    <xf numFmtId="4" fontId="31" fillId="0" borderId="29" xfId="19" applyNumberFormat="1" applyFont="1" applyFill="1" applyBorder="1" applyAlignment="1">
      <alignment horizontal="center" vertical="center" wrapText="1"/>
      <protection/>
    </xf>
    <xf numFmtId="4" fontId="14" fillId="0" borderId="49" xfId="19" applyNumberFormat="1" applyFont="1" applyFill="1" applyBorder="1" applyAlignment="1">
      <alignment horizontal="left" vertical="center" wrapText="1"/>
      <protection/>
    </xf>
    <xf numFmtId="4" fontId="14" fillId="0" borderId="29" xfId="19" applyNumberFormat="1" applyFont="1" applyFill="1" applyBorder="1" applyAlignment="1">
      <alignment horizontal="left" vertical="center" wrapText="1"/>
      <protection/>
    </xf>
    <xf numFmtId="0" fontId="32" fillId="0" borderId="49" xfId="18" applyFont="1" applyFill="1" applyBorder="1" applyAlignment="1">
      <alignment horizontal="center" vertical="center" wrapText="1"/>
      <protection/>
    </xf>
    <xf numFmtId="0" fontId="32" fillId="0" borderId="29" xfId="18" applyFont="1" applyFill="1" applyBorder="1" applyAlignment="1">
      <alignment horizontal="center" vertical="center" wrapText="1"/>
      <protection/>
    </xf>
    <xf numFmtId="1" fontId="14" fillId="0" borderId="49" xfId="19" applyNumberFormat="1" applyFont="1" applyFill="1" applyBorder="1" applyAlignment="1">
      <alignment horizontal="left" vertical="center" wrapText="1"/>
      <protection/>
    </xf>
    <xf numFmtId="1" fontId="14" fillId="0" borderId="29" xfId="19" applyNumberFormat="1" applyFont="1" applyFill="1" applyBorder="1" applyAlignment="1">
      <alignment horizontal="left" vertical="center" wrapText="1"/>
      <protection/>
    </xf>
    <xf numFmtId="4" fontId="4" fillId="0" borderId="0" xfId="19" applyNumberFormat="1" applyFont="1" applyFill="1" applyBorder="1" applyAlignment="1">
      <alignment horizontal="center" vertical="center" wrapText="1"/>
      <protection/>
    </xf>
    <xf numFmtId="1" fontId="16" fillId="2" borderId="50" xfId="19" applyNumberFormat="1" applyFont="1" applyFill="1" applyBorder="1" applyAlignment="1">
      <alignment horizontal="center" vertical="center" wrapText="1"/>
      <protection/>
    </xf>
    <xf numFmtId="1" fontId="16" fillId="2" borderId="51" xfId="19" applyNumberFormat="1" applyFont="1" applyFill="1" applyBorder="1" applyAlignment="1">
      <alignment horizontal="center" vertical="center" wrapText="1"/>
      <protection/>
    </xf>
    <xf numFmtId="1" fontId="16" fillId="2" borderId="52" xfId="19" applyNumberFormat="1" applyFont="1" applyFill="1" applyBorder="1" applyAlignment="1">
      <alignment horizontal="center" vertical="center" wrapText="1"/>
      <protection/>
    </xf>
    <xf numFmtId="1" fontId="16" fillId="2" borderId="3" xfId="19" applyNumberFormat="1" applyFont="1" applyFill="1" applyBorder="1" applyAlignment="1">
      <alignment horizontal="center" vertical="center" wrapText="1"/>
      <protection/>
    </xf>
    <xf numFmtId="1" fontId="16" fillId="2" borderId="2" xfId="19" applyNumberFormat="1" applyFont="1" applyFill="1" applyBorder="1" applyAlignment="1">
      <alignment horizontal="center" vertical="center" wrapText="1"/>
      <protection/>
    </xf>
    <xf numFmtId="1" fontId="16" fillId="2" borderId="5" xfId="19" applyNumberFormat="1" applyFont="1" applyFill="1" applyBorder="1" applyAlignment="1">
      <alignment horizontal="center" vertical="center" wrapText="1"/>
      <protection/>
    </xf>
    <xf numFmtId="1" fontId="8" fillId="0" borderId="50" xfId="19" applyNumberFormat="1" applyFont="1" applyFill="1" applyBorder="1" applyAlignment="1">
      <alignment horizontal="center" vertical="center" wrapText="1"/>
      <protection/>
    </xf>
    <xf numFmtId="1" fontId="8" fillId="0" borderId="51" xfId="19" applyNumberFormat="1" applyFont="1" applyFill="1" applyBorder="1" applyAlignment="1">
      <alignment horizontal="center" vertical="center" wrapText="1"/>
      <protection/>
    </xf>
    <xf numFmtId="1" fontId="8" fillId="0" borderId="53" xfId="19" applyNumberFormat="1" applyFont="1" applyFill="1" applyBorder="1" applyAlignment="1">
      <alignment horizontal="center" vertical="center" wrapText="1"/>
      <protection/>
    </xf>
    <xf numFmtId="1" fontId="8" fillId="0" borderId="3" xfId="19" applyNumberFormat="1" applyFont="1" applyFill="1" applyBorder="1" applyAlignment="1">
      <alignment horizontal="center" vertical="center" wrapText="1"/>
      <protection/>
    </xf>
    <xf numFmtId="1" fontId="8" fillId="0" borderId="2" xfId="19" applyNumberFormat="1" applyFont="1" applyFill="1" applyBorder="1" applyAlignment="1">
      <alignment horizontal="center" vertical="center" wrapText="1"/>
      <protection/>
    </xf>
    <xf numFmtId="1" fontId="8" fillId="0" borderId="4" xfId="19" applyNumberFormat="1" applyFont="1" applyFill="1" applyBorder="1" applyAlignment="1">
      <alignment horizontal="center" vertical="center" wrapText="1"/>
      <protection/>
    </xf>
    <xf numFmtId="1" fontId="19" fillId="0" borderId="54" xfId="19" applyNumberFormat="1" applyFont="1" applyFill="1" applyBorder="1" applyAlignment="1">
      <alignment horizontal="center" vertical="center" wrapText="1"/>
      <protection/>
    </xf>
    <xf numFmtId="1" fontId="19" fillId="0" borderId="51" xfId="19" applyNumberFormat="1" applyFont="1" applyFill="1" applyBorder="1" applyAlignment="1">
      <alignment horizontal="center" vertical="center" wrapText="1"/>
      <protection/>
    </xf>
    <xf numFmtId="1" fontId="19" fillId="0" borderId="53" xfId="19" applyNumberFormat="1" applyFont="1" applyFill="1" applyBorder="1" applyAlignment="1">
      <alignment horizontal="center" vertical="center" wrapText="1"/>
      <protection/>
    </xf>
    <xf numFmtId="1" fontId="19" fillId="0" borderId="7" xfId="19" applyNumberFormat="1" applyFont="1" applyFill="1" applyBorder="1" applyAlignment="1">
      <alignment horizontal="center" vertical="center" wrapText="1"/>
      <protection/>
    </xf>
    <xf numFmtId="1" fontId="19" fillId="0" borderId="2" xfId="19" applyNumberFormat="1" applyFont="1" applyFill="1" applyBorder="1" applyAlignment="1">
      <alignment horizontal="center" vertical="center" wrapText="1"/>
      <protection/>
    </xf>
    <xf numFmtId="1" fontId="19" fillId="0" borderId="4" xfId="19" applyNumberFormat="1" applyFont="1" applyFill="1" applyBorder="1" applyAlignment="1">
      <alignment horizontal="center" vertical="center" wrapText="1"/>
      <protection/>
    </xf>
    <xf numFmtId="1" fontId="6" fillId="0" borderId="55" xfId="19" applyNumberFormat="1" applyFont="1" applyFill="1" applyBorder="1" applyAlignment="1">
      <alignment horizontal="center" vertical="center" wrapText="1"/>
      <protection/>
    </xf>
    <xf numFmtId="1" fontId="6" fillId="0" borderId="56" xfId="19" applyNumberFormat="1" applyFont="1" applyFill="1" applyBorder="1" applyAlignment="1">
      <alignment horizontal="center" vertical="center" wrapText="1"/>
      <protection/>
    </xf>
    <xf numFmtId="1" fontId="6" fillId="0" borderId="57" xfId="19" applyNumberFormat="1" applyFont="1" applyFill="1" applyBorder="1" applyAlignment="1">
      <alignment horizontal="center" vertical="center" wrapText="1"/>
      <protection/>
    </xf>
    <xf numFmtId="4" fontId="7" fillId="0" borderId="58" xfId="19" applyNumberFormat="1" applyFont="1" applyFill="1" applyBorder="1" applyAlignment="1">
      <alignment horizontal="center" vertical="center" wrapText="1"/>
      <protection/>
    </xf>
    <xf numFmtId="4" fontId="7" fillId="0" borderId="59" xfId="19" applyNumberFormat="1" applyFont="1" applyFill="1" applyBorder="1" applyAlignment="1">
      <alignment horizontal="center" vertical="center" wrapText="1"/>
      <protection/>
    </xf>
    <xf numFmtId="4" fontId="7" fillId="0" borderId="14" xfId="19" applyNumberFormat="1" applyFont="1" applyFill="1" applyBorder="1" applyAlignment="1">
      <alignment horizontal="center" vertical="center" wrapText="1"/>
      <protection/>
    </xf>
    <xf numFmtId="1" fontId="6" fillId="0" borderId="60" xfId="19" applyNumberFormat="1" applyFont="1" applyFill="1" applyBorder="1" applyAlignment="1">
      <alignment horizontal="center" vertical="center" wrapText="1"/>
      <protection/>
    </xf>
    <xf numFmtId="1" fontId="6" fillId="0" borderId="61" xfId="19" applyNumberFormat="1" applyFont="1" applyFill="1" applyBorder="1" applyAlignment="1">
      <alignment horizontal="center" vertical="center" wrapText="1"/>
      <protection/>
    </xf>
    <xf numFmtId="1" fontId="6" fillId="0" borderId="16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3" sqref="B13"/>
    </sheetView>
  </sheetViews>
  <sheetFormatPr defaultColWidth="9.00390625" defaultRowHeight="12.75"/>
  <cols>
    <col min="1" max="1" width="5.75390625" style="101" customWidth="1"/>
    <col min="2" max="2" width="44.00390625" style="126" customWidth="1"/>
    <col min="3" max="3" width="11.125" style="127" hidden="1" customWidth="1"/>
    <col min="4" max="4" width="3.375" style="127" hidden="1" customWidth="1"/>
    <col min="5" max="5" width="10.75390625" style="127" hidden="1" customWidth="1"/>
    <col min="6" max="6" width="14.25390625" style="1" customWidth="1"/>
    <col min="7" max="7" width="14.75390625" style="1" customWidth="1"/>
    <col min="8" max="8" width="15.875" style="2" customWidth="1"/>
    <col min="9" max="10" width="15.125" style="13" customWidth="1"/>
    <col min="11" max="11" width="15.25390625" style="13" customWidth="1"/>
    <col min="12" max="12" width="10.00390625" style="2" customWidth="1"/>
    <col min="13" max="16384" width="9.125" style="10" customWidth="1"/>
  </cols>
  <sheetData>
    <row r="1" spans="1:12" s="2" customFormat="1" ht="29.25" customHeight="1" thickBot="1">
      <c r="A1" s="279" t="s">
        <v>136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s="3" customFormat="1" ht="8.25" customHeight="1">
      <c r="A2" s="304" t="s">
        <v>0</v>
      </c>
      <c r="B2" s="301" t="s">
        <v>1</v>
      </c>
      <c r="C2" s="286" t="s">
        <v>131</v>
      </c>
      <c r="D2" s="287"/>
      <c r="E2" s="288"/>
      <c r="F2" s="280" t="s">
        <v>111</v>
      </c>
      <c r="G2" s="281"/>
      <c r="H2" s="282"/>
      <c r="I2" s="292" t="s">
        <v>137</v>
      </c>
      <c r="J2" s="293"/>
      <c r="K2" s="294"/>
      <c r="L2" s="298" t="s">
        <v>138</v>
      </c>
    </row>
    <row r="3" spans="1:12" s="3" customFormat="1" ht="9.75" customHeight="1">
      <c r="A3" s="305"/>
      <c r="B3" s="302"/>
      <c r="C3" s="289"/>
      <c r="D3" s="290"/>
      <c r="E3" s="291"/>
      <c r="F3" s="283"/>
      <c r="G3" s="284"/>
      <c r="H3" s="285"/>
      <c r="I3" s="295"/>
      <c r="J3" s="296"/>
      <c r="K3" s="297"/>
      <c r="L3" s="299"/>
    </row>
    <row r="4" spans="1:12" s="3" customFormat="1" ht="13.5" customHeight="1">
      <c r="A4" s="306"/>
      <c r="B4" s="303"/>
      <c r="C4" s="214" t="s">
        <v>73</v>
      </c>
      <c r="D4" s="117" t="s">
        <v>77</v>
      </c>
      <c r="E4" s="118" t="s">
        <v>128</v>
      </c>
      <c r="F4" s="119" t="s">
        <v>73</v>
      </c>
      <c r="G4" s="120" t="s">
        <v>77</v>
      </c>
      <c r="H4" s="121" t="s">
        <v>128</v>
      </c>
      <c r="I4" s="122" t="s">
        <v>73</v>
      </c>
      <c r="J4" s="123" t="s">
        <v>77</v>
      </c>
      <c r="K4" s="124" t="s">
        <v>128</v>
      </c>
      <c r="L4" s="300"/>
    </row>
    <row r="5" spans="1:12" s="4" customFormat="1" ht="10.5" thickBot="1">
      <c r="A5" s="55">
        <v>1</v>
      </c>
      <c r="B5" s="233">
        <v>2</v>
      </c>
      <c r="C5" s="215">
        <v>3</v>
      </c>
      <c r="D5" s="56">
        <v>4</v>
      </c>
      <c r="E5" s="57">
        <v>5</v>
      </c>
      <c r="F5" s="58">
        <v>3</v>
      </c>
      <c r="G5" s="59">
        <v>4</v>
      </c>
      <c r="H5" s="60">
        <v>5</v>
      </c>
      <c r="I5" s="61">
        <v>6</v>
      </c>
      <c r="J5" s="62">
        <v>7</v>
      </c>
      <c r="K5" s="63">
        <v>8</v>
      </c>
      <c r="L5" s="125">
        <v>9</v>
      </c>
    </row>
    <row r="6" spans="1:12" s="166" customFormat="1" ht="18.75" customHeight="1" thickBot="1">
      <c r="A6" s="271" t="s">
        <v>2</v>
      </c>
      <c r="B6" s="272"/>
      <c r="C6" s="216">
        <f>SUM(C7,C81,C86,C131)</f>
        <v>394743926</v>
      </c>
      <c r="D6" s="160">
        <f>SUM(D7,D81,D86,D131)</f>
        <v>119921176</v>
      </c>
      <c r="E6" s="161">
        <f>SUM(E7,E81,E86,E131)</f>
        <v>514665102</v>
      </c>
      <c r="F6" s="162">
        <f>SUM(F7,F81,F86,F131)</f>
        <v>395243926</v>
      </c>
      <c r="G6" s="163">
        <f>SUM(G7,G81,G86,G131)</f>
        <v>119921176</v>
      </c>
      <c r="H6" s="164">
        <f>SUM(F6:G6)</f>
        <v>515165102</v>
      </c>
      <c r="I6" s="159">
        <f>SUM(I7,I81,I86,I131)</f>
        <v>490323711</v>
      </c>
      <c r="J6" s="160">
        <f>SUM(J7,J81,J86,J131)</f>
        <v>135640877</v>
      </c>
      <c r="K6" s="161">
        <f>SUM(K7,K81,K86,K131)</f>
        <v>625964588</v>
      </c>
      <c r="L6" s="165">
        <f aca="true" t="shared" si="0" ref="L6:L23">K6/H6</f>
        <v>1.215</v>
      </c>
    </row>
    <row r="7" spans="1:12" s="158" customFormat="1" ht="16.5" customHeight="1" thickBot="1">
      <c r="A7" s="273" t="s">
        <v>135</v>
      </c>
      <c r="B7" s="274"/>
      <c r="C7" s="217">
        <f aca="true" t="shared" si="1" ref="C7:K7">SUM(C8,C20,C25,C35,C59,C78)</f>
        <v>295689312</v>
      </c>
      <c r="D7" s="152">
        <f t="shared" si="1"/>
        <v>42840413</v>
      </c>
      <c r="E7" s="153">
        <f t="shared" si="1"/>
        <v>338529725</v>
      </c>
      <c r="F7" s="154">
        <f t="shared" si="1"/>
        <v>296189312</v>
      </c>
      <c r="G7" s="155">
        <f t="shared" si="1"/>
        <v>42840413</v>
      </c>
      <c r="H7" s="156">
        <f t="shared" si="1"/>
        <v>339029725</v>
      </c>
      <c r="I7" s="152">
        <f t="shared" si="1"/>
        <v>378684573</v>
      </c>
      <c r="J7" s="157">
        <f t="shared" si="1"/>
        <v>60935845</v>
      </c>
      <c r="K7" s="153">
        <f t="shared" si="1"/>
        <v>439620418</v>
      </c>
      <c r="L7" s="140">
        <f t="shared" si="0"/>
        <v>1.297</v>
      </c>
    </row>
    <row r="8" spans="1:12" s="151" customFormat="1" ht="17.25" customHeight="1">
      <c r="A8" s="141">
        <v>1</v>
      </c>
      <c r="B8" s="234" t="s">
        <v>3</v>
      </c>
      <c r="C8" s="218">
        <f>SUM(C9:C13)</f>
        <v>94542800</v>
      </c>
      <c r="D8" s="142">
        <f>SUM(D9:D13)</f>
        <v>0</v>
      </c>
      <c r="E8" s="143">
        <f>SUM(C8:D8)</f>
        <v>94542800</v>
      </c>
      <c r="F8" s="144">
        <f>SUM(F9:F13)</f>
        <v>94542800</v>
      </c>
      <c r="G8" s="145">
        <f>SUM(G9:G13)</f>
        <v>0</v>
      </c>
      <c r="H8" s="146">
        <f aca="true" t="shared" si="2" ref="H8:H69">SUM(F8:G8)</f>
        <v>94542800</v>
      </c>
      <c r="I8" s="147">
        <f>SUM(I9:I13)</f>
        <v>100017200</v>
      </c>
      <c r="J8" s="148">
        <f>SUM(J9:J13)</f>
        <v>0</v>
      </c>
      <c r="K8" s="149">
        <f>SUM(I8:J8)</f>
        <v>100017200</v>
      </c>
      <c r="L8" s="150">
        <f t="shared" si="0"/>
        <v>1.058</v>
      </c>
    </row>
    <row r="9" spans="1:12" s="5" customFormat="1" ht="14.25" customHeight="1">
      <c r="A9" s="67"/>
      <c r="B9" s="235" t="s">
        <v>4</v>
      </c>
      <c r="C9" s="219">
        <f>68000000+11200000+545000+3000000</f>
        <v>82745000</v>
      </c>
      <c r="D9" s="68"/>
      <c r="E9" s="69">
        <f>SUM(C9:D9)</f>
        <v>82745000</v>
      </c>
      <c r="F9" s="70">
        <f>C9</f>
        <v>82745000</v>
      </c>
      <c r="G9" s="71">
        <f>D9</f>
        <v>0</v>
      </c>
      <c r="H9" s="72">
        <f t="shared" si="2"/>
        <v>82745000</v>
      </c>
      <c r="I9" s="73">
        <v>87500000</v>
      </c>
      <c r="J9" s="74"/>
      <c r="K9" s="75">
        <f>SUM(I9:J9)</f>
        <v>87500000</v>
      </c>
      <c r="L9" s="76">
        <f t="shared" si="0"/>
        <v>1.057</v>
      </c>
    </row>
    <row r="10" spans="1:12" s="5" customFormat="1" ht="14.25" customHeight="1">
      <c r="A10" s="16"/>
      <c r="B10" s="236" t="s">
        <v>5</v>
      </c>
      <c r="C10" s="220">
        <f>2600000+1600000</f>
        <v>4200000</v>
      </c>
      <c r="D10" s="17"/>
      <c r="E10" s="40">
        <f>SUM(C10:D10)</f>
        <v>4200000</v>
      </c>
      <c r="F10" s="35">
        <f aca="true" t="shared" si="3" ref="F10:F19">C10</f>
        <v>4200000</v>
      </c>
      <c r="G10" s="18">
        <f aca="true" t="shared" si="4" ref="G10:G19">D10</f>
        <v>0</v>
      </c>
      <c r="H10" s="44">
        <f t="shared" si="2"/>
        <v>4200000</v>
      </c>
      <c r="I10" s="48">
        <v>4500000</v>
      </c>
      <c r="J10" s="19"/>
      <c r="K10" s="49">
        <f>SUM(I10:J10)</f>
        <v>4500000</v>
      </c>
      <c r="L10" s="45">
        <f t="shared" si="0"/>
        <v>1.071</v>
      </c>
    </row>
    <row r="11" spans="1:12" s="5" customFormat="1" ht="14.25" customHeight="1">
      <c r="A11" s="16"/>
      <c r="B11" s="236" t="s">
        <v>6</v>
      </c>
      <c r="C11" s="220">
        <v>4550000</v>
      </c>
      <c r="D11" s="17"/>
      <c r="E11" s="40">
        <f>SUM(C11:D11)</f>
        <v>4550000</v>
      </c>
      <c r="F11" s="35">
        <f>C11</f>
        <v>4550000</v>
      </c>
      <c r="G11" s="18">
        <f t="shared" si="4"/>
        <v>0</v>
      </c>
      <c r="H11" s="44">
        <f t="shared" si="2"/>
        <v>4550000</v>
      </c>
      <c r="I11" s="48">
        <v>4738000</v>
      </c>
      <c r="J11" s="19"/>
      <c r="K11" s="49">
        <f>SUM(I11:J11)</f>
        <v>4738000</v>
      </c>
      <c r="L11" s="45">
        <f t="shared" si="0"/>
        <v>1.041</v>
      </c>
    </row>
    <row r="12" spans="1:12" s="5" customFormat="1" ht="14.25" customHeight="1">
      <c r="A12" s="16"/>
      <c r="B12" s="237" t="s">
        <v>7</v>
      </c>
      <c r="C12" s="220">
        <f>1450000+121200</f>
        <v>1571200</v>
      </c>
      <c r="D12" s="17"/>
      <c r="E12" s="40">
        <f>SUM(C12:D12)</f>
        <v>1571200</v>
      </c>
      <c r="F12" s="35">
        <f t="shared" si="3"/>
        <v>1571200</v>
      </c>
      <c r="G12" s="18">
        <f t="shared" si="4"/>
        <v>0</v>
      </c>
      <c r="H12" s="44">
        <f t="shared" si="2"/>
        <v>1571200</v>
      </c>
      <c r="I12" s="48">
        <f>125200+1450000</f>
        <v>1575200</v>
      </c>
      <c r="J12" s="19"/>
      <c r="K12" s="49">
        <f>SUM(I12:J12)</f>
        <v>1575200</v>
      </c>
      <c r="L12" s="45">
        <f t="shared" si="0"/>
        <v>1.003</v>
      </c>
    </row>
    <row r="13" spans="1:12" s="5" customFormat="1" ht="14.25" customHeight="1">
      <c r="A13" s="16"/>
      <c r="B13" s="237" t="s">
        <v>8</v>
      </c>
      <c r="C13" s="220">
        <f aca="true" t="shared" si="5" ref="C13:K13">SUM(C14:C19)</f>
        <v>1476600</v>
      </c>
      <c r="D13" s="17">
        <f t="shared" si="5"/>
        <v>0</v>
      </c>
      <c r="E13" s="40">
        <f t="shared" si="5"/>
        <v>1476600</v>
      </c>
      <c r="F13" s="35">
        <f t="shared" si="3"/>
        <v>1476600</v>
      </c>
      <c r="G13" s="18">
        <f t="shared" si="4"/>
        <v>0</v>
      </c>
      <c r="H13" s="44">
        <f t="shared" si="2"/>
        <v>1476600</v>
      </c>
      <c r="I13" s="48">
        <f t="shared" si="5"/>
        <v>1704000</v>
      </c>
      <c r="J13" s="19">
        <f t="shared" si="5"/>
        <v>0</v>
      </c>
      <c r="K13" s="49">
        <f t="shared" si="5"/>
        <v>1704000</v>
      </c>
      <c r="L13" s="45">
        <f t="shared" si="0"/>
        <v>1.154</v>
      </c>
    </row>
    <row r="14" spans="1:12" s="6" customFormat="1" ht="14.25" customHeight="1">
      <c r="A14" s="20"/>
      <c r="B14" s="238" t="s">
        <v>9</v>
      </c>
      <c r="C14" s="221">
        <f>400+28500</f>
        <v>28900</v>
      </c>
      <c r="D14" s="21"/>
      <c r="E14" s="41">
        <f aca="true" t="shared" si="6" ref="E14:E24">SUM(C14:D14)</f>
        <v>28900</v>
      </c>
      <c r="F14" s="35">
        <f t="shared" si="3"/>
        <v>28900</v>
      </c>
      <c r="G14" s="18">
        <f t="shared" si="4"/>
        <v>0</v>
      </c>
      <c r="H14" s="44">
        <f t="shared" si="2"/>
        <v>28900</v>
      </c>
      <c r="I14" s="50">
        <v>28000</v>
      </c>
      <c r="J14" s="22"/>
      <c r="K14" s="51">
        <f aca="true" t="shared" si="7" ref="K14:K19">SUM(I14:J14)</f>
        <v>28000</v>
      </c>
      <c r="L14" s="45">
        <f t="shared" si="0"/>
        <v>0.969</v>
      </c>
    </row>
    <row r="15" spans="1:12" s="6" customFormat="1" ht="14.25" customHeight="1">
      <c r="A15" s="20"/>
      <c r="B15" s="239" t="s">
        <v>10</v>
      </c>
      <c r="C15" s="221">
        <f>63000+2700</f>
        <v>65700</v>
      </c>
      <c r="D15" s="21"/>
      <c r="E15" s="41">
        <f t="shared" si="6"/>
        <v>65700</v>
      </c>
      <c r="F15" s="35">
        <f t="shared" si="3"/>
        <v>65700</v>
      </c>
      <c r="G15" s="18">
        <f t="shared" si="4"/>
        <v>0</v>
      </c>
      <c r="H15" s="44">
        <f t="shared" si="2"/>
        <v>65700</v>
      </c>
      <c r="I15" s="50">
        <v>68000</v>
      </c>
      <c r="J15" s="22"/>
      <c r="K15" s="51">
        <f t="shared" si="7"/>
        <v>68000</v>
      </c>
      <c r="L15" s="45">
        <f t="shared" si="0"/>
        <v>1.035</v>
      </c>
    </row>
    <row r="16" spans="1:12" s="7" customFormat="1" ht="14.25" customHeight="1">
      <c r="A16" s="20"/>
      <c r="B16" s="238" t="s">
        <v>11</v>
      </c>
      <c r="C16" s="221">
        <v>2000</v>
      </c>
      <c r="D16" s="21"/>
      <c r="E16" s="41">
        <f t="shared" si="6"/>
        <v>2000</v>
      </c>
      <c r="F16" s="35">
        <f t="shared" si="3"/>
        <v>2000</v>
      </c>
      <c r="G16" s="18">
        <f t="shared" si="4"/>
        <v>0</v>
      </c>
      <c r="H16" s="44">
        <f t="shared" si="2"/>
        <v>2000</v>
      </c>
      <c r="I16" s="50">
        <v>2000</v>
      </c>
      <c r="J16" s="22"/>
      <c r="K16" s="51">
        <f t="shared" si="7"/>
        <v>2000</v>
      </c>
      <c r="L16" s="45">
        <f t="shared" si="0"/>
        <v>1</v>
      </c>
    </row>
    <row r="17" spans="1:12" s="6" customFormat="1" ht="14.25" customHeight="1">
      <c r="A17" s="20"/>
      <c r="B17" s="238" t="s">
        <v>12</v>
      </c>
      <c r="C17" s="221">
        <v>10000</v>
      </c>
      <c r="D17" s="21"/>
      <c r="E17" s="41">
        <f t="shared" si="6"/>
        <v>10000</v>
      </c>
      <c r="F17" s="35">
        <f t="shared" si="3"/>
        <v>10000</v>
      </c>
      <c r="G17" s="18">
        <f t="shared" si="4"/>
        <v>0</v>
      </c>
      <c r="H17" s="44">
        <f t="shared" si="2"/>
        <v>10000</v>
      </c>
      <c r="I17" s="50">
        <v>6000</v>
      </c>
      <c r="J17" s="22"/>
      <c r="K17" s="51">
        <f t="shared" si="7"/>
        <v>6000</v>
      </c>
      <c r="L17" s="45">
        <f t="shared" si="0"/>
        <v>0.6</v>
      </c>
    </row>
    <row r="18" spans="1:12" s="6" customFormat="1" ht="14.25" customHeight="1">
      <c r="A18" s="20"/>
      <c r="B18" s="238" t="s">
        <v>13</v>
      </c>
      <c r="C18" s="221">
        <v>100000</v>
      </c>
      <c r="D18" s="21"/>
      <c r="E18" s="41">
        <f t="shared" si="6"/>
        <v>100000</v>
      </c>
      <c r="F18" s="35">
        <f t="shared" si="3"/>
        <v>100000</v>
      </c>
      <c r="G18" s="18">
        <f t="shared" si="4"/>
        <v>0</v>
      </c>
      <c r="H18" s="44">
        <f t="shared" si="2"/>
        <v>100000</v>
      </c>
      <c r="I18" s="50">
        <v>100000</v>
      </c>
      <c r="J18" s="22"/>
      <c r="K18" s="51">
        <f t="shared" si="7"/>
        <v>100000</v>
      </c>
      <c r="L18" s="45">
        <f t="shared" si="0"/>
        <v>1</v>
      </c>
    </row>
    <row r="19" spans="1:12" s="8" customFormat="1" ht="14.25" customHeight="1">
      <c r="A19" s="97"/>
      <c r="B19" s="240" t="s">
        <v>14</v>
      </c>
      <c r="C19" s="222">
        <f>870000+400000</f>
        <v>1270000</v>
      </c>
      <c r="D19" s="77"/>
      <c r="E19" s="78">
        <f t="shared" si="6"/>
        <v>1270000</v>
      </c>
      <c r="F19" s="79">
        <f t="shared" si="3"/>
        <v>1270000</v>
      </c>
      <c r="G19" s="80">
        <f t="shared" si="4"/>
        <v>0</v>
      </c>
      <c r="H19" s="81">
        <f t="shared" si="2"/>
        <v>1270000</v>
      </c>
      <c r="I19" s="82">
        <v>1500000</v>
      </c>
      <c r="J19" s="83"/>
      <c r="K19" s="84">
        <f t="shared" si="7"/>
        <v>1500000</v>
      </c>
      <c r="L19" s="85">
        <f t="shared" si="0"/>
        <v>1.181</v>
      </c>
    </row>
    <row r="20" spans="1:12" s="178" customFormat="1" ht="14.25" customHeight="1">
      <c r="A20" s="167">
        <v>2</v>
      </c>
      <c r="B20" s="241" t="s">
        <v>15</v>
      </c>
      <c r="C20" s="223">
        <f>SUM(C21:C23)</f>
        <v>17860000</v>
      </c>
      <c r="D20" s="169">
        <f>SUM(D21:D23)</f>
        <v>0</v>
      </c>
      <c r="E20" s="170">
        <f t="shared" si="6"/>
        <v>17860000</v>
      </c>
      <c r="F20" s="171">
        <f aca="true" t="shared" si="8" ref="F20:K20">SUM(F21:F24)</f>
        <v>17860000</v>
      </c>
      <c r="G20" s="172">
        <f t="shared" si="8"/>
        <v>0</v>
      </c>
      <c r="H20" s="173">
        <f t="shared" si="2"/>
        <v>17860000</v>
      </c>
      <c r="I20" s="174">
        <f t="shared" si="8"/>
        <v>18500000</v>
      </c>
      <c r="J20" s="175">
        <f t="shared" si="8"/>
        <v>0</v>
      </c>
      <c r="K20" s="176">
        <f t="shared" si="8"/>
        <v>18500000</v>
      </c>
      <c r="L20" s="177">
        <f t="shared" si="0"/>
        <v>1.036</v>
      </c>
    </row>
    <row r="21" spans="1:12" s="5" customFormat="1" ht="14.25" customHeight="1">
      <c r="A21" s="67"/>
      <c r="B21" s="242" t="s">
        <v>16</v>
      </c>
      <c r="C21" s="219">
        <v>1500000</v>
      </c>
      <c r="D21" s="68"/>
      <c r="E21" s="69">
        <f t="shared" si="6"/>
        <v>1500000</v>
      </c>
      <c r="F21" s="70">
        <f aca="true" t="shared" si="9" ref="F21:G24">C21</f>
        <v>1500000</v>
      </c>
      <c r="G21" s="71">
        <f t="shared" si="9"/>
        <v>0</v>
      </c>
      <c r="H21" s="72">
        <f t="shared" si="2"/>
        <v>1500000</v>
      </c>
      <c r="I21" s="73">
        <v>1000000</v>
      </c>
      <c r="J21" s="74"/>
      <c r="K21" s="75">
        <f aca="true" t="shared" si="10" ref="K21:K67">SUM(I21:J21)</f>
        <v>1000000</v>
      </c>
      <c r="L21" s="76">
        <f t="shared" si="0"/>
        <v>0.667</v>
      </c>
    </row>
    <row r="22" spans="1:12" s="5" customFormat="1" ht="14.25" customHeight="1">
      <c r="A22" s="16"/>
      <c r="B22" s="237" t="s">
        <v>17</v>
      </c>
      <c r="C22" s="220">
        <v>3160000</v>
      </c>
      <c r="D22" s="17"/>
      <c r="E22" s="40">
        <f t="shared" si="6"/>
        <v>3160000</v>
      </c>
      <c r="F22" s="35">
        <f t="shared" si="9"/>
        <v>3160000</v>
      </c>
      <c r="G22" s="18">
        <f t="shared" si="9"/>
        <v>0</v>
      </c>
      <c r="H22" s="44">
        <f t="shared" si="2"/>
        <v>3160000</v>
      </c>
      <c r="I22" s="48">
        <v>3400000</v>
      </c>
      <c r="J22" s="19"/>
      <c r="K22" s="49">
        <f t="shared" si="10"/>
        <v>3400000</v>
      </c>
      <c r="L22" s="45">
        <f t="shared" si="0"/>
        <v>1.076</v>
      </c>
    </row>
    <row r="23" spans="1:12" s="5" customFormat="1" ht="14.25" customHeight="1">
      <c r="A23" s="16"/>
      <c r="B23" s="237" t="s">
        <v>18</v>
      </c>
      <c r="C23" s="220">
        <v>13200000</v>
      </c>
      <c r="D23" s="17"/>
      <c r="E23" s="40">
        <f t="shared" si="6"/>
        <v>13200000</v>
      </c>
      <c r="F23" s="35">
        <f t="shared" si="9"/>
        <v>13200000</v>
      </c>
      <c r="G23" s="18">
        <f t="shared" si="9"/>
        <v>0</v>
      </c>
      <c r="H23" s="44">
        <f t="shared" si="2"/>
        <v>13200000</v>
      </c>
      <c r="I23" s="48">
        <f>3100000+10900000</f>
        <v>14000000</v>
      </c>
      <c r="J23" s="19"/>
      <c r="K23" s="49">
        <f t="shared" si="10"/>
        <v>14000000</v>
      </c>
      <c r="L23" s="45">
        <f t="shared" si="0"/>
        <v>1.061</v>
      </c>
    </row>
    <row r="24" spans="1:12" s="5" customFormat="1" ht="14.25" customHeight="1">
      <c r="A24" s="86"/>
      <c r="B24" s="243" t="s">
        <v>112</v>
      </c>
      <c r="C24" s="224"/>
      <c r="D24" s="87"/>
      <c r="E24" s="40">
        <f t="shared" si="6"/>
        <v>0</v>
      </c>
      <c r="F24" s="79">
        <f t="shared" si="9"/>
        <v>0</v>
      </c>
      <c r="G24" s="80">
        <f t="shared" si="9"/>
        <v>0</v>
      </c>
      <c r="H24" s="81">
        <f t="shared" si="2"/>
        <v>0</v>
      </c>
      <c r="I24" s="89">
        <v>100000</v>
      </c>
      <c r="J24" s="90"/>
      <c r="K24" s="91">
        <f t="shared" si="10"/>
        <v>100000</v>
      </c>
      <c r="L24" s="45"/>
    </row>
    <row r="25" spans="1:12" s="151" customFormat="1" ht="14.25" customHeight="1">
      <c r="A25" s="167">
        <v>3</v>
      </c>
      <c r="B25" s="244" t="s">
        <v>19</v>
      </c>
      <c r="C25" s="223">
        <f>SUM(C26:C30)</f>
        <v>32423110</v>
      </c>
      <c r="D25" s="168">
        <f>SUM(D26:D30)</f>
        <v>628744</v>
      </c>
      <c r="E25" s="170">
        <f aca="true" t="shared" si="11" ref="E25:E34">SUM(C25:D25)</f>
        <v>33051854</v>
      </c>
      <c r="F25" s="171">
        <f>SUM(F26:F30)</f>
        <v>32423110</v>
      </c>
      <c r="G25" s="172">
        <f>SUM(G26:G30)</f>
        <v>628744</v>
      </c>
      <c r="H25" s="179">
        <f t="shared" si="2"/>
        <v>33051854</v>
      </c>
      <c r="I25" s="174">
        <f>SUM(I26:I30)</f>
        <v>36632455</v>
      </c>
      <c r="J25" s="175">
        <f>SUM(J26:J30)</f>
        <v>674801</v>
      </c>
      <c r="K25" s="180">
        <f t="shared" si="10"/>
        <v>37307256</v>
      </c>
      <c r="L25" s="177">
        <f aca="true" t="shared" si="12" ref="L25:L33">K25/H25</f>
        <v>1.129</v>
      </c>
    </row>
    <row r="26" spans="1:12" s="5" customFormat="1" ht="13.5" customHeight="1">
      <c r="A26" s="67"/>
      <c r="B26" s="242" t="s">
        <v>20</v>
      </c>
      <c r="C26" s="219">
        <v>14818580</v>
      </c>
      <c r="D26" s="68"/>
      <c r="E26" s="69">
        <f t="shared" si="11"/>
        <v>14818580</v>
      </c>
      <c r="F26" s="70">
        <f>C26</f>
        <v>14818580</v>
      </c>
      <c r="G26" s="71">
        <f>D26</f>
        <v>0</v>
      </c>
      <c r="H26" s="72">
        <f t="shared" si="2"/>
        <v>14818580</v>
      </c>
      <c r="I26" s="73">
        <f>19760000+150000</f>
        <v>19910000</v>
      </c>
      <c r="J26" s="74"/>
      <c r="K26" s="75">
        <f t="shared" si="10"/>
        <v>19910000</v>
      </c>
      <c r="L26" s="76">
        <f t="shared" si="12"/>
        <v>1.344</v>
      </c>
    </row>
    <row r="27" spans="1:12" s="5" customFormat="1" ht="13.5" customHeight="1">
      <c r="A27" s="16"/>
      <c r="B27" s="237" t="s">
        <v>21</v>
      </c>
      <c r="C27" s="220">
        <f>7000000</f>
        <v>7000000</v>
      </c>
      <c r="D27" s="17"/>
      <c r="E27" s="40">
        <f t="shared" si="11"/>
        <v>7000000</v>
      </c>
      <c r="F27" s="35">
        <f aca="true" t="shared" si="13" ref="F27:F33">C27</f>
        <v>7000000</v>
      </c>
      <c r="G27" s="18">
        <f aca="true" t="shared" si="14" ref="G27:G33">D27</f>
        <v>0</v>
      </c>
      <c r="H27" s="44">
        <f t="shared" si="2"/>
        <v>7000000</v>
      </c>
      <c r="I27" s="48">
        <v>6800000</v>
      </c>
      <c r="J27" s="19"/>
      <c r="K27" s="49">
        <f t="shared" si="10"/>
        <v>6800000</v>
      </c>
      <c r="L27" s="45">
        <f t="shared" si="12"/>
        <v>0.971</v>
      </c>
    </row>
    <row r="28" spans="1:12" s="5" customFormat="1" ht="13.5" customHeight="1">
      <c r="A28" s="16"/>
      <c r="B28" s="237" t="s">
        <v>22</v>
      </c>
      <c r="C28" s="220">
        <v>5500000</v>
      </c>
      <c r="D28" s="17"/>
      <c r="E28" s="40">
        <f t="shared" si="11"/>
        <v>5500000</v>
      </c>
      <c r="F28" s="35">
        <f t="shared" si="13"/>
        <v>5500000</v>
      </c>
      <c r="G28" s="18">
        <f t="shared" si="14"/>
        <v>0</v>
      </c>
      <c r="H28" s="44">
        <f t="shared" si="2"/>
        <v>5500000</v>
      </c>
      <c r="I28" s="48">
        <v>5500000</v>
      </c>
      <c r="J28" s="19"/>
      <c r="K28" s="49">
        <f t="shared" si="10"/>
        <v>5500000</v>
      </c>
      <c r="L28" s="45">
        <f t="shared" si="12"/>
        <v>1</v>
      </c>
    </row>
    <row r="29" spans="1:12" s="5" customFormat="1" ht="13.5" customHeight="1">
      <c r="A29" s="16"/>
      <c r="B29" s="237" t="s">
        <v>23</v>
      </c>
      <c r="C29" s="220">
        <v>2200000</v>
      </c>
      <c r="D29" s="17"/>
      <c r="E29" s="40">
        <f t="shared" si="11"/>
        <v>2200000</v>
      </c>
      <c r="F29" s="35">
        <f t="shared" si="13"/>
        <v>2200000</v>
      </c>
      <c r="G29" s="18">
        <f t="shared" si="14"/>
        <v>0</v>
      </c>
      <c r="H29" s="44">
        <f t="shared" si="2"/>
        <v>2200000</v>
      </c>
      <c r="I29" s="48">
        <v>2200000</v>
      </c>
      <c r="J29" s="19"/>
      <c r="K29" s="49">
        <f t="shared" si="10"/>
        <v>2200000</v>
      </c>
      <c r="L29" s="45">
        <f t="shared" si="12"/>
        <v>1</v>
      </c>
    </row>
    <row r="30" spans="1:12" s="5" customFormat="1" ht="13.5" customHeight="1">
      <c r="A30" s="16"/>
      <c r="B30" s="237" t="s">
        <v>8</v>
      </c>
      <c r="C30" s="220">
        <f>SUM(C31:C34)</f>
        <v>2904530</v>
      </c>
      <c r="D30" s="17">
        <f>SUM(D31:D34)</f>
        <v>628744</v>
      </c>
      <c r="E30" s="40">
        <f t="shared" si="11"/>
        <v>3533274</v>
      </c>
      <c r="F30" s="35">
        <f t="shared" si="13"/>
        <v>2904530</v>
      </c>
      <c r="G30" s="18">
        <f t="shared" si="14"/>
        <v>628744</v>
      </c>
      <c r="H30" s="44">
        <f t="shared" si="2"/>
        <v>3533274</v>
      </c>
      <c r="I30" s="48">
        <f>SUM(I31:I34)</f>
        <v>2222455</v>
      </c>
      <c r="J30" s="19">
        <f>SUM(J31:J34)</f>
        <v>674801</v>
      </c>
      <c r="K30" s="49">
        <f t="shared" si="10"/>
        <v>2897256</v>
      </c>
      <c r="L30" s="45">
        <f t="shared" si="12"/>
        <v>0.82</v>
      </c>
    </row>
    <row r="31" spans="1:12" s="6" customFormat="1" ht="13.5" customHeight="1">
      <c r="A31" s="23"/>
      <c r="B31" s="238" t="s">
        <v>24</v>
      </c>
      <c r="C31" s="221">
        <f>460000+246200+18000</f>
        <v>724200</v>
      </c>
      <c r="D31" s="21">
        <v>350</v>
      </c>
      <c r="E31" s="41">
        <f t="shared" si="11"/>
        <v>724550</v>
      </c>
      <c r="F31" s="35">
        <f t="shared" si="13"/>
        <v>724200</v>
      </c>
      <c r="G31" s="18">
        <f t="shared" si="14"/>
        <v>350</v>
      </c>
      <c r="H31" s="44">
        <f t="shared" si="2"/>
        <v>724550</v>
      </c>
      <c r="I31" s="50">
        <v>230000</v>
      </c>
      <c r="J31" s="22"/>
      <c r="K31" s="51">
        <f t="shared" si="10"/>
        <v>230000</v>
      </c>
      <c r="L31" s="45">
        <f t="shared" si="12"/>
        <v>0.317</v>
      </c>
    </row>
    <row r="32" spans="1:12" s="7" customFormat="1" ht="22.5">
      <c r="A32" s="23"/>
      <c r="B32" s="238" t="s">
        <v>25</v>
      </c>
      <c r="C32" s="221">
        <f>26220+300000+22000+352000</f>
        <v>700220</v>
      </c>
      <c r="D32" s="21"/>
      <c r="E32" s="41">
        <f t="shared" si="11"/>
        <v>700220</v>
      </c>
      <c r="F32" s="35">
        <f t="shared" si="13"/>
        <v>700220</v>
      </c>
      <c r="G32" s="18">
        <f t="shared" si="14"/>
        <v>0</v>
      </c>
      <c r="H32" s="44">
        <f t="shared" si="2"/>
        <v>700220</v>
      </c>
      <c r="I32" s="50">
        <f>26220+216200+36690+385000+21318</f>
        <v>685428</v>
      </c>
      <c r="J32" s="22"/>
      <c r="K32" s="51">
        <f t="shared" si="10"/>
        <v>685428</v>
      </c>
      <c r="L32" s="45">
        <f t="shared" si="12"/>
        <v>0.979</v>
      </c>
    </row>
    <row r="33" spans="1:12" s="7" customFormat="1" ht="22.5">
      <c r="A33" s="23"/>
      <c r="B33" s="239" t="s">
        <v>26</v>
      </c>
      <c r="C33" s="221">
        <v>1480110</v>
      </c>
      <c r="D33" s="21">
        <v>628394</v>
      </c>
      <c r="E33" s="41">
        <f t="shared" si="11"/>
        <v>2108504</v>
      </c>
      <c r="F33" s="35">
        <f t="shared" si="13"/>
        <v>1480110</v>
      </c>
      <c r="G33" s="18">
        <f t="shared" si="14"/>
        <v>628394</v>
      </c>
      <c r="H33" s="44">
        <f t="shared" si="2"/>
        <v>2108504</v>
      </c>
      <c r="I33" s="50">
        <v>1307027</v>
      </c>
      <c r="J33" s="22">
        <v>674801</v>
      </c>
      <c r="K33" s="51">
        <f t="shared" si="10"/>
        <v>1981828</v>
      </c>
      <c r="L33" s="45">
        <f t="shared" si="12"/>
        <v>0.94</v>
      </c>
    </row>
    <row r="34" spans="1:12" s="7" customFormat="1" ht="23.25" customHeight="1" hidden="1">
      <c r="A34" s="92"/>
      <c r="B34" s="245" t="s">
        <v>27</v>
      </c>
      <c r="C34" s="222"/>
      <c r="D34" s="77"/>
      <c r="E34" s="78">
        <f t="shared" si="11"/>
        <v>0</v>
      </c>
      <c r="F34" s="79"/>
      <c r="G34" s="80"/>
      <c r="H34" s="81">
        <f t="shared" si="2"/>
        <v>0</v>
      </c>
      <c r="I34" s="82">
        <f>F34*102.8%</f>
        <v>0</v>
      </c>
      <c r="J34" s="83"/>
      <c r="K34" s="84">
        <f t="shared" si="10"/>
        <v>0</v>
      </c>
      <c r="L34" s="85"/>
    </row>
    <row r="35" spans="1:12" s="151" customFormat="1" ht="24" customHeight="1">
      <c r="A35" s="167">
        <v>4</v>
      </c>
      <c r="B35" s="244" t="s">
        <v>123</v>
      </c>
      <c r="C35" s="223">
        <f>SUM(C36:C52)</f>
        <v>6766824</v>
      </c>
      <c r="D35" s="169">
        <f>SUM(D36:D52)</f>
        <v>6576750</v>
      </c>
      <c r="E35" s="181">
        <f>SUM(C35:D35)</f>
        <v>13343574</v>
      </c>
      <c r="F35" s="171">
        <f>SUM(F36:F52)</f>
        <v>7266824</v>
      </c>
      <c r="G35" s="172">
        <f>SUM(G36:G52)</f>
        <v>6576750</v>
      </c>
      <c r="H35" s="179">
        <f>SUM(F35:G35)</f>
        <v>13843574</v>
      </c>
      <c r="I35" s="168">
        <f>SUM(I36:I52)</f>
        <v>72866480</v>
      </c>
      <c r="J35" s="169">
        <f>SUM(J36:J52)</f>
        <v>6946750</v>
      </c>
      <c r="K35" s="180">
        <f t="shared" si="10"/>
        <v>79813230</v>
      </c>
      <c r="L35" s="177">
        <f aca="true" t="shared" si="15" ref="L35:L56">K35/H35</f>
        <v>5.765</v>
      </c>
    </row>
    <row r="36" spans="1:12" s="5" customFormat="1" ht="14.25" customHeight="1">
      <c r="A36" s="67"/>
      <c r="B36" s="242" t="s">
        <v>28</v>
      </c>
      <c r="C36" s="219">
        <f>660000+205000</f>
        <v>865000</v>
      </c>
      <c r="D36" s="68"/>
      <c r="E36" s="69">
        <f aca="true" t="shared" si="16" ref="E36:E68">SUM(C36:D36)</f>
        <v>865000</v>
      </c>
      <c r="F36" s="70">
        <f>C36</f>
        <v>865000</v>
      </c>
      <c r="G36" s="71">
        <f>D36</f>
        <v>0</v>
      </c>
      <c r="H36" s="72">
        <f t="shared" si="2"/>
        <v>865000</v>
      </c>
      <c r="I36" s="73"/>
      <c r="J36" s="74"/>
      <c r="K36" s="75">
        <f t="shared" si="10"/>
        <v>0</v>
      </c>
      <c r="L36" s="76">
        <f t="shared" si="15"/>
        <v>0</v>
      </c>
    </row>
    <row r="37" spans="1:12" s="5" customFormat="1" ht="12.75" customHeight="1">
      <c r="A37" s="16"/>
      <c r="B37" s="237" t="s">
        <v>120</v>
      </c>
      <c r="C37" s="220">
        <v>0</v>
      </c>
      <c r="D37" s="17"/>
      <c r="E37" s="69">
        <f t="shared" si="16"/>
        <v>0</v>
      </c>
      <c r="F37" s="35">
        <f>C37</f>
        <v>0</v>
      </c>
      <c r="G37" s="18">
        <f aca="true" t="shared" si="17" ref="G37:G58">D37</f>
        <v>0</v>
      </c>
      <c r="H37" s="44">
        <f t="shared" si="2"/>
        <v>0</v>
      </c>
      <c r="I37" s="48">
        <f>66502430+131350</f>
        <v>66633780</v>
      </c>
      <c r="J37" s="19"/>
      <c r="K37" s="49">
        <f t="shared" si="10"/>
        <v>66633780</v>
      </c>
      <c r="L37" s="76"/>
    </row>
    <row r="38" spans="1:12" s="5" customFormat="1" ht="13.5" customHeight="1">
      <c r="A38" s="16"/>
      <c r="B38" s="237" t="s">
        <v>29</v>
      </c>
      <c r="C38" s="220">
        <v>162000</v>
      </c>
      <c r="D38" s="17"/>
      <c r="E38" s="40">
        <f t="shared" si="16"/>
        <v>162000</v>
      </c>
      <c r="F38" s="35">
        <f aca="true" t="shared" si="18" ref="F38:F58">C38</f>
        <v>162000</v>
      </c>
      <c r="G38" s="18">
        <f t="shared" si="17"/>
        <v>0</v>
      </c>
      <c r="H38" s="44">
        <f t="shared" si="2"/>
        <v>162000</v>
      </c>
      <c r="I38" s="48">
        <v>165000</v>
      </c>
      <c r="J38" s="19"/>
      <c r="K38" s="49">
        <f t="shared" si="10"/>
        <v>165000</v>
      </c>
      <c r="L38" s="45">
        <f t="shared" si="15"/>
        <v>1.019</v>
      </c>
    </row>
    <row r="39" spans="1:12" s="5" customFormat="1" ht="22.5">
      <c r="A39" s="16"/>
      <c r="B39" s="237" t="s">
        <v>30</v>
      </c>
      <c r="C39" s="220">
        <f>400000+300000</f>
        <v>700000</v>
      </c>
      <c r="D39" s="17"/>
      <c r="E39" s="40">
        <f t="shared" si="16"/>
        <v>700000</v>
      </c>
      <c r="F39" s="35">
        <f t="shared" si="18"/>
        <v>700000</v>
      </c>
      <c r="G39" s="18">
        <f t="shared" si="17"/>
        <v>0</v>
      </c>
      <c r="H39" s="44">
        <f t="shared" si="2"/>
        <v>700000</v>
      </c>
      <c r="I39" s="48">
        <v>715000</v>
      </c>
      <c r="J39" s="19"/>
      <c r="K39" s="49">
        <f t="shared" si="10"/>
        <v>715000</v>
      </c>
      <c r="L39" s="45">
        <f t="shared" si="15"/>
        <v>1.021</v>
      </c>
    </row>
    <row r="40" spans="1:12" s="5" customFormat="1" ht="14.25" customHeight="1">
      <c r="A40" s="16"/>
      <c r="B40" s="237" t="s">
        <v>119</v>
      </c>
      <c r="C40" s="220"/>
      <c r="D40" s="17"/>
      <c r="E40" s="40"/>
      <c r="F40" s="35">
        <f t="shared" si="18"/>
        <v>0</v>
      </c>
      <c r="G40" s="18">
        <f t="shared" si="17"/>
        <v>0</v>
      </c>
      <c r="H40" s="44">
        <f t="shared" si="2"/>
        <v>0</v>
      </c>
      <c r="I40" s="48">
        <f>48000+62000</f>
        <v>110000</v>
      </c>
      <c r="J40" s="19"/>
      <c r="K40" s="49">
        <f t="shared" si="10"/>
        <v>110000</v>
      </c>
      <c r="L40" s="45"/>
    </row>
    <row r="41" spans="1:12" s="5" customFormat="1" ht="14.25" customHeight="1">
      <c r="A41" s="16"/>
      <c r="B41" s="237" t="s">
        <v>31</v>
      </c>
      <c r="C41" s="220"/>
      <c r="D41" s="17">
        <v>417000</v>
      </c>
      <c r="E41" s="40">
        <f t="shared" si="16"/>
        <v>417000</v>
      </c>
      <c r="F41" s="35">
        <f t="shared" si="18"/>
        <v>0</v>
      </c>
      <c r="G41" s="18">
        <f t="shared" si="17"/>
        <v>417000</v>
      </c>
      <c r="H41" s="44">
        <f t="shared" si="2"/>
        <v>417000</v>
      </c>
      <c r="I41" s="48">
        <f>F41*102.8%</f>
        <v>0</v>
      </c>
      <c r="J41" s="19">
        <v>420000</v>
      </c>
      <c r="K41" s="49">
        <f t="shared" si="10"/>
        <v>420000</v>
      </c>
      <c r="L41" s="45">
        <f t="shared" si="15"/>
        <v>1.007</v>
      </c>
    </row>
    <row r="42" spans="1:12" s="5" customFormat="1" ht="22.5">
      <c r="A42" s="16"/>
      <c r="B42" s="237" t="s">
        <v>33</v>
      </c>
      <c r="C42" s="220">
        <v>630000</v>
      </c>
      <c r="D42" s="17"/>
      <c r="E42" s="40">
        <f t="shared" si="16"/>
        <v>630000</v>
      </c>
      <c r="F42" s="35">
        <f t="shared" si="18"/>
        <v>630000</v>
      </c>
      <c r="G42" s="18">
        <f t="shared" si="17"/>
        <v>0</v>
      </c>
      <c r="H42" s="44">
        <f t="shared" si="2"/>
        <v>630000</v>
      </c>
      <c r="I42" s="48">
        <v>390000</v>
      </c>
      <c r="J42" s="19"/>
      <c r="K42" s="49">
        <f t="shared" si="10"/>
        <v>390000</v>
      </c>
      <c r="L42" s="45">
        <f t="shared" si="15"/>
        <v>0.619</v>
      </c>
    </row>
    <row r="43" spans="1:12" s="5" customFormat="1" ht="15" customHeight="1">
      <c r="A43" s="24"/>
      <c r="B43" s="236" t="s">
        <v>118</v>
      </c>
      <c r="C43" s="220"/>
      <c r="D43" s="17">
        <v>1810500</v>
      </c>
      <c r="E43" s="40">
        <f t="shared" si="16"/>
        <v>1810500</v>
      </c>
      <c r="F43" s="35">
        <f t="shared" si="18"/>
        <v>0</v>
      </c>
      <c r="G43" s="18">
        <f>D43</f>
        <v>1810500</v>
      </c>
      <c r="H43" s="44">
        <f t="shared" si="2"/>
        <v>1810500</v>
      </c>
      <c r="I43" s="48">
        <f>F43*102.8%</f>
        <v>0</v>
      </c>
      <c r="J43" s="19">
        <v>2285000</v>
      </c>
      <c r="K43" s="49">
        <f t="shared" si="10"/>
        <v>2285000</v>
      </c>
      <c r="L43" s="45">
        <f t="shared" si="15"/>
        <v>1.262</v>
      </c>
    </row>
    <row r="44" spans="1:12" s="5" customFormat="1" ht="22.5">
      <c r="A44" s="24"/>
      <c r="B44" s="237" t="s">
        <v>34</v>
      </c>
      <c r="C44" s="220">
        <v>74450</v>
      </c>
      <c r="D44" s="17">
        <v>11750</v>
      </c>
      <c r="E44" s="40">
        <f t="shared" si="16"/>
        <v>86200</v>
      </c>
      <c r="F44" s="35">
        <f t="shared" si="18"/>
        <v>74450</v>
      </c>
      <c r="G44" s="18">
        <f t="shared" si="17"/>
        <v>11750</v>
      </c>
      <c r="H44" s="44">
        <f t="shared" si="2"/>
        <v>86200</v>
      </c>
      <c r="I44" s="48">
        <f>81000+350+750</f>
        <v>82100</v>
      </c>
      <c r="J44" s="19">
        <f>1250+1100</f>
        <v>2350</v>
      </c>
      <c r="K44" s="49">
        <f t="shared" si="10"/>
        <v>84450</v>
      </c>
      <c r="L44" s="45">
        <f t="shared" si="15"/>
        <v>0.98</v>
      </c>
    </row>
    <row r="45" spans="1:12" s="5" customFormat="1" ht="14.25" customHeight="1">
      <c r="A45" s="16"/>
      <c r="B45" s="236" t="s">
        <v>32</v>
      </c>
      <c r="C45" s="220">
        <v>3300000</v>
      </c>
      <c r="D45" s="17"/>
      <c r="E45" s="40">
        <f>SUM(C45:D45)</f>
        <v>3300000</v>
      </c>
      <c r="F45" s="35">
        <f>C45+500000</f>
        <v>3800000</v>
      </c>
      <c r="G45" s="18">
        <f>D45</f>
        <v>0</v>
      </c>
      <c r="H45" s="44">
        <f>SUM(F45:G45)</f>
        <v>3800000</v>
      </c>
      <c r="I45" s="48">
        <f>3300000+500000</f>
        <v>3800000</v>
      </c>
      <c r="J45" s="19"/>
      <c r="K45" s="49">
        <f>SUM(I45:J45)</f>
        <v>3800000</v>
      </c>
      <c r="L45" s="45">
        <f>K45/H45</f>
        <v>1</v>
      </c>
    </row>
    <row r="46" spans="1:12" s="5" customFormat="1" ht="22.5">
      <c r="A46" s="24"/>
      <c r="B46" s="237" t="s">
        <v>35</v>
      </c>
      <c r="C46" s="220">
        <f>9350+30000</f>
        <v>39350</v>
      </c>
      <c r="D46" s="17">
        <v>32000</v>
      </c>
      <c r="E46" s="40">
        <f t="shared" si="16"/>
        <v>71350</v>
      </c>
      <c r="F46" s="35">
        <f t="shared" si="18"/>
        <v>39350</v>
      </c>
      <c r="G46" s="18">
        <f t="shared" si="17"/>
        <v>32000</v>
      </c>
      <c r="H46" s="44">
        <f t="shared" si="2"/>
        <v>71350</v>
      </c>
      <c r="I46" s="48">
        <f>1600+12000+7000</f>
        <v>20600</v>
      </c>
      <c r="J46" s="19">
        <v>29400</v>
      </c>
      <c r="K46" s="49">
        <f t="shared" si="10"/>
        <v>50000</v>
      </c>
      <c r="L46" s="45">
        <f t="shared" si="15"/>
        <v>0.701</v>
      </c>
    </row>
    <row r="47" spans="1:12" s="5" customFormat="1" ht="22.5">
      <c r="A47" s="25"/>
      <c r="B47" s="246" t="s">
        <v>36</v>
      </c>
      <c r="C47" s="220"/>
      <c r="D47" s="17">
        <v>4300000</v>
      </c>
      <c r="E47" s="40">
        <f t="shared" si="16"/>
        <v>4300000</v>
      </c>
      <c r="F47" s="35">
        <f t="shared" si="18"/>
        <v>0</v>
      </c>
      <c r="G47" s="18">
        <f t="shared" si="17"/>
        <v>4300000</v>
      </c>
      <c r="H47" s="44">
        <f t="shared" si="2"/>
        <v>4300000</v>
      </c>
      <c r="I47" s="48">
        <f>F47*102.8%</f>
        <v>0</v>
      </c>
      <c r="J47" s="19">
        <v>4200000</v>
      </c>
      <c r="K47" s="49">
        <f t="shared" si="10"/>
        <v>4200000</v>
      </c>
      <c r="L47" s="45">
        <f t="shared" si="15"/>
        <v>0.977</v>
      </c>
    </row>
    <row r="48" spans="1:12" s="5" customFormat="1" ht="22.5">
      <c r="A48" s="24"/>
      <c r="B48" s="237" t="s">
        <v>37</v>
      </c>
      <c r="C48" s="220">
        <v>12000</v>
      </c>
      <c r="D48" s="17"/>
      <c r="E48" s="40">
        <f t="shared" si="16"/>
        <v>12000</v>
      </c>
      <c r="F48" s="35">
        <f t="shared" si="18"/>
        <v>12000</v>
      </c>
      <c r="G48" s="18">
        <f t="shared" si="17"/>
        <v>0</v>
      </c>
      <c r="H48" s="44">
        <f t="shared" si="2"/>
        <v>12000</v>
      </c>
      <c r="I48" s="48">
        <v>0</v>
      </c>
      <c r="J48" s="19">
        <v>10000</v>
      </c>
      <c r="K48" s="49">
        <f t="shared" si="10"/>
        <v>10000</v>
      </c>
      <c r="L48" s="45">
        <f t="shared" si="15"/>
        <v>0.833</v>
      </c>
    </row>
    <row r="49" spans="1:12" s="5" customFormat="1" ht="14.25" customHeight="1">
      <c r="A49" s="16"/>
      <c r="B49" s="237" t="s">
        <v>38</v>
      </c>
      <c r="C49" s="220">
        <v>100000</v>
      </c>
      <c r="D49" s="17"/>
      <c r="E49" s="40">
        <f t="shared" si="16"/>
        <v>100000</v>
      </c>
      <c r="F49" s="35">
        <f t="shared" si="18"/>
        <v>100000</v>
      </c>
      <c r="G49" s="18">
        <f t="shared" si="17"/>
        <v>0</v>
      </c>
      <c r="H49" s="44">
        <f t="shared" si="2"/>
        <v>100000</v>
      </c>
      <c r="I49" s="48">
        <v>100000</v>
      </c>
      <c r="J49" s="19"/>
      <c r="K49" s="49">
        <f t="shared" si="10"/>
        <v>100000</v>
      </c>
      <c r="L49" s="45">
        <f t="shared" si="15"/>
        <v>1</v>
      </c>
    </row>
    <row r="50" spans="1:12" s="2" customFormat="1" ht="14.25" customHeight="1">
      <c r="A50" s="25"/>
      <c r="B50" s="246" t="s">
        <v>39</v>
      </c>
      <c r="C50" s="220">
        <v>500000</v>
      </c>
      <c r="D50" s="17"/>
      <c r="E50" s="40">
        <f t="shared" si="16"/>
        <v>500000</v>
      </c>
      <c r="F50" s="35">
        <f t="shared" si="18"/>
        <v>500000</v>
      </c>
      <c r="G50" s="18">
        <f t="shared" si="17"/>
        <v>0</v>
      </c>
      <c r="H50" s="44">
        <f t="shared" si="2"/>
        <v>500000</v>
      </c>
      <c r="I50" s="48">
        <v>700000</v>
      </c>
      <c r="J50" s="19"/>
      <c r="K50" s="49">
        <f t="shared" si="10"/>
        <v>700000</v>
      </c>
      <c r="L50" s="45">
        <f t="shared" si="15"/>
        <v>1.4</v>
      </c>
    </row>
    <row r="51" spans="1:12" s="5" customFormat="1" ht="13.5" customHeight="1">
      <c r="A51" s="16"/>
      <c r="B51" s="237" t="s">
        <v>40</v>
      </c>
      <c r="C51" s="220">
        <v>100000</v>
      </c>
      <c r="D51" s="17"/>
      <c r="E51" s="40">
        <f t="shared" si="16"/>
        <v>100000</v>
      </c>
      <c r="F51" s="35">
        <f t="shared" si="18"/>
        <v>100000</v>
      </c>
      <c r="G51" s="18">
        <f t="shared" si="17"/>
        <v>0</v>
      </c>
      <c r="H51" s="44">
        <f t="shared" si="2"/>
        <v>100000</v>
      </c>
      <c r="I51" s="48">
        <v>100000</v>
      </c>
      <c r="J51" s="19">
        <f>G51*102.8%</f>
        <v>0</v>
      </c>
      <c r="K51" s="49">
        <f t="shared" si="10"/>
        <v>100000</v>
      </c>
      <c r="L51" s="45">
        <f t="shared" si="15"/>
        <v>1</v>
      </c>
    </row>
    <row r="52" spans="1:12" s="5" customFormat="1" ht="12.75" customHeight="1">
      <c r="A52" s="16"/>
      <c r="B52" s="237" t="s">
        <v>41</v>
      </c>
      <c r="C52" s="220">
        <f>SUM(C53:C58)</f>
        <v>284024</v>
      </c>
      <c r="D52" s="17">
        <f>SUM(D53:D58)</f>
        <v>5500</v>
      </c>
      <c r="E52" s="40">
        <f t="shared" si="16"/>
        <v>289524</v>
      </c>
      <c r="F52" s="35">
        <f t="shared" si="18"/>
        <v>284024</v>
      </c>
      <c r="G52" s="18">
        <f t="shared" si="17"/>
        <v>5500</v>
      </c>
      <c r="H52" s="44">
        <f t="shared" si="2"/>
        <v>289524</v>
      </c>
      <c r="I52" s="48">
        <f>SUM(I53:I58)</f>
        <v>50000</v>
      </c>
      <c r="J52" s="19">
        <f>SUM(J53:J58)</f>
        <v>0</v>
      </c>
      <c r="K52" s="49">
        <f t="shared" si="10"/>
        <v>50000</v>
      </c>
      <c r="L52" s="45">
        <f t="shared" si="15"/>
        <v>0.173</v>
      </c>
    </row>
    <row r="53" spans="1:12" s="6" customFormat="1" ht="15" customHeight="1">
      <c r="A53" s="23"/>
      <c r="B53" s="238" t="s">
        <v>42</v>
      </c>
      <c r="C53" s="221">
        <v>75000</v>
      </c>
      <c r="D53" s="21"/>
      <c r="E53" s="41">
        <f t="shared" si="16"/>
        <v>75000</v>
      </c>
      <c r="F53" s="35">
        <f t="shared" si="18"/>
        <v>75000</v>
      </c>
      <c r="G53" s="18">
        <f t="shared" si="17"/>
        <v>0</v>
      </c>
      <c r="H53" s="44">
        <f t="shared" si="2"/>
        <v>75000</v>
      </c>
      <c r="I53" s="50">
        <v>50000</v>
      </c>
      <c r="J53" s="22">
        <f>G53*102.8%</f>
        <v>0</v>
      </c>
      <c r="K53" s="51">
        <f t="shared" si="10"/>
        <v>50000</v>
      </c>
      <c r="L53" s="45">
        <f t="shared" si="15"/>
        <v>0.667</v>
      </c>
    </row>
    <row r="54" spans="1:12" s="6" customFormat="1" ht="22.5">
      <c r="A54" s="20"/>
      <c r="B54" s="238" t="s">
        <v>43</v>
      </c>
      <c r="C54" s="221"/>
      <c r="D54" s="21">
        <v>5500</v>
      </c>
      <c r="E54" s="41">
        <f t="shared" si="16"/>
        <v>5500</v>
      </c>
      <c r="F54" s="35">
        <f t="shared" si="18"/>
        <v>0</v>
      </c>
      <c r="G54" s="18">
        <f t="shared" si="17"/>
        <v>5500</v>
      </c>
      <c r="H54" s="44">
        <f t="shared" si="2"/>
        <v>5500</v>
      </c>
      <c r="I54" s="50">
        <f>F54*102.8%</f>
        <v>0</v>
      </c>
      <c r="J54" s="22"/>
      <c r="K54" s="51">
        <f t="shared" si="10"/>
        <v>0</v>
      </c>
      <c r="L54" s="45">
        <f t="shared" si="15"/>
        <v>0</v>
      </c>
    </row>
    <row r="55" spans="1:12" s="6" customFormat="1" ht="11.25" hidden="1">
      <c r="A55" s="20"/>
      <c r="B55" s="238" t="s">
        <v>44</v>
      </c>
      <c r="C55" s="221"/>
      <c r="D55" s="21"/>
      <c r="E55" s="41">
        <f t="shared" si="16"/>
        <v>0</v>
      </c>
      <c r="F55" s="35">
        <f t="shared" si="18"/>
        <v>0</v>
      </c>
      <c r="G55" s="18">
        <f t="shared" si="17"/>
        <v>0</v>
      </c>
      <c r="H55" s="44">
        <f t="shared" si="2"/>
        <v>0</v>
      </c>
      <c r="I55" s="50">
        <f>F55*102.8%</f>
        <v>0</v>
      </c>
      <c r="J55" s="22">
        <f>G55*102.8%</f>
        <v>0</v>
      </c>
      <c r="K55" s="51">
        <f t="shared" si="10"/>
        <v>0</v>
      </c>
      <c r="L55" s="45" t="e">
        <f t="shared" si="15"/>
        <v>#DIV/0!</v>
      </c>
    </row>
    <row r="56" spans="1:12" s="6" customFormat="1" ht="12" customHeight="1" hidden="1">
      <c r="A56" s="20"/>
      <c r="B56" s="238" t="s">
        <v>45</v>
      </c>
      <c r="C56" s="221"/>
      <c r="D56" s="21"/>
      <c r="E56" s="41">
        <f t="shared" si="16"/>
        <v>0</v>
      </c>
      <c r="F56" s="35">
        <f t="shared" si="18"/>
        <v>0</v>
      </c>
      <c r="G56" s="18">
        <f t="shared" si="17"/>
        <v>0</v>
      </c>
      <c r="H56" s="44">
        <f t="shared" si="2"/>
        <v>0</v>
      </c>
      <c r="I56" s="50">
        <f>F56*102.8%</f>
        <v>0</v>
      </c>
      <c r="J56" s="22">
        <f>G56*102.8%</f>
        <v>0</v>
      </c>
      <c r="K56" s="51">
        <f t="shared" si="10"/>
        <v>0</v>
      </c>
      <c r="L56" s="45" t="e">
        <f t="shared" si="15"/>
        <v>#DIV/0!</v>
      </c>
    </row>
    <row r="57" spans="1:12" s="6" customFormat="1" ht="27" customHeight="1" hidden="1">
      <c r="A57" s="20"/>
      <c r="B57" s="238" t="s">
        <v>44</v>
      </c>
      <c r="C57" s="221"/>
      <c r="D57" s="21"/>
      <c r="E57" s="41">
        <f t="shared" si="16"/>
        <v>0</v>
      </c>
      <c r="F57" s="35">
        <f t="shared" si="18"/>
        <v>0</v>
      </c>
      <c r="G57" s="18">
        <f t="shared" si="17"/>
        <v>0</v>
      </c>
      <c r="H57" s="44">
        <f t="shared" si="2"/>
        <v>0</v>
      </c>
      <c r="I57" s="50"/>
      <c r="J57" s="22"/>
      <c r="K57" s="51">
        <f t="shared" si="10"/>
        <v>0</v>
      </c>
      <c r="L57" s="45"/>
    </row>
    <row r="58" spans="1:12" s="6" customFormat="1" ht="15.75" customHeight="1">
      <c r="A58" s="93"/>
      <c r="B58" s="247" t="s">
        <v>46</v>
      </c>
      <c r="C58" s="222">
        <f>11659797-11450773</f>
        <v>209024</v>
      </c>
      <c r="D58" s="77"/>
      <c r="E58" s="78">
        <f t="shared" si="16"/>
        <v>209024</v>
      </c>
      <c r="F58" s="79">
        <f t="shared" si="18"/>
        <v>209024</v>
      </c>
      <c r="G58" s="80">
        <f t="shared" si="17"/>
        <v>0</v>
      </c>
      <c r="H58" s="81">
        <f t="shared" si="2"/>
        <v>209024</v>
      </c>
      <c r="I58" s="82"/>
      <c r="J58" s="83"/>
      <c r="K58" s="84">
        <f t="shared" si="10"/>
        <v>0</v>
      </c>
      <c r="L58" s="85">
        <f aca="true" t="shared" si="19" ref="L58:L66">K58/H58</f>
        <v>0</v>
      </c>
    </row>
    <row r="59" spans="1:12" s="151" customFormat="1" ht="24.75" customHeight="1">
      <c r="A59" s="167">
        <v>5</v>
      </c>
      <c r="B59" s="244" t="s">
        <v>124</v>
      </c>
      <c r="C59" s="223">
        <f>SUM(C60:C77)</f>
        <v>6088493</v>
      </c>
      <c r="D59" s="169">
        <f>SUM(D60:D77)</f>
        <v>3394062</v>
      </c>
      <c r="E59" s="181">
        <f t="shared" si="16"/>
        <v>9482555</v>
      </c>
      <c r="F59" s="171">
        <f>SUM(F60:F77)</f>
        <v>6088493</v>
      </c>
      <c r="G59" s="172">
        <f>SUM(G60:G77)</f>
        <v>3394062</v>
      </c>
      <c r="H59" s="179">
        <f t="shared" si="2"/>
        <v>9482555</v>
      </c>
      <c r="I59" s="168">
        <f>SUM(I60:I77)</f>
        <v>2052742</v>
      </c>
      <c r="J59" s="169">
        <f>SUM(J60:J77)</f>
        <v>11006778</v>
      </c>
      <c r="K59" s="180">
        <f t="shared" si="10"/>
        <v>13059520</v>
      </c>
      <c r="L59" s="177">
        <f t="shared" si="19"/>
        <v>1.377</v>
      </c>
    </row>
    <row r="60" spans="1:12" s="11" customFormat="1" ht="14.25" customHeight="1">
      <c r="A60" s="94"/>
      <c r="B60" s="248" t="s">
        <v>47</v>
      </c>
      <c r="C60" s="225">
        <f>71520</f>
        <v>71520</v>
      </c>
      <c r="D60" s="103">
        <v>500000</v>
      </c>
      <c r="E60" s="69">
        <f t="shared" si="16"/>
        <v>571520</v>
      </c>
      <c r="F60" s="104">
        <f>C60</f>
        <v>71520</v>
      </c>
      <c r="G60" s="105">
        <f>D60</f>
        <v>500000</v>
      </c>
      <c r="H60" s="72">
        <f t="shared" si="2"/>
        <v>571520</v>
      </c>
      <c r="I60" s="73"/>
      <c r="J60" s="107">
        <v>500000</v>
      </c>
      <c r="K60" s="75">
        <f t="shared" si="10"/>
        <v>500000</v>
      </c>
      <c r="L60" s="76">
        <f t="shared" si="19"/>
        <v>0.875</v>
      </c>
    </row>
    <row r="61" spans="1:12" s="11" customFormat="1" ht="17.25" customHeight="1" hidden="1">
      <c r="A61" s="25"/>
      <c r="B61" s="249"/>
      <c r="C61" s="226"/>
      <c r="D61" s="26"/>
      <c r="E61" s="40">
        <f t="shared" si="16"/>
        <v>0</v>
      </c>
      <c r="F61" s="37">
        <f aca="true" t="shared" si="20" ref="F61:F77">C61</f>
        <v>0</v>
      </c>
      <c r="G61" s="34">
        <f aca="true" t="shared" si="21" ref="G61:G77">D61</f>
        <v>0</v>
      </c>
      <c r="H61" s="44">
        <f t="shared" si="2"/>
        <v>0</v>
      </c>
      <c r="I61" s="48">
        <f>F61*102.8%</f>
        <v>0</v>
      </c>
      <c r="J61" s="27"/>
      <c r="K61" s="49">
        <f t="shared" si="10"/>
        <v>0</v>
      </c>
      <c r="L61" s="45" t="e">
        <f t="shared" si="19"/>
        <v>#DIV/0!</v>
      </c>
    </row>
    <row r="62" spans="1:12" s="2" customFormat="1" ht="8.25" customHeight="1" hidden="1">
      <c r="A62" s="25"/>
      <c r="B62" s="246" t="s">
        <v>48</v>
      </c>
      <c r="C62" s="226"/>
      <c r="D62" s="26"/>
      <c r="E62" s="40">
        <f t="shared" si="16"/>
        <v>0</v>
      </c>
      <c r="F62" s="37">
        <f t="shared" si="20"/>
        <v>0</v>
      </c>
      <c r="G62" s="34">
        <f t="shared" si="21"/>
        <v>0</v>
      </c>
      <c r="H62" s="44">
        <f t="shared" si="2"/>
        <v>0</v>
      </c>
      <c r="I62" s="48">
        <f>F62*102.8%</f>
        <v>0</v>
      </c>
      <c r="J62" s="27"/>
      <c r="K62" s="49">
        <f t="shared" si="10"/>
        <v>0</v>
      </c>
      <c r="L62" s="45" t="e">
        <f t="shared" si="19"/>
        <v>#DIV/0!</v>
      </c>
    </row>
    <row r="63" spans="1:12" ht="15.75" customHeight="1">
      <c r="A63" s="25"/>
      <c r="B63" s="250" t="s">
        <v>49</v>
      </c>
      <c r="C63" s="220"/>
      <c r="D63" s="17">
        <v>38700</v>
      </c>
      <c r="E63" s="40">
        <f t="shared" si="16"/>
        <v>38700</v>
      </c>
      <c r="F63" s="37">
        <f t="shared" si="20"/>
        <v>0</v>
      </c>
      <c r="G63" s="34">
        <f t="shared" si="21"/>
        <v>38700</v>
      </c>
      <c r="H63" s="44">
        <f t="shared" si="2"/>
        <v>38700</v>
      </c>
      <c r="I63" s="48"/>
      <c r="J63" s="19"/>
      <c r="K63" s="49">
        <f t="shared" si="10"/>
        <v>0</v>
      </c>
      <c r="L63" s="45">
        <f t="shared" si="19"/>
        <v>0</v>
      </c>
    </row>
    <row r="64" spans="1:12" ht="15.75" customHeight="1">
      <c r="A64" s="25"/>
      <c r="B64" s="250" t="s">
        <v>50</v>
      </c>
      <c r="C64" s="220"/>
      <c r="D64" s="17">
        <v>12000</v>
      </c>
      <c r="E64" s="40">
        <f t="shared" si="16"/>
        <v>12000</v>
      </c>
      <c r="F64" s="37">
        <f t="shared" si="20"/>
        <v>0</v>
      </c>
      <c r="G64" s="34">
        <f t="shared" si="21"/>
        <v>12000</v>
      </c>
      <c r="H64" s="44">
        <f t="shared" si="2"/>
        <v>12000</v>
      </c>
      <c r="I64" s="48"/>
      <c r="J64" s="19">
        <v>12300</v>
      </c>
      <c r="K64" s="49">
        <f t="shared" si="10"/>
        <v>12300</v>
      </c>
      <c r="L64" s="45">
        <f t="shared" si="19"/>
        <v>1.025</v>
      </c>
    </row>
    <row r="65" spans="1:12" s="8" customFormat="1" ht="22.5">
      <c r="A65" s="25"/>
      <c r="B65" s="251" t="s">
        <v>51</v>
      </c>
      <c r="C65" s="226"/>
      <c r="D65" s="26">
        <v>200140</v>
      </c>
      <c r="E65" s="40">
        <f t="shared" si="16"/>
        <v>200140</v>
      </c>
      <c r="F65" s="37">
        <f t="shared" si="20"/>
        <v>0</v>
      </c>
      <c r="G65" s="34">
        <f t="shared" si="21"/>
        <v>200140</v>
      </c>
      <c r="H65" s="44">
        <f t="shared" si="2"/>
        <v>200140</v>
      </c>
      <c r="I65" s="48"/>
      <c r="J65" s="27">
        <v>144478</v>
      </c>
      <c r="K65" s="49">
        <f t="shared" si="10"/>
        <v>144478</v>
      </c>
      <c r="L65" s="45">
        <f t="shared" si="19"/>
        <v>0.722</v>
      </c>
    </row>
    <row r="66" spans="1:12" s="8" customFormat="1" ht="15" customHeight="1">
      <c r="A66" s="25"/>
      <c r="B66" s="251" t="s">
        <v>103</v>
      </c>
      <c r="C66" s="226"/>
      <c r="D66" s="26">
        <v>30950</v>
      </c>
      <c r="E66" s="40">
        <f t="shared" si="16"/>
        <v>30950</v>
      </c>
      <c r="F66" s="37">
        <f t="shared" si="20"/>
        <v>0</v>
      </c>
      <c r="G66" s="34">
        <f t="shared" si="21"/>
        <v>30950</v>
      </c>
      <c r="H66" s="44">
        <f t="shared" si="2"/>
        <v>30950</v>
      </c>
      <c r="I66" s="48"/>
      <c r="J66" s="27"/>
      <c r="K66" s="49">
        <f t="shared" si="10"/>
        <v>0</v>
      </c>
      <c r="L66" s="45">
        <f t="shared" si="19"/>
        <v>0</v>
      </c>
    </row>
    <row r="67" spans="1:12" s="8" customFormat="1" ht="15" customHeight="1">
      <c r="A67" s="25"/>
      <c r="B67" s="251" t="s">
        <v>104</v>
      </c>
      <c r="C67" s="226"/>
      <c r="D67" s="26"/>
      <c r="E67" s="40">
        <f t="shared" si="16"/>
        <v>0</v>
      </c>
      <c r="F67" s="37">
        <f t="shared" si="20"/>
        <v>0</v>
      </c>
      <c r="G67" s="34">
        <f t="shared" si="21"/>
        <v>0</v>
      </c>
      <c r="H67" s="44">
        <f t="shared" si="2"/>
        <v>0</v>
      </c>
      <c r="I67" s="48"/>
      <c r="J67" s="27">
        <v>100000</v>
      </c>
      <c r="K67" s="49">
        <f t="shared" si="10"/>
        <v>100000</v>
      </c>
      <c r="L67" s="45"/>
    </row>
    <row r="68" spans="1:12" s="8" customFormat="1" ht="15" customHeight="1">
      <c r="A68" s="25"/>
      <c r="B68" s="251" t="s">
        <v>52</v>
      </c>
      <c r="C68" s="226">
        <v>30000</v>
      </c>
      <c r="D68" s="26"/>
      <c r="E68" s="40">
        <f t="shared" si="16"/>
        <v>30000</v>
      </c>
      <c r="F68" s="37">
        <f t="shared" si="20"/>
        <v>30000</v>
      </c>
      <c r="G68" s="34">
        <f t="shared" si="21"/>
        <v>0</v>
      </c>
      <c r="H68" s="44">
        <f t="shared" si="2"/>
        <v>30000</v>
      </c>
      <c r="I68" s="48"/>
      <c r="J68" s="27"/>
      <c r="K68" s="49">
        <f>SUM(I68:J68)</f>
        <v>0</v>
      </c>
      <c r="L68" s="45">
        <f>K68/H68</f>
        <v>0</v>
      </c>
    </row>
    <row r="69" spans="1:12" s="8" customFormat="1" ht="15" customHeight="1" hidden="1">
      <c r="A69" s="25"/>
      <c r="B69" s="251" t="s">
        <v>53</v>
      </c>
      <c r="C69" s="226"/>
      <c r="D69" s="26"/>
      <c r="E69" s="40"/>
      <c r="F69" s="37">
        <f t="shared" si="20"/>
        <v>0</v>
      </c>
      <c r="G69" s="34">
        <f t="shared" si="21"/>
        <v>0</v>
      </c>
      <c r="H69" s="44">
        <f t="shared" si="2"/>
        <v>0</v>
      </c>
      <c r="I69" s="48">
        <f>F69*102.8%</f>
        <v>0</v>
      </c>
      <c r="J69" s="27"/>
      <c r="K69" s="49"/>
      <c r="L69" s="45" t="e">
        <f>K69/H69</f>
        <v>#DIV/0!</v>
      </c>
    </row>
    <row r="70" spans="1:12" s="5" customFormat="1" ht="22.5" customHeight="1">
      <c r="A70" s="24"/>
      <c r="B70" s="236" t="s">
        <v>54</v>
      </c>
      <c r="C70" s="220">
        <f>2058412</f>
        <v>2058412</v>
      </c>
      <c r="D70" s="17"/>
      <c r="E70" s="40">
        <f>SUM(C70:D70)</f>
        <v>2058412</v>
      </c>
      <c r="F70" s="37">
        <f>C70</f>
        <v>2058412</v>
      </c>
      <c r="G70" s="34">
        <f t="shared" si="21"/>
        <v>0</v>
      </c>
      <c r="H70" s="44">
        <f aca="true" t="shared" si="22" ref="H70:H130">SUM(F70:G70)</f>
        <v>2058412</v>
      </c>
      <c r="I70" s="48">
        <v>1741588</v>
      </c>
      <c r="J70" s="19"/>
      <c r="K70" s="49">
        <f aca="true" t="shared" si="23" ref="K70:K101">SUM(I70:J70)</f>
        <v>1741588</v>
      </c>
      <c r="L70" s="45">
        <f>K70/H70</f>
        <v>0.846</v>
      </c>
    </row>
    <row r="71" spans="1:12" s="5" customFormat="1" ht="17.25" customHeight="1">
      <c r="A71" s="24"/>
      <c r="B71" s="236" t="s">
        <v>55</v>
      </c>
      <c r="C71" s="220">
        <v>18720</v>
      </c>
      <c r="D71" s="17"/>
      <c r="E71" s="40">
        <f>SUM(C71:D71)</f>
        <v>18720</v>
      </c>
      <c r="F71" s="37">
        <f t="shared" si="20"/>
        <v>18720</v>
      </c>
      <c r="G71" s="34">
        <f t="shared" si="21"/>
        <v>0</v>
      </c>
      <c r="H71" s="44">
        <f t="shared" si="22"/>
        <v>18720</v>
      </c>
      <c r="I71" s="48"/>
      <c r="J71" s="19"/>
      <c r="K71" s="49">
        <f t="shared" si="23"/>
        <v>0</v>
      </c>
      <c r="L71" s="45">
        <f>K71/H71</f>
        <v>0</v>
      </c>
    </row>
    <row r="72" spans="1:12" s="5" customFormat="1" ht="39.75" customHeight="1" hidden="1">
      <c r="A72" s="24"/>
      <c r="B72" s="251" t="s">
        <v>113</v>
      </c>
      <c r="C72" s="220"/>
      <c r="D72" s="17"/>
      <c r="E72" s="40"/>
      <c r="F72" s="37">
        <f t="shared" si="20"/>
        <v>0</v>
      </c>
      <c r="G72" s="34">
        <f t="shared" si="21"/>
        <v>0</v>
      </c>
      <c r="H72" s="44">
        <f t="shared" si="22"/>
        <v>0</v>
      </c>
      <c r="I72" s="48"/>
      <c r="J72" s="19"/>
      <c r="K72" s="49">
        <f t="shared" si="23"/>
        <v>0</v>
      </c>
      <c r="L72" s="45"/>
    </row>
    <row r="73" spans="1:12" ht="46.5" customHeight="1">
      <c r="A73" s="25"/>
      <c r="B73" s="236" t="s">
        <v>132</v>
      </c>
      <c r="C73" s="220">
        <f>196000+95000+21366+19560</f>
        <v>331926</v>
      </c>
      <c r="D73" s="17">
        <f>362340+115639+54293</f>
        <v>532272</v>
      </c>
      <c r="E73" s="40">
        <f>SUM(C73:D73)</f>
        <v>864198</v>
      </c>
      <c r="F73" s="35">
        <f>C73</f>
        <v>331926</v>
      </c>
      <c r="G73" s="18">
        <f>D73</f>
        <v>532272</v>
      </c>
      <c r="H73" s="44">
        <f t="shared" si="22"/>
        <v>864198</v>
      </c>
      <c r="I73" s="48">
        <f>186234+13000+111920</f>
        <v>311154</v>
      </c>
      <c r="J73" s="19"/>
      <c r="K73" s="49">
        <f t="shared" si="23"/>
        <v>311154</v>
      </c>
      <c r="L73" s="45">
        <f>K73/H73</f>
        <v>0.36</v>
      </c>
    </row>
    <row r="74" spans="1:12" ht="22.5">
      <c r="A74" s="25"/>
      <c r="B74" s="236" t="s">
        <v>133</v>
      </c>
      <c r="C74" s="220">
        <v>2500000</v>
      </c>
      <c r="D74" s="17"/>
      <c r="E74" s="40">
        <f>SUM(C74:D74)</f>
        <v>2500000</v>
      </c>
      <c r="F74" s="35">
        <f>C74</f>
        <v>2500000</v>
      </c>
      <c r="G74" s="18"/>
      <c r="H74" s="44">
        <f t="shared" si="22"/>
        <v>2500000</v>
      </c>
      <c r="I74" s="48"/>
      <c r="J74" s="19"/>
      <c r="K74" s="49">
        <f t="shared" si="23"/>
        <v>0</v>
      </c>
      <c r="L74" s="45">
        <f>K74/H74</f>
        <v>0</v>
      </c>
    </row>
    <row r="75" spans="1:12" s="5" customFormat="1" ht="22.5">
      <c r="A75" s="24"/>
      <c r="B75" s="251" t="s">
        <v>121</v>
      </c>
      <c r="C75" s="220">
        <v>45256</v>
      </c>
      <c r="D75" s="17"/>
      <c r="E75" s="40">
        <f>SUM(C75:D75)</f>
        <v>45256</v>
      </c>
      <c r="F75" s="37">
        <f t="shared" si="20"/>
        <v>45256</v>
      </c>
      <c r="G75" s="34"/>
      <c r="H75" s="44">
        <f t="shared" si="22"/>
        <v>45256</v>
      </c>
      <c r="I75" s="48"/>
      <c r="J75" s="19"/>
      <c r="K75" s="49">
        <f t="shared" si="23"/>
        <v>0</v>
      </c>
      <c r="L75" s="45">
        <f>K75/H75</f>
        <v>0</v>
      </c>
    </row>
    <row r="76" spans="1:12" s="5" customFormat="1" ht="22.5">
      <c r="A76" s="24"/>
      <c r="B76" s="236" t="s">
        <v>56</v>
      </c>
      <c r="C76" s="220"/>
      <c r="D76" s="17">
        <v>2080000</v>
      </c>
      <c r="E76" s="40">
        <f aca="true" t="shared" si="24" ref="E76:E86">SUM(C76:D76)</f>
        <v>2080000</v>
      </c>
      <c r="F76" s="37">
        <f t="shared" si="20"/>
        <v>0</v>
      </c>
      <c r="G76" s="34">
        <f t="shared" si="21"/>
        <v>2080000</v>
      </c>
      <c r="H76" s="44">
        <f t="shared" si="22"/>
        <v>2080000</v>
      </c>
      <c r="I76" s="48">
        <f>F76*102.8%</f>
        <v>0</v>
      </c>
      <c r="J76" s="19">
        <v>10250000</v>
      </c>
      <c r="K76" s="49">
        <f t="shared" si="23"/>
        <v>10250000</v>
      </c>
      <c r="L76" s="45">
        <f aca="true" t="shared" si="25" ref="L76:L101">K76/H76</f>
        <v>4.928</v>
      </c>
    </row>
    <row r="77" spans="1:12" s="5" customFormat="1" ht="15.75" customHeight="1">
      <c r="A77" s="128"/>
      <c r="B77" s="252" t="s">
        <v>57</v>
      </c>
      <c r="C77" s="227">
        <f>396559+636100</f>
        <v>1032659</v>
      </c>
      <c r="D77" s="129"/>
      <c r="E77" s="130">
        <f t="shared" si="24"/>
        <v>1032659</v>
      </c>
      <c r="F77" s="131">
        <f t="shared" si="20"/>
        <v>1032659</v>
      </c>
      <c r="G77" s="132">
        <f t="shared" si="21"/>
        <v>0</v>
      </c>
      <c r="H77" s="133">
        <f t="shared" si="22"/>
        <v>1032659</v>
      </c>
      <c r="I77" s="134"/>
      <c r="J77" s="135"/>
      <c r="K77" s="136">
        <f t="shared" si="23"/>
        <v>0</v>
      </c>
      <c r="L77" s="137">
        <f t="shared" si="25"/>
        <v>0</v>
      </c>
    </row>
    <row r="78" spans="1:12" s="151" customFormat="1" ht="24.75" customHeight="1">
      <c r="A78" s="167">
        <v>6</v>
      </c>
      <c r="B78" s="244" t="s">
        <v>60</v>
      </c>
      <c r="C78" s="223">
        <f>SUM(C79:C80)</f>
        <v>138008085</v>
      </c>
      <c r="D78" s="169">
        <f>SUM(D79:D80)</f>
        <v>32240857</v>
      </c>
      <c r="E78" s="181">
        <f t="shared" si="24"/>
        <v>170248942</v>
      </c>
      <c r="F78" s="171">
        <f>SUM(F79:F80)</f>
        <v>138008085</v>
      </c>
      <c r="G78" s="172">
        <f>SUM(G79:G80)</f>
        <v>32240857</v>
      </c>
      <c r="H78" s="179">
        <f t="shared" si="22"/>
        <v>170248942</v>
      </c>
      <c r="I78" s="168">
        <f>SUM(I79:I80)</f>
        <v>148615696</v>
      </c>
      <c r="J78" s="169">
        <f>SUM(J79:J80)</f>
        <v>42307516</v>
      </c>
      <c r="K78" s="180">
        <f t="shared" si="23"/>
        <v>190923212</v>
      </c>
      <c r="L78" s="177">
        <f t="shared" si="25"/>
        <v>1.121</v>
      </c>
    </row>
    <row r="79" spans="1:12" ht="15.75" customHeight="1">
      <c r="A79" s="94"/>
      <c r="B79" s="253" t="s">
        <v>61</v>
      </c>
      <c r="C79" s="219">
        <v>127089626</v>
      </c>
      <c r="D79" s="68">
        <v>29957857</v>
      </c>
      <c r="E79" s="69">
        <f t="shared" si="24"/>
        <v>157047483</v>
      </c>
      <c r="F79" s="70">
        <f>C79</f>
        <v>127089626</v>
      </c>
      <c r="G79" s="71">
        <f>D79</f>
        <v>29957857</v>
      </c>
      <c r="H79" s="72">
        <f t="shared" si="22"/>
        <v>157047483</v>
      </c>
      <c r="I79" s="73">
        <v>137843412</v>
      </c>
      <c r="J79" s="74">
        <v>39676916</v>
      </c>
      <c r="K79" s="75">
        <f t="shared" si="23"/>
        <v>177520328</v>
      </c>
      <c r="L79" s="76">
        <f t="shared" si="25"/>
        <v>1.13</v>
      </c>
    </row>
    <row r="80" spans="1:12" ht="15" customHeight="1" thickBot="1">
      <c r="A80" s="95"/>
      <c r="B80" s="254" t="s">
        <v>62</v>
      </c>
      <c r="C80" s="224">
        <v>10918459</v>
      </c>
      <c r="D80" s="87">
        <v>2283000</v>
      </c>
      <c r="E80" s="88">
        <f t="shared" si="24"/>
        <v>13201459</v>
      </c>
      <c r="F80" s="79">
        <f>C80</f>
        <v>10918459</v>
      </c>
      <c r="G80" s="80">
        <f>D80</f>
        <v>2283000</v>
      </c>
      <c r="H80" s="81">
        <f t="shared" si="22"/>
        <v>13201459</v>
      </c>
      <c r="I80" s="89">
        <f>8600000+2172284</f>
        <v>10772284</v>
      </c>
      <c r="J80" s="90">
        <f>2100000+530600</f>
        <v>2630600</v>
      </c>
      <c r="K80" s="91">
        <f t="shared" si="23"/>
        <v>13402884</v>
      </c>
      <c r="L80" s="85">
        <f t="shared" si="25"/>
        <v>1.015</v>
      </c>
    </row>
    <row r="81" spans="1:12" s="158" customFormat="1" ht="22.5" customHeight="1" thickBot="1">
      <c r="A81" s="273" t="s">
        <v>63</v>
      </c>
      <c r="B81" s="274"/>
      <c r="C81" s="217">
        <f>SUM(C82:C85)</f>
        <v>68996664</v>
      </c>
      <c r="D81" s="157">
        <f>SUM(D82:D85)</f>
        <v>60370621</v>
      </c>
      <c r="E81" s="138">
        <f t="shared" si="24"/>
        <v>129367285</v>
      </c>
      <c r="F81" s="154">
        <f>SUM(F82:F85)</f>
        <v>68996664</v>
      </c>
      <c r="G81" s="155">
        <f>SUM(G82:G85)</f>
        <v>60370621</v>
      </c>
      <c r="H81" s="182">
        <f t="shared" si="22"/>
        <v>129367285</v>
      </c>
      <c r="I81" s="183">
        <f>SUM(I82:I85)</f>
        <v>70446038</v>
      </c>
      <c r="J81" s="184">
        <f>SUM(J82:J85)</f>
        <v>62130772</v>
      </c>
      <c r="K81" s="185">
        <f t="shared" si="23"/>
        <v>132576810</v>
      </c>
      <c r="L81" s="140">
        <f t="shared" si="25"/>
        <v>1.025</v>
      </c>
    </row>
    <row r="82" spans="1:12" s="2" customFormat="1" ht="15" customHeight="1">
      <c r="A82" s="94">
        <v>1</v>
      </c>
      <c r="B82" s="253" t="s">
        <v>64</v>
      </c>
      <c r="C82" s="219">
        <v>67873015</v>
      </c>
      <c r="D82" s="68">
        <v>58326923</v>
      </c>
      <c r="E82" s="69">
        <f t="shared" si="24"/>
        <v>126199938</v>
      </c>
      <c r="F82" s="70">
        <f>C82</f>
        <v>67873015</v>
      </c>
      <c r="G82" s="71">
        <f>D82</f>
        <v>58326923</v>
      </c>
      <c r="H82" s="72">
        <f t="shared" si="22"/>
        <v>126199938</v>
      </c>
      <c r="I82" s="73">
        <v>70446038</v>
      </c>
      <c r="J82" s="74">
        <v>61525907</v>
      </c>
      <c r="K82" s="75">
        <f t="shared" si="23"/>
        <v>131971945</v>
      </c>
      <c r="L82" s="76">
        <f t="shared" si="25"/>
        <v>1.046</v>
      </c>
    </row>
    <row r="83" spans="1:12" s="2" customFormat="1" ht="15" customHeight="1">
      <c r="A83" s="25">
        <v>2</v>
      </c>
      <c r="B83" s="246" t="s">
        <v>129</v>
      </c>
      <c r="C83" s="220">
        <v>1010963</v>
      </c>
      <c r="D83" s="17">
        <v>2043698</v>
      </c>
      <c r="E83" s="40">
        <f t="shared" si="24"/>
        <v>3054661</v>
      </c>
      <c r="F83" s="35">
        <f aca="true" t="shared" si="26" ref="F83:G85">C83</f>
        <v>1010963</v>
      </c>
      <c r="G83" s="18">
        <f t="shared" si="26"/>
        <v>2043698</v>
      </c>
      <c r="H83" s="44">
        <f t="shared" si="22"/>
        <v>3054661</v>
      </c>
      <c r="I83" s="48">
        <v>0</v>
      </c>
      <c r="J83" s="19"/>
      <c r="K83" s="49">
        <f t="shared" si="23"/>
        <v>0</v>
      </c>
      <c r="L83" s="45">
        <f t="shared" si="25"/>
        <v>0</v>
      </c>
    </row>
    <row r="84" spans="1:12" s="2" customFormat="1" ht="15" customHeight="1">
      <c r="A84" s="25">
        <v>3</v>
      </c>
      <c r="B84" s="250" t="s">
        <v>65</v>
      </c>
      <c r="C84" s="220">
        <v>112686</v>
      </c>
      <c r="D84" s="17"/>
      <c r="E84" s="40">
        <f t="shared" si="24"/>
        <v>112686</v>
      </c>
      <c r="F84" s="35">
        <f t="shared" si="26"/>
        <v>112686</v>
      </c>
      <c r="G84" s="18">
        <f t="shared" si="26"/>
        <v>0</v>
      </c>
      <c r="H84" s="44">
        <f t="shared" si="22"/>
        <v>112686</v>
      </c>
      <c r="I84" s="48"/>
      <c r="J84" s="19"/>
      <c r="K84" s="49">
        <f t="shared" si="23"/>
        <v>0</v>
      </c>
      <c r="L84" s="45">
        <f t="shared" si="25"/>
        <v>0</v>
      </c>
    </row>
    <row r="85" spans="1:12" s="2" customFormat="1" ht="15" customHeight="1" thickBot="1">
      <c r="A85" s="95">
        <v>4</v>
      </c>
      <c r="B85" s="255" t="s">
        <v>66</v>
      </c>
      <c r="C85" s="224"/>
      <c r="D85" s="87">
        <v>0</v>
      </c>
      <c r="E85" s="88">
        <f t="shared" si="24"/>
        <v>0</v>
      </c>
      <c r="F85" s="79">
        <f t="shared" si="26"/>
        <v>0</v>
      </c>
      <c r="G85" s="80">
        <f t="shared" si="26"/>
        <v>0</v>
      </c>
      <c r="H85" s="81">
        <f t="shared" si="22"/>
        <v>0</v>
      </c>
      <c r="I85" s="89"/>
      <c r="J85" s="90">
        <v>604865</v>
      </c>
      <c r="K85" s="91">
        <f t="shared" si="23"/>
        <v>604865</v>
      </c>
      <c r="L85" s="85"/>
    </row>
    <row r="86" spans="1:12" s="186" customFormat="1" ht="24.75" customHeight="1" thickBot="1">
      <c r="A86" s="277" t="s">
        <v>67</v>
      </c>
      <c r="B86" s="278"/>
      <c r="C86" s="217">
        <f>SUM(C119,C114,C87)</f>
        <v>30057950</v>
      </c>
      <c r="D86" s="157">
        <f>SUM(D119,D114,D87)</f>
        <v>16710142</v>
      </c>
      <c r="E86" s="138">
        <f t="shared" si="24"/>
        <v>46768092</v>
      </c>
      <c r="F86" s="154">
        <f>SUM(F119,F114,F87)</f>
        <v>30057950</v>
      </c>
      <c r="G86" s="155">
        <f>SUM(G119,G114,G87)</f>
        <v>16710142</v>
      </c>
      <c r="H86" s="139">
        <f t="shared" si="22"/>
        <v>46768092</v>
      </c>
      <c r="I86" s="183">
        <f>SUM(I119,I114,I87)</f>
        <v>41193100</v>
      </c>
      <c r="J86" s="184">
        <f>SUM(J119,J114,J87)</f>
        <v>12574260</v>
      </c>
      <c r="K86" s="185">
        <f t="shared" si="23"/>
        <v>53767360</v>
      </c>
      <c r="L86" s="140">
        <f t="shared" si="25"/>
        <v>1.15</v>
      </c>
    </row>
    <row r="87" spans="1:12" s="15" customFormat="1" ht="19.5" customHeight="1">
      <c r="A87" s="187">
        <v>1</v>
      </c>
      <c r="B87" s="256" t="s">
        <v>127</v>
      </c>
      <c r="C87" s="218">
        <f>SUM(C88:C93,C105:C113)</f>
        <v>28963316</v>
      </c>
      <c r="D87" s="188">
        <f>SUM(D88:D93,D105:D113)</f>
        <v>12141669</v>
      </c>
      <c r="E87" s="189">
        <f>SUM(C87:D87)</f>
        <v>41104985</v>
      </c>
      <c r="F87" s="144">
        <f>SUM(F88:F93,F105:F113)</f>
        <v>28963316</v>
      </c>
      <c r="G87" s="145">
        <f>SUM(G88:G93,G105:G113)</f>
        <v>12141669</v>
      </c>
      <c r="H87" s="190">
        <f t="shared" si="22"/>
        <v>41104985</v>
      </c>
      <c r="I87" s="147">
        <f>SUM(I88:I93,I105:I113)</f>
        <v>39777890</v>
      </c>
      <c r="J87" s="148">
        <f>SUM(J88:J93,J105:J113)</f>
        <v>11176500</v>
      </c>
      <c r="K87" s="149">
        <f t="shared" si="23"/>
        <v>50954390</v>
      </c>
      <c r="L87" s="150">
        <f t="shared" si="25"/>
        <v>1.24</v>
      </c>
    </row>
    <row r="88" spans="1:12" s="2" customFormat="1" ht="17.25" customHeight="1">
      <c r="A88" s="94"/>
      <c r="B88" s="257" t="s">
        <v>68</v>
      </c>
      <c r="C88" s="219"/>
      <c r="D88" s="68">
        <f>307710+92563</f>
        <v>400273</v>
      </c>
      <c r="E88" s="69">
        <f aca="true" t="shared" si="27" ref="E88:E114">SUM(C88:D88)</f>
        <v>400273</v>
      </c>
      <c r="F88" s="70">
        <f>C88</f>
        <v>0</v>
      </c>
      <c r="G88" s="71">
        <f>D88</f>
        <v>400273</v>
      </c>
      <c r="H88" s="72">
        <f t="shared" si="22"/>
        <v>400273</v>
      </c>
      <c r="I88" s="73"/>
      <c r="J88" s="74">
        <v>434400</v>
      </c>
      <c r="K88" s="75">
        <f t="shared" si="23"/>
        <v>434400</v>
      </c>
      <c r="L88" s="76">
        <f t="shared" si="25"/>
        <v>1.085</v>
      </c>
    </row>
    <row r="89" spans="1:12" s="2" customFormat="1" ht="16.5" customHeight="1">
      <c r="A89" s="25"/>
      <c r="B89" s="258" t="s">
        <v>69</v>
      </c>
      <c r="C89" s="220"/>
      <c r="D89" s="17">
        <v>4500</v>
      </c>
      <c r="E89" s="40">
        <f t="shared" si="27"/>
        <v>4500</v>
      </c>
      <c r="F89" s="35">
        <f aca="true" t="shared" si="28" ref="F89:G91">C89</f>
        <v>0</v>
      </c>
      <c r="G89" s="18">
        <f t="shared" si="28"/>
        <v>4500</v>
      </c>
      <c r="H89" s="44">
        <f t="shared" si="22"/>
        <v>4500</v>
      </c>
      <c r="I89" s="48"/>
      <c r="J89" s="19"/>
      <c r="K89" s="49">
        <f t="shared" si="23"/>
        <v>0</v>
      </c>
      <c r="L89" s="45">
        <f t="shared" si="25"/>
        <v>0</v>
      </c>
    </row>
    <row r="90" spans="1:12" ht="23.25" customHeight="1">
      <c r="A90" s="25"/>
      <c r="B90" s="246" t="s">
        <v>70</v>
      </c>
      <c r="C90" s="220"/>
      <c r="D90" s="17">
        <v>7355300</v>
      </c>
      <c r="E90" s="40">
        <f t="shared" si="27"/>
        <v>7355300</v>
      </c>
      <c r="F90" s="35">
        <f t="shared" si="28"/>
        <v>0</v>
      </c>
      <c r="G90" s="18">
        <f t="shared" si="28"/>
        <v>7355300</v>
      </c>
      <c r="H90" s="44">
        <f t="shared" si="22"/>
        <v>7355300</v>
      </c>
      <c r="I90" s="48"/>
      <c r="J90" s="19">
        <v>7826000</v>
      </c>
      <c r="K90" s="49">
        <f t="shared" si="23"/>
        <v>7826000</v>
      </c>
      <c r="L90" s="45">
        <f t="shared" si="25"/>
        <v>1.064</v>
      </c>
    </row>
    <row r="91" spans="1:12" ht="22.5">
      <c r="A91" s="25"/>
      <c r="B91" s="246" t="s">
        <v>71</v>
      </c>
      <c r="C91" s="220"/>
      <c r="D91" s="17">
        <v>537500</v>
      </c>
      <c r="E91" s="40">
        <f t="shared" si="27"/>
        <v>537500</v>
      </c>
      <c r="F91" s="35">
        <f t="shared" si="28"/>
        <v>0</v>
      </c>
      <c r="G91" s="18">
        <f t="shared" si="28"/>
        <v>537500</v>
      </c>
      <c r="H91" s="44">
        <f t="shared" si="22"/>
        <v>537500</v>
      </c>
      <c r="I91" s="48"/>
      <c r="J91" s="19">
        <v>60000</v>
      </c>
      <c r="K91" s="49">
        <f t="shared" si="23"/>
        <v>60000</v>
      </c>
      <c r="L91" s="45">
        <f t="shared" si="25"/>
        <v>0.112</v>
      </c>
    </row>
    <row r="92" spans="1:12" ht="15.75" customHeight="1">
      <c r="A92" s="98"/>
      <c r="B92" s="259" t="s">
        <v>72</v>
      </c>
      <c r="C92" s="220">
        <f>1417680+292394</f>
        <v>1710074</v>
      </c>
      <c r="D92" s="17"/>
      <c r="E92" s="40">
        <f t="shared" si="27"/>
        <v>1710074</v>
      </c>
      <c r="F92" s="35">
        <f>C92</f>
        <v>1710074</v>
      </c>
      <c r="G92" s="18">
        <f>D92</f>
        <v>0</v>
      </c>
      <c r="H92" s="44">
        <f t="shared" si="22"/>
        <v>1710074</v>
      </c>
      <c r="I92" s="48"/>
      <c r="J92" s="19"/>
      <c r="K92" s="49">
        <f t="shared" si="23"/>
        <v>0</v>
      </c>
      <c r="L92" s="45">
        <f t="shared" si="25"/>
        <v>0</v>
      </c>
    </row>
    <row r="93" spans="1:12" ht="15.75" customHeight="1">
      <c r="A93" s="25"/>
      <c r="B93" s="246" t="s">
        <v>110</v>
      </c>
      <c r="C93" s="220">
        <f>SUM(C94:C104)</f>
        <v>25913542</v>
      </c>
      <c r="D93" s="17">
        <f>SUM(D94:D104)</f>
        <v>355626</v>
      </c>
      <c r="E93" s="40">
        <f t="shared" si="27"/>
        <v>26269168</v>
      </c>
      <c r="F93" s="35">
        <f aca="true" t="shared" si="29" ref="F93:G113">C93</f>
        <v>25913542</v>
      </c>
      <c r="G93" s="18">
        <f t="shared" si="29"/>
        <v>355626</v>
      </c>
      <c r="H93" s="44">
        <f t="shared" si="22"/>
        <v>26269168</v>
      </c>
      <c r="I93" s="48">
        <f>SUM(I94:I104)</f>
        <v>38686780</v>
      </c>
      <c r="J93" s="19">
        <f>SUM(J94:J104)</f>
        <v>296800</v>
      </c>
      <c r="K93" s="49">
        <f t="shared" si="23"/>
        <v>38983580</v>
      </c>
      <c r="L93" s="45">
        <f t="shared" si="25"/>
        <v>1.484</v>
      </c>
    </row>
    <row r="94" spans="1:12" ht="15.75" customHeight="1">
      <c r="A94" s="25"/>
      <c r="B94" s="260" t="s">
        <v>74</v>
      </c>
      <c r="C94" s="221">
        <v>507600</v>
      </c>
      <c r="D94" s="21"/>
      <c r="E94" s="40">
        <f t="shared" si="27"/>
        <v>507600</v>
      </c>
      <c r="F94" s="35">
        <f t="shared" si="29"/>
        <v>507600</v>
      </c>
      <c r="G94" s="18">
        <f t="shared" si="29"/>
        <v>0</v>
      </c>
      <c r="H94" s="44">
        <f t="shared" si="22"/>
        <v>507600</v>
      </c>
      <c r="I94" s="50">
        <v>556360</v>
      </c>
      <c r="J94" s="22"/>
      <c r="K94" s="49">
        <f t="shared" si="23"/>
        <v>556360</v>
      </c>
      <c r="L94" s="45">
        <f t="shared" si="25"/>
        <v>1.096</v>
      </c>
    </row>
    <row r="95" spans="1:12" ht="15.75" customHeight="1">
      <c r="A95" s="25"/>
      <c r="B95" s="260" t="s">
        <v>75</v>
      </c>
      <c r="C95" s="221">
        <v>405000</v>
      </c>
      <c r="D95" s="21"/>
      <c r="E95" s="40">
        <f t="shared" si="27"/>
        <v>405000</v>
      </c>
      <c r="F95" s="35">
        <f t="shared" si="29"/>
        <v>405000</v>
      </c>
      <c r="G95" s="18">
        <f t="shared" si="29"/>
        <v>0</v>
      </c>
      <c r="H95" s="44">
        <f t="shared" si="22"/>
        <v>405000</v>
      </c>
      <c r="I95" s="50">
        <v>428490</v>
      </c>
      <c r="J95" s="22"/>
      <c r="K95" s="49">
        <f t="shared" si="23"/>
        <v>428490</v>
      </c>
      <c r="L95" s="45">
        <f t="shared" si="25"/>
        <v>1.058</v>
      </c>
    </row>
    <row r="96" spans="1:12" ht="15.75" customHeight="1">
      <c r="A96" s="25"/>
      <c r="B96" s="260" t="s">
        <v>76</v>
      </c>
      <c r="C96" s="221">
        <v>4957505</v>
      </c>
      <c r="D96" s="21"/>
      <c r="E96" s="40">
        <f t="shared" si="27"/>
        <v>4957505</v>
      </c>
      <c r="F96" s="35">
        <f t="shared" si="29"/>
        <v>4957505</v>
      </c>
      <c r="G96" s="18">
        <f t="shared" si="29"/>
        <v>0</v>
      </c>
      <c r="H96" s="44">
        <f t="shared" si="22"/>
        <v>4957505</v>
      </c>
      <c r="I96" s="50">
        <v>5053200</v>
      </c>
      <c r="J96" s="22"/>
      <c r="K96" s="49">
        <f t="shared" si="23"/>
        <v>5053200</v>
      </c>
      <c r="L96" s="45">
        <f t="shared" si="25"/>
        <v>1.019</v>
      </c>
    </row>
    <row r="97" spans="1:12" ht="15.75" customHeight="1">
      <c r="A97" s="25"/>
      <c r="B97" s="260" t="s">
        <v>78</v>
      </c>
      <c r="C97" s="221">
        <v>19187764</v>
      </c>
      <c r="D97" s="21">
        <v>49550</v>
      </c>
      <c r="E97" s="40">
        <f t="shared" si="27"/>
        <v>19237314</v>
      </c>
      <c r="F97" s="35">
        <f t="shared" si="29"/>
        <v>19187764</v>
      </c>
      <c r="G97" s="18">
        <f t="shared" si="29"/>
        <v>49550</v>
      </c>
      <c r="H97" s="44">
        <f t="shared" si="22"/>
        <v>19237314</v>
      </c>
      <c r="I97" s="50">
        <v>32400310</v>
      </c>
      <c r="J97" s="22">
        <v>41800</v>
      </c>
      <c r="K97" s="49">
        <f t="shared" si="23"/>
        <v>32442110</v>
      </c>
      <c r="L97" s="45">
        <f t="shared" si="25"/>
        <v>1.686</v>
      </c>
    </row>
    <row r="98" spans="1:12" ht="15.75" customHeight="1">
      <c r="A98" s="25"/>
      <c r="B98" s="260" t="s">
        <v>79</v>
      </c>
      <c r="C98" s="221">
        <v>80000</v>
      </c>
      <c r="D98" s="21"/>
      <c r="E98" s="40">
        <f t="shared" si="27"/>
        <v>80000</v>
      </c>
      <c r="F98" s="35">
        <f t="shared" si="29"/>
        <v>80000</v>
      </c>
      <c r="G98" s="18">
        <f t="shared" si="29"/>
        <v>0</v>
      </c>
      <c r="H98" s="44">
        <f t="shared" si="22"/>
        <v>80000</v>
      </c>
      <c r="I98" s="50"/>
      <c r="J98" s="22"/>
      <c r="K98" s="49">
        <f t="shared" si="23"/>
        <v>0</v>
      </c>
      <c r="L98" s="45">
        <f t="shared" si="25"/>
        <v>0</v>
      </c>
    </row>
    <row r="99" spans="1:12" ht="15.75" customHeight="1">
      <c r="A99" s="25"/>
      <c r="B99" s="260" t="s">
        <v>80</v>
      </c>
      <c r="C99" s="221">
        <v>160803</v>
      </c>
      <c r="D99" s="21">
        <f>92000-66250</f>
        <v>25750</v>
      </c>
      <c r="E99" s="40">
        <f t="shared" si="27"/>
        <v>186553</v>
      </c>
      <c r="F99" s="35">
        <f t="shared" si="29"/>
        <v>160803</v>
      </c>
      <c r="G99" s="18">
        <f t="shared" si="29"/>
        <v>25750</v>
      </c>
      <c r="H99" s="44">
        <f t="shared" si="22"/>
        <v>186553</v>
      </c>
      <c r="I99" s="50"/>
      <c r="J99" s="22"/>
      <c r="K99" s="49">
        <f t="shared" si="23"/>
        <v>0</v>
      </c>
      <c r="L99" s="45">
        <f t="shared" si="25"/>
        <v>0</v>
      </c>
    </row>
    <row r="100" spans="1:12" ht="15.75" customHeight="1">
      <c r="A100" s="25"/>
      <c r="B100" s="260" t="s">
        <v>81</v>
      </c>
      <c r="C100" s="221">
        <f>1121030-722180</f>
        <v>398850</v>
      </c>
      <c r="D100" s="21"/>
      <c r="E100" s="40">
        <f t="shared" si="27"/>
        <v>398850</v>
      </c>
      <c r="F100" s="35">
        <f t="shared" si="29"/>
        <v>398850</v>
      </c>
      <c r="G100" s="18">
        <f t="shared" si="29"/>
        <v>0</v>
      </c>
      <c r="H100" s="44">
        <f t="shared" si="22"/>
        <v>398850</v>
      </c>
      <c r="I100" s="50"/>
      <c r="J100" s="22"/>
      <c r="K100" s="49">
        <f t="shared" si="23"/>
        <v>0</v>
      </c>
      <c r="L100" s="45">
        <f t="shared" si="25"/>
        <v>0</v>
      </c>
    </row>
    <row r="101" spans="1:12" ht="15.75" customHeight="1">
      <c r="A101" s="25"/>
      <c r="B101" s="260" t="s">
        <v>82</v>
      </c>
      <c r="C101" s="221">
        <v>216020</v>
      </c>
      <c r="D101" s="21"/>
      <c r="E101" s="40">
        <f t="shared" si="27"/>
        <v>216020</v>
      </c>
      <c r="F101" s="35">
        <f t="shared" si="29"/>
        <v>216020</v>
      </c>
      <c r="G101" s="18">
        <f t="shared" si="29"/>
        <v>0</v>
      </c>
      <c r="H101" s="44">
        <f t="shared" si="22"/>
        <v>216020</v>
      </c>
      <c r="I101" s="50">
        <v>248420</v>
      </c>
      <c r="J101" s="22"/>
      <c r="K101" s="49">
        <f t="shared" si="23"/>
        <v>248420</v>
      </c>
      <c r="L101" s="45">
        <f t="shared" si="25"/>
        <v>1.15</v>
      </c>
    </row>
    <row r="102" spans="1:12" s="8" customFormat="1" ht="15.75" customHeight="1">
      <c r="A102" s="99"/>
      <c r="B102" s="260" t="s">
        <v>83</v>
      </c>
      <c r="C102" s="221"/>
      <c r="D102" s="21">
        <f>24412+5914</f>
        <v>30326</v>
      </c>
      <c r="E102" s="40">
        <f t="shared" si="27"/>
        <v>30326</v>
      </c>
      <c r="F102" s="35">
        <f t="shared" si="29"/>
        <v>0</v>
      </c>
      <c r="G102" s="18">
        <f t="shared" si="29"/>
        <v>30326</v>
      </c>
      <c r="H102" s="44">
        <f t="shared" si="22"/>
        <v>30326</v>
      </c>
      <c r="I102" s="50"/>
      <c r="J102" s="22"/>
      <c r="K102" s="49">
        <f aca="true" t="shared" si="30" ref="K102:K130">SUM(I102:J102)</f>
        <v>0</v>
      </c>
      <c r="L102" s="45">
        <f aca="true" t="shared" si="31" ref="L102:L122">K102/H102</f>
        <v>0</v>
      </c>
    </row>
    <row r="103" spans="1:12" s="8" customFormat="1" ht="15.75" customHeight="1">
      <c r="A103" s="99"/>
      <c r="B103" s="260" t="s">
        <v>84</v>
      </c>
      <c r="C103" s="221"/>
      <c r="D103" s="21">
        <f>260000-10000</f>
        <v>250000</v>
      </c>
      <c r="E103" s="40">
        <f t="shared" si="27"/>
        <v>250000</v>
      </c>
      <c r="F103" s="35">
        <f t="shared" si="29"/>
        <v>0</v>
      </c>
      <c r="G103" s="18">
        <f t="shared" si="29"/>
        <v>250000</v>
      </c>
      <c r="H103" s="44">
        <f t="shared" si="22"/>
        <v>250000</v>
      </c>
      <c r="I103" s="50"/>
      <c r="J103" s="22">
        <v>255000</v>
      </c>
      <c r="K103" s="49">
        <f t="shared" si="30"/>
        <v>255000</v>
      </c>
      <c r="L103" s="45">
        <f t="shared" si="31"/>
        <v>1.02</v>
      </c>
    </row>
    <row r="104" spans="1:12" s="8" customFormat="1" ht="11.25" customHeight="1" hidden="1">
      <c r="A104" s="99"/>
      <c r="B104" s="260" t="s">
        <v>85</v>
      </c>
      <c r="C104" s="221"/>
      <c r="D104" s="21"/>
      <c r="E104" s="40">
        <f t="shared" si="27"/>
        <v>0</v>
      </c>
      <c r="F104" s="35">
        <f t="shared" si="29"/>
        <v>0</v>
      </c>
      <c r="G104" s="18">
        <f t="shared" si="29"/>
        <v>0</v>
      </c>
      <c r="H104" s="44">
        <f t="shared" si="22"/>
        <v>0</v>
      </c>
      <c r="I104" s="50"/>
      <c r="J104" s="22"/>
      <c r="K104" s="49">
        <f t="shared" si="30"/>
        <v>0</v>
      </c>
      <c r="L104" s="45" t="e">
        <f t="shared" si="31"/>
        <v>#DIV/0!</v>
      </c>
    </row>
    <row r="105" spans="1:12" ht="15" customHeight="1">
      <c r="A105" s="25"/>
      <c r="B105" s="246" t="s">
        <v>86</v>
      </c>
      <c r="C105" s="220"/>
      <c r="D105" s="17">
        <v>1787392</v>
      </c>
      <c r="E105" s="40">
        <f t="shared" si="27"/>
        <v>1787392</v>
      </c>
      <c r="F105" s="35">
        <f t="shared" si="29"/>
        <v>0</v>
      </c>
      <c r="G105" s="18">
        <f t="shared" si="29"/>
        <v>1787392</v>
      </c>
      <c r="H105" s="44">
        <f t="shared" si="22"/>
        <v>1787392</v>
      </c>
      <c r="I105" s="48"/>
      <c r="J105" s="19">
        <f>1508000+68000</f>
        <v>1576000</v>
      </c>
      <c r="K105" s="49">
        <f t="shared" si="30"/>
        <v>1576000</v>
      </c>
      <c r="L105" s="45">
        <f t="shared" si="31"/>
        <v>0.882</v>
      </c>
    </row>
    <row r="106" spans="1:12" ht="15" customHeight="1">
      <c r="A106" s="25"/>
      <c r="B106" s="246" t="s">
        <v>87</v>
      </c>
      <c r="C106" s="220">
        <v>1035200</v>
      </c>
      <c r="D106" s="17">
        <v>526900</v>
      </c>
      <c r="E106" s="40">
        <f t="shared" si="27"/>
        <v>1562100</v>
      </c>
      <c r="F106" s="35">
        <f t="shared" si="29"/>
        <v>1035200</v>
      </c>
      <c r="G106" s="18">
        <f t="shared" si="29"/>
        <v>526900</v>
      </c>
      <c r="H106" s="44">
        <f t="shared" si="22"/>
        <v>1562100</v>
      </c>
      <c r="I106" s="48">
        <v>1054500</v>
      </c>
      <c r="J106" s="19">
        <v>531300</v>
      </c>
      <c r="K106" s="49">
        <f t="shared" si="30"/>
        <v>1585800</v>
      </c>
      <c r="L106" s="45">
        <f t="shared" si="31"/>
        <v>1.015</v>
      </c>
    </row>
    <row r="107" spans="1:12" ht="15" customHeight="1">
      <c r="A107" s="25"/>
      <c r="B107" s="246" t="s">
        <v>88</v>
      </c>
      <c r="C107" s="220">
        <v>267560</v>
      </c>
      <c r="D107" s="17"/>
      <c r="E107" s="40">
        <f t="shared" si="27"/>
        <v>267560</v>
      </c>
      <c r="F107" s="35">
        <f t="shared" si="29"/>
        <v>267560</v>
      </c>
      <c r="G107" s="18">
        <f t="shared" si="29"/>
        <v>0</v>
      </c>
      <c r="H107" s="44">
        <f t="shared" si="22"/>
        <v>267560</v>
      </c>
      <c r="I107" s="48"/>
      <c r="J107" s="19"/>
      <c r="K107" s="49">
        <f t="shared" si="30"/>
        <v>0</v>
      </c>
      <c r="L107" s="45">
        <f t="shared" si="31"/>
        <v>0</v>
      </c>
    </row>
    <row r="108" spans="1:12" s="12" customFormat="1" ht="15" customHeight="1">
      <c r="A108" s="25"/>
      <c r="B108" s="246" t="s">
        <v>89</v>
      </c>
      <c r="C108" s="220">
        <v>36940</v>
      </c>
      <c r="D108" s="17"/>
      <c r="E108" s="40">
        <f t="shared" si="27"/>
        <v>36940</v>
      </c>
      <c r="F108" s="35">
        <f t="shared" si="29"/>
        <v>36940</v>
      </c>
      <c r="G108" s="18">
        <f t="shared" si="29"/>
        <v>0</v>
      </c>
      <c r="H108" s="44">
        <f t="shared" si="22"/>
        <v>36940</v>
      </c>
      <c r="I108" s="48">
        <v>36610</v>
      </c>
      <c r="J108" s="19"/>
      <c r="K108" s="49">
        <f t="shared" si="30"/>
        <v>36610</v>
      </c>
      <c r="L108" s="45">
        <f t="shared" si="31"/>
        <v>0.991</v>
      </c>
    </row>
    <row r="109" spans="1:12" s="12" customFormat="1" ht="15" customHeight="1">
      <c r="A109" s="25"/>
      <c r="B109" s="246" t="s">
        <v>115</v>
      </c>
      <c r="C109" s="220"/>
      <c r="D109" s="17">
        <v>60344</v>
      </c>
      <c r="E109" s="40">
        <f t="shared" si="27"/>
        <v>60344</v>
      </c>
      <c r="F109" s="35">
        <f t="shared" si="29"/>
        <v>0</v>
      </c>
      <c r="G109" s="18">
        <f t="shared" si="29"/>
        <v>60344</v>
      </c>
      <c r="H109" s="44">
        <f t="shared" si="22"/>
        <v>60344</v>
      </c>
      <c r="I109" s="48"/>
      <c r="J109" s="19"/>
      <c r="K109" s="49">
        <f t="shared" si="30"/>
        <v>0</v>
      </c>
      <c r="L109" s="45">
        <f t="shared" si="31"/>
        <v>0</v>
      </c>
    </row>
    <row r="110" spans="1:12" ht="15" customHeight="1">
      <c r="A110" s="98"/>
      <c r="B110" s="259" t="s">
        <v>90</v>
      </c>
      <c r="C110" s="220"/>
      <c r="D110" s="17">
        <v>85200</v>
      </c>
      <c r="E110" s="40">
        <f t="shared" si="27"/>
        <v>85200</v>
      </c>
      <c r="F110" s="35">
        <f t="shared" si="29"/>
        <v>0</v>
      </c>
      <c r="G110" s="18">
        <f t="shared" si="29"/>
        <v>85200</v>
      </c>
      <c r="H110" s="44">
        <f t="shared" si="22"/>
        <v>85200</v>
      </c>
      <c r="I110" s="48"/>
      <c r="J110" s="19">
        <v>173000</v>
      </c>
      <c r="K110" s="49">
        <f t="shared" si="30"/>
        <v>173000</v>
      </c>
      <c r="L110" s="45">
        <f t="shared" si="31"/>
        <v>2.031</v>
      </c>
    </row>
    <row r="111" spans="1:12" ht="15" customHeight="1">
      <c r="A111" s="98"/>
      <c r="B111" s="259" t="s">
        <v>91</v>
      </c>
      <c r="C111" s="220"/>
      <c r="D111" s="17">
        <v>46000</v>
      </c>
      <c r="E111" s="40">
        <f t="shared" si="27"/>
        <v>46000</v>
      </c>
      <c r="F111" s="35">
        <f t="shared" si="29"/>
        <v>0</v>
      </c>
      <c r="G111" s="18">
        <f t="shared" si="29"/>
        <v>46000</v>
      </c>
      <c r="H111" s="44">
        <f t="shared" si="22"/>
        <v>46000</v>
      </c>
      <c r="I111" s="48"/>
      <c r="J111" s="19">
        <v>60000</v>
      </c>
      <c r="K111" s="49">
        <f t="shared" si="30"/>
        <v>60000</v>
      </c>
      <c r="L111" s="45">
        <f t="shared" si="31"/>
        <v>1.304</v>
      </c>
    </row>
    <row r="112" spans="1:12" ht="15" customHeight="1">
      <c r="A112" s="98"/>
      <c r="B112" s="259" t="s">
        <v>92</v>
      </c>
      <c r="C112" s="220"/>
      <c r="D112" s="17">
        <v>894634</v>
      </c>
      <c r="E112" s="40">
        <f t="shared" si="27"/>
        <v>894634</v>
      </c>
      <c r="F112" s="35">
        <f t="shared" si="29"/>
        <v>0</v>
      </c>
      <c r="G112" s="18">
        <f t="shared" si="29"/>
        <v>894634</v>
      </c>
      <c r="H112" s="44">
        <f t="shared" si="22"/>
        <v>894634</v>
      </c>
      <c r="I112" s="48"/>
      <c r="J112" s="19">
        <v>125000</v>
      </c>
      <c r="K112" s="49">
        <f t="shared" si="30"/>
        <v>125000</v>
      </c>
      <c r="L112" s="45">
        <f t="shared" si="31"/>
        <v>0.14</v>
      </c>
    </row>
    <row r="113" spans="1:12" s="11" customFormat="1" ht="15" customHeight="1">
      <c r="A113" s="100"/>
      <c r="B113" s="261" t="s">
        <v>93</v>
      </c>
      <c r="C113" s="224"/>
      <c r="D113" s="87">
        <f>78000+10000</f>
        <v>88000</v>
      </c>
      <c r="E113" s="88">
        <f t="shared" si="27"/>
        <v>88000</v>
      </c>
      <c r="F113" s="79">
        <f t="shared" si="29"/>
        <v>0</v>
      </c>
      <c r="G113" s="80">
        <f t="shared" si="29"/>
        <v>88000</v>
      </c>
      <c r="H113" s="81">
        <f t="shared" si="22"/>
        <v>88000</v>
      </c>
      <c r="I113" s="89"/>
      <c r="J113" s="90">
        <v>94000</v>
      </c>
      <c r="K113" s="91">
        <f t="shared" si="30"/>
        <v>94000</v>
      </c>
      <c r="L113" s="85">
        <f t="shared" si="31"/>
        <v>1.068</v>
      </c>
    </row>
    <row r="114" spans="1:12" s="196" customFormat="1" ht="42" customHeight="1">
      <c r="A114" s="167">
        <v>2</v>
      </c>
      <c r="B114" s="244" t="s">
        <v>125</v>
      </c>
      <c r="C114" s="228">
        <f>SUM(C115:C118)</f>
        <v>46470</v>
      </c>
      <c r="D114" s="191">
        <f>SUM(D115:D118)</f>
        <v>20000</v>
      </c>
      <c r="E114" s="170">
        <f t="shared" si="27"/>
        <v>66470</v>
      </c>
      <c r="F114" s="192">
        <f>SUM(F115:F118)</f>
        <v>46470</v>
      </c>
      <c r="G114" s="193">
        <f>SUM(G115:G118)</f>
        <v>20000</v>
      </c>
      <c r="H114" s="179">
        <f t="shared" si="22"/>
        <v>66470</v>
      </c>
      <c r="I114" s="194">
        <f>SUM(I115:I118)</f>
        <v>27500</v>
      </c>
      <c r="J114" s="195">
        <f>SUM(J115:J118)</f>
        <v>0</v>
      </c>
      <c r="K114" s="180">
        <f t="shared" si="30"/>
        <v>27500</v>
      </c>
      <c r="L114" s="177">
        <f t="shared" si="31"/>
        <v>0.414</v>
      </c>
    </row>
    <row r="115" spans="1:12" s="9" customFormat="1" ht="21">
      <c r="A115" s="96"/>
      <c r="B115" s="262" t="s">
        <v>94</v>
      </c>
      <c r="C115" s="219">
        <v>12200</v>
      </c>
      <c r="D115" s="68"/>
      <c r="E115" s="69">
        <f aca="true" t="shared" si="32" ref="E115:E137">SUM(C115:D115)</f>
        <v>12200</v>
      </c>
      <c r="F115" s="70">
        <f aca="true" t="shared" si="33" ref="F115:G118">C115</f>
        <v>12200</v>
      </c>
      <c r="G115" s="71">
        <f t="shared" si="33"/>
        <v>0</v>
      </c>
      <c r="H115" s="72">
        <f t="shared" si="22"/>
        <v>12200</v>
      </c>
      <c r="I115" s="73"/>
      <c r="J115" s="74"/>
      <c r="K115" s="75">
        <f t="shared" si="30"/>
        <v>0</v>
      </c>
      <c r="L115" s="76">
        <f t="shared" si="31"/>
        <v>0</v>
      </c>
    </row>
    <row r="116" spans="1:12" s="9" customFormat="1" ht="14.25" customHeight="1">
      <c r="A116" s="28"/>
      <c r="B116" s="263" t="s">
        <v>122</v>
      </c>
      <c r="C116" s="220">
        <v>1770</v>
      </c>
      <c r="D116" s="17"/>
      <c r="E116" s="40">
        <f t="shared" si="32"/>
        <v>1770</v>
      </c>
      <c r="F116" s="35">
        <f t="shared" si="33"/>
        <v>1770</v>
      </c>
      <c r="G116" s="18">
        <f t="shared" si="33"/>
        <v>0</v>
      </c>
      <c r="H116" s="44">
        <f t="shared" si="22"/>
        <v>1770</v>
      </c>
      <c r="I116" s="48"/>
      <c r="J116" s="19"/>
      <c r="K116" s="49">
        <f t="shared" si="30"/>
        <v>0</v>
      </c>
      <c r="L116" s="45">
        <f t="shared" si="31"/>
        <v>0</v>
      </c>
    </row>
    <row r="117" spans="1:12" s="9" customFormat="1" ht="14.25" customHeight="1">
      <c r="A117" s="100"/>
      <c r="B117" s="264" t="s">
        <v>130</v>
      </c>
      <c r="C117" s="224"/>
      <c r="D117" s="87">
        <v>20000</v>
      </c>
      <c r="E117" s="40">
        <f t="shared" si="32"/>
        <v>20000</v>
      </c>
      <c r="F117" s="35">
        <f t="shared" si="33"/>
        <v>0</v>
      </c>
      <c r="G117" s="18">
        <f t="shared" si="33"/>
        <v>20000</v>
      </c>
      <c r="H117" s="44">
        <f t="shared" si="22"/>
        <v>20000</v>
      </c>
      <c r="I117" s="89"/>
      <c r="J117" s="90"/>
      <c r="K117" s="49">
        <f t="shared" si="30"/>
        <v>0</v>
      </c>
      <c r="L117" s="45"/>
    </row>
    <row r="118" spans="1:12" ht="14.25" customHeight="1">
      <c r="A118" s="95"/>
      <c r="B118" s="261" t="s">
        <v>95</v>
      </c>
      <c r="C118" s="224">
        <v>32500</v>
      </c>
      <c r="D118" s="87"/>
      <c r="E118" s="88">
        <f t="shared" si="32"/>
        <v>32500</v>
      </c>
      <c r="F118" s="79">
        <f t="shared" si="33"/>
        <v>32500</v>
      </c>
      <c r="G118" s="80">
        <f t="shared" si="33"/>
        <v>0</v>
      </c>
      <c r="H118" s="81">
        <f t="shared" si="22"/>
        <v>32500</v>
      </c>
      <c r="I118" s="89">
        <v>27500</v>
      </c>
      <c r="J118" s="90"/>
      <c r="K118" s="91">
        <f t="shared" si="30"/>
        <v>27500</v>
      </c>
      <c r="L118" s="85">
        <f t="shared" si="31"/>
        <v>0.846</v>
      </c>
    </row>
    <row r="119" spans="1:12" s="178" customFormat="1" ht="27.75" customHeight="1">
      <c r="A119" s="167">
        <v>3</v>
      </c>
      <c r="B119" s="244" t="s">
        <v>126</v>
      </c>
      <c r="C119" s="223">
        <f>SUM(C120:C123)</f>
        <v>1048164</v>
      </c>
      <c r="D119" s="169">
        <f>SUM(D120:D123)</f>
        <v>4548473</v>
      </c>
      <c r="E119" s="170">
        <f t="shared" si="32"/>
        <v>5596637</v>
      </c>
      <c r="F119" s="171">
        <f>SUM(F120:F123)</f>
        <v>1048164</v>
      </c>
      <c r="G119" s="172">
        <f>SUM(G120:G123)</f>
        <v>4548473</v>
      </c>
      <c r="H119" s="179">
        <f t="shared" si="22"/>
        <v>5596637</v>
      </c>
      <c r="I119" s="174">
        <f>SUM(I120:I123)</f>
        <v>1387710</v>
      </c>
      <c r="J119" s="175">
        <f>SUM(J120:J123)</f>
        <v>1397760</v>
      </c>
      <c r="K119" s="180">
        <f t="shared" si="30"/>
        <v>2785470</v>
      </c>
      <c r="L119" s="177">
        <f t="shared" si="31"/>
        <v>0.498</v>
      </c>
    </row>
    <row r="120" spans="1:12" s="2" customFormat="1" ht="14.25" customHeight="1">
      <c r="A120" s="94"/>
      <c r="B120" s="265" t="s">
        <v>96</v>
      </c>
      <c r="C120" s="219">
        <v>16840</v>
      </c>
      <c r="D120" s="68">
        <f>41333</f>
        <v>41333</v>
      </c>
      <c r="E120" s="69">
        <f t="shared" si="32"/>
        <v>58173</v>
      </c>
      <c r="F120" s="70">
        <f>C120</f>
        <v>16840</v>
      </c>
      <c r="G120" s="71">
        <f>D120</f>
        <v>41333</v>
      </c>
      <c r="H120" s="72">
        <f t="shared" si="22"/>
        <v>58173</v>
      </c>
      <c r="I120" s="73"/>
      <c r="J120" s="74"/>
      <c r="K120" s="75">
        <f t="shared" si="30"/>
        <v>0</v>
      </c>
      <c r="L120" s="76">
        <f t="shared" si="31"/>
        <v>0</v>
      </c>
    </row>
    <row r="121" spans="1:12" s="2" customFormat="1" ht="14.25" customHeight="1">
      <c r="A121" s="25"/>
      <c r="B121" s="250" t="s">
        <v>97</v>
      </c>
      <c r="C121" s="220">
        <v>46080</v>
      </c>
      <c r="D121" s="17"/>
      <c r="E121" s="40">
        <f t="shared" si="32"/>
        <v>46080</v>
      </c>
      <c r="F121" s="35">
        <f aca="true" t="shared" si="34" ref="F121:G130">C121</f>
        <v>46080</v>
      </c>
      <c r="G121" s="18">
        <f t="shared" si="34"/>
        <v>0</v>
      </c>
      <c r="H121" s="44">
        <f t="shared" si="22"/>
        <v>46080</v>
      </c>
      <c r="I121" s="48"/>
      <c r="J121" s="19">
        <f>G121*102.8%</f>
        <v>0</v>
      </c>
      <c r="K121" s="49">
        <f t="shared" si="30"/>
        <v>0</v>
      </c>
      <c r="L121" s="45">
        <f t="shared" si="31"/>
        <v>0</v>
      </c>
    </row>
    <row r="122" spans="1:12" s="2" customFormat="1" ht="14.25" customHeight="1">
      <c r="A122" s="25"/>
      <c r="B122" s="250" t="s">
        <v>98</v>
      </c>
      <c r="C122" s="220">
        <v>27450</v>
      </c>
      <c r="D122" s="17"/>
      <c r="E122" s="40">
        <f t="shared" si="32"/>
        <v>27450</v>
      </c>
      <c r="F122" s="35">
        <f t="shared" si="34"/>
        <v>27450</v>
      </c>
      <c r="G122" s="18">
        <f t="shared" si="34"/>
        <v>0</v>
      </c>
      <c r="H122" s="44">
        <f t="shared" si="22"/>
        <v>27450</v>
      </c>
      <c r="I122" s="48">
        <v>0</v>
      </c>
      <c r="J122" s="19">
        <f>G122*102.8%</f>
        <v>0</v>
      </c>
      <c r="K122" s="49">
        <f t="shared" si="30"/>
        <v>0</v>
      </c>
      <c r="L122" s="45">
        <f t="shared" si="31"/>
        <v>0</v>
      </c>
    </row>
    <row r="123" spans="1:12" ht="14.25" customHeight="1">
      <c r="A123" s="25"/>
      <c r="B123" s="250" t="s">
        <v>99</v>
      </c>
      <c r="C123" s="220">
        <f>SUM(C124:C130)</f>
        <v>957794</v>
      </c>
      <c r="D123" s="17">
        <f>SUM(D124:D130)</f>
        <v>4507140</v>
      </c>
      <c r="E123" s="39">
        <f t="shared" si="32"/>
        <v>5464934</v>
      </c>
      <c r="F123" s="35">
        <f t="shared" si="34"/>
        <v>957794</v>
      </c>
      <c r="G123" s="18">
        <f t="shared" si="34"/>
        <v>4507140</v>
      </c>
      <c r="H123" s="43">
        <f t="shared" si="22"/>
        <v>5464934</v>
      </c>
      <c r="I123" s="48">
        <f>SUM(I124:I130)</f>
        <v>1387710</v>
      </c>
      <c r="J123" s="19">
        <f>SUM(J124:J130)</f>
        <v>1397760</v>
      </c>
      <c r="K123" s="49">
        <f t="shared" si="30"/>
        <v>2785470</v>
      </c>
      <c r="L123" s="45">
        <f aca="true" t="shared" si="35" ref="L123:L130">K123/H123</f>
        <v>0.51</v>
      </c>
    </row>
    <row r="124" spans="1:12" s="5" customFormat="1" ht="13.5" customHeight="1">
      <c r="A124" s="16"/>
      <c r="B124" s="266" t="s">
        <v>100</v>
      </c>
      <c r="C124" s="220">
        <v>55800</v>
      </c>
      <c r="D124" s="17"/>
      <c r="E124" s="40">
        <f t="shared" si="32"/>
        <v>55800</v>
      </c>
      <c r="F124" s="35">
        <f t="shared" si="34"/>
        <v>55800</v>
      </c>
      <c r="G124" s="18">
        <f t="shared" si="34"/>
        <v>0</v>
      </c>
      <c r="H124" s="44">
        <f t="shared" si="22"/>
        <v>55800</v>
      </c>
      <c r="I124" s="50"/>
      <c r="J124" s="22">
        <f>G124*102.8%</f>
        <v>0</v>
      </c>
      <c r="K124" s="49">
        <f t="shared" si="30"/>
        <v>0</v>
      </c>
      <c r="L124" s="45">
        <f t="shared" si="35"/>
        <v>0</v>
      </c>
    </row>
    <row r="125" spans="1:12" s="5" customFormat="1" ht="13.5" customHeight="1">
      <c r="A125" s="16"/>
      <c r="B125" s="266" t="s">
        <v>134</v>
      </c>
      <c r="C125" s="220">
        <v>60000</v>
      </c>
      <c r="D125" s="17"/>
      <c r="E125" s="40">
        <f t="shared" si="32"/>
        <v>60000</v>
      </c>
      <c r="F125" s="35">
        <f t="shared" si="34"/>
        <v>60000</v>
      </c>
      <c r="G125" s="18"/>
      <c r="H125" s="44">
        <f t="shared" si="22"/>
        <v>60000</v>
      </c>
      <c r="I125" s="50"/>
      <c r="J125" s="22"/>
      <c r="K125" s="49">
        <f t="shared" si="30"/>
        <v>0</v>
      </c>
      <c r="L125" s="45"/>
    </row>
    <row r="126" spans="1:12" s="11" customFormat="1" ht="13.5" customHeight="1">
      <c r="A126" s="28"/>
      <c r="B126" s="267" t="s">
        <v>101</v>
      </c>
      <c r="C126" s="221"/>
      <c r="D126" s="21">
        <v>1105920</v>
      </c>
      <c r="E126" s="40">
        <f t="shared" si="32"/>
        <v>1105920</v>
      </c>
      <c r="F126" s="35">
        <f t="shared" si="34"/>
        <v>0</v>
      </c>
      <c r="G126" s="18">
        <f t="shared" si="34"/>
        <v>1105920</v>
      </c>
      <c r="H126" s="44">
        <f t="shared" si="22"/>
        <v>1105920</v>
      </c>
      <c r="I126" s="50">
        <f>F126*102.8%</f>
        <v>0</v>
      </c>
      <c r="J126" s="22">
        <f>1280*12*72</f>
        <v>1105920</v>
      </c>
      <c r="K126" s="49">
        <f t="shared" si="30"/>
        <v>1105920</v>
      </c>
      <c r="L126" s="45">
        <f t="shared" si="35"/>
        <v>1</v>
      </c>
    </row>
    <row r="127" spans="1:12" s="11" customFormat="1" ht="13.5" customHeight="1">
      <c r="A127" s="28"/>
      <c r="B127" s="267" t="s">
        <v>102</v>
      </c>
      <c r="C127" s="221"/>
      <c r="D127" s="21">
        <f>318720</f>
        <v>318720</v>
      </c>
      <c r="E127" s="40">
        <f t="shared" si="32"/>
        <v>318720</v>
      </c>
      <c r="F127" s="35">
        <f t="shared" si="34"/>
        <v>0</v>
      </c>
      <c r="G127" s="18">
        <f t="shared" si="34"/>
        <v>318720</v>
      </c>
      <c r="H127" s="44">
        <f t="shared" si="22"/>
        <v>318720</v>
      </c>
      <c r="I127" s="50">
        <f>F127*102.8%</f>
        <v>0</v>
      </c>
      <c r="J127" s="22">
        <f>1280*12*19</f>
        <v>291840</v>
      </c>
      <c r="K127" s="49">
        <f t="shared" si="30"/>
        <v>291840</v>
      </c>
      <c r="L127" s="45">
        <f t="shared" si="35"/>
        <v>0.916</v>
      </c>
    </row>
    <row r="128" spans="1:12" s="11" customFormat="1" ht="13.5" customHeight="1">
      <c r="A128" s="28"/>
      <c r="B128" s="267" t="s">
        <v>104</v>
      </c>
      <c r="C128" s="221"/>
      <c r="D128" s="21">
        <v>3082500</v>
      </c>
      <c r="E128" s="40">
        <f t="shared" si="32"/>
        <v>3082500</v>
      </c>
      <c r="F128" s="35"/>
      <c r="G128" s="18">
        <v>3012000</v>
      </c>
      <c r="H128" s="44">
        <f t="shared" si="22"/>
        <v>3012000</v>
      </c>
      <c r="I128" s="50"/>
      <c r="J128" s="22"/>
      <c r="K128" s="49">
        <f t="shared" si="30"/>
        <v>0</v>
      </c>
      <c r="L128" s="45">
        <f t="shared" si="35"/>
        <v>0</v>
      </c>
    </row>
    <row r="129" spans="1:12" ht="13.5" customHeight="1">
      <c r="A129" s="25"/>
      <c r="B129" s="260" t="s">
        <v>116</v>
      </c>
      <c r="C129" s="221">
        <v>119814</v>
      </c>
      <c r="D129" s="21">
        <v>0</v>
      </c>
      <c r="E129" s="40">
        <f t="shared" si="32"/>
        <v>119814</v>
      </c>
      <c r="F129" s="35">
        <f t="shared" si="34"/>
        <v>119814</v>
      </c>
      <c r="G129" s="18">
        <f t="shared" si="34"/>
        <v>0</v>
      </c>
      <c r="H129" s="44">
        <f t="shared" si="22"/>
        <v>119814</v>
      </c>
      <c r="I129" s="50">
        <v>283500</v>
      </c>
      <c r="J129" s="22">
        <f>G129*102.8%</f>
        <v>0</v>
      </c>
      <c r="K129" s="49">
        <f t="shared" si="30"/>
        <v>283500</v>
      </c>
      <c r="L129" s="45">
        <f t="shared" si="35"/>
        <v>2.366</v>
      </c>
    </row>
    <row r="130" spans="1:12" ht="13.5" customHeight="1" thickBot="1">
      <c r="A130" s="25"/>
      <c r="B130" s="260" t="s">
        <v>117</v>
      </c>
      <c r="C130" s="221">
        <v>722180</v>
      </c>
      <c r="D130" s="21"/>
      <c r="E130" s="40">
        <f t="shared" si="32"/>
        <v>722180</v>
      </c>
      <c r="F130" s="35">
        <f t="shared" si="34"/>
        <v>722180</v>
      </c>
      <c r="G130" s="18">
        <f t="shared" si="34"/>
        <v>0</v>
      </c>
      <c r="H130" s="44">
        <f t="shared" si="22"/>
        <v>722180</v>
      </c>
      <c r="I130" s="50">
        <v>1104210</v>
      </c>
      <c r="J130" s="22"/>
      <c r="K130" s="49">
        <f t="shared" si="30"/>
        <v>1104210</v>
      </c>
      <c r="L130" s="45">
        <f t="shared" si="35"/>
        <v>1.529</v>
      </c>
    </row>
    <row r="131" spans="1:12" s="14" customFormat="1" ht="14.25" customHeight="1" hidden="1">
      <c r="A131" s="29" t="s">
        <v>114</v>
      </c>
      <c r="B131" s="268" t="s">
        <v>58</v>
      </c>
      <c r="C131" s="229">
        <f>SUM(C132)</f>
        <v>0</v>
      </c>
      <c r="D131" s="30">
        <f>SUM(D132)</f>
        <v>0</v>
      </c>
      <c r="E131" s="38">
        <f t="shared" si="32"/>
        <v>0</v>
      </c>
      <c r="F131" s="36">
        <f>SUM(F132)</f>
        <v>0</v>
      </c>
      <c r="G131" s="31">
        <f>SUM(G132)</f>
        <v>0</v>
      </c>
      <c r="H131" s="42">
        <f aca="true" t="shared" si="36" ref="H131:H137">SUM(F131:G131)</f>
        <v>0</v>
      </c>
      <c r="I131" s="53">
        <f>SUM(I132)</f>
        <v>0</v>
      </c>
      <c r="J131" s="32">
        <f>SUM(J132)</f>
        <v>0</v>
      </c>
      <c r="K131" s="52">
        <f aca="true" t="shared" si="37" ref="K131:K137">SUM(I131:J131)</f>
        <v>0</v>
      </c>
      <c r="L131" s="46" t="e">
        <f aca="true" t="shared" si="38" ref="L131:L137">K131/H131</f>
        <v>#DIV/0!</v>
      </c>
    </row>
    <row r="132" spans="1:12" ht="15.75" customHeight="1" hidden="1" thickBot="1">
      <c r="A132" s="95"/>
      <c r="B132" s="269" t="s">
        <v>59</v>
      </c>
      <c r="C132" s="224"/>
      <c r="D132" s="87"/>
      <c r="E132" s="88"/>
      <c r="F132" s="79"/>
      <c r="G132" s="80"/>
      <c r="H132" s="81"/>
      <c r="I132" s="89"/>
      <c r="J132" s="90"/>
      <c r="K132" s="91"/>
      <c r="L132" s="85"/>
    </row>
    <row r="133" spans="1:12" s="203" customFormat="1" ht="21.75" customHeight="1" thickBot="1">
      <c r="A133" s="275" t="s">
        <v>105</v>
      </c>
      <c r="B133" s="276"/>
      <c r="C133" s="230">
        <f>SUM(C134:C136)</f>
        <v>44935125</v>
      </c>
      <c r="D133" s="197">
        <f>SUM(D134:D136)</f>
        <v>0</v>
      </c>
      <c r="E133" s="161">
        <f t="shared" si="32"/>
        <v>44935125</v>
      </c>
      <c r="F133" s="198">
        <f>SUM(F134:F136)</f>
        <v>44935125</v>
      </c>
      <c r="G133" s="199">
        <f>SUM(G134:G136)</f>
        <v>0</v>
      </c>
      <c r="H133" s="164">
        <f t="shared" si="36"/>
        <v>44935125</v>
      </c>
      <c r="I133" s="200">
        <f>SUM(I134:I136)</f>
        <v>72980522</v>
      </c>
      <c r="J133" s="201">
        <f>SUM(J134:J136)</f>
        <v>0</v>
      </c>
      <c r="K133" s="202">
        <f t="shared" si="37"/>
        <v>72980522</v>
      </c>
      <c r="L133" s="165">
        <f t="shared" si="38"/>
        <v>1.624</v>
      </c>
    </row>
    <row r="134" spans="1:12" s="2" customFormat="1" ht="12.75" customHeight="1">
      <c r="A134" s="102"/>
      <c r="B134" s="253" t="s">
        <v>106</v>
      </c>
      <c r="C134" s="225">
        <v>4135125</v>
      </c>
      <c r="D134" s="103"/>
      <c r="E134" s="64">
        <f t="shared" si="32"/>
        <v>4135125</v>
      </c>
      <c r="F134" s="104">
        <f aca="true" t="shared" si="39" ref="F134:G136">C134</f>
        <v>4135125</v>
      </c>
      <c r="G134" s="105">
        <f t="shared" si="39"/>
        <v>0</v>
      </c>
      <c r="H134" s="65">
        <f t="shared" si="36"/>
        <v>4135125</v>
      </c>
      <c r="I134" s="106">
        <f>200000+500000+700000+1580522</f>
        <v>2980522</v>
      </c>
      <c r="J134" s="107"/>
      <c r="K134" s="66">
        <f t="shared" si="37"/>
        <v>2980522</v>
      </c>
      <c r="L134" s="76">
        <f t="shared" si="38"/>
        <v>0.721</v>
      </c>
    </row>
    <row r="135" spans="1:12" s="2" customFormat="1" ht="12.75" customHeight="1">
      <c r="A135" s="33"/>
      <c r="B135" s="246" t="s">
        <v>107</v>
      </c>
      <c r="C135" s="226">
        <v>800000</v>
      </c>
      <c r="D135" s="26"/>
      <c r="E135" s="39">
        <f t="shared" si="32"/>
        <v>800000</v>
      </c>
      <c r="F135" s="37">
        <f t="shared" si="39"/>
        <v>800000</v>
      </c>
      <c r="G135" s="34">
        <f t="shared" si="39"/>
        <v>0</v>
      </c>
      <c r="H135" s="43">
        <f t="shared" si="36"/>
        <v>800000</v>
      </c>
      <c r="I135" s="54"/>
      <c r="J135" s="27"/>
      <c r="K135" s="47">
        <f t="shared" si="37"/>
        <v>0</v>
      </c>
      <c r="L135" s="45">
        <f t="shared" si="38"/>
        <v>0</v>
      </c>
    </row>
    <row r="136" spans="1:12" s="2" customFormat="1" ht="12.75" customHeight="1" thickBot="1">
      <c r="A136" s="108"/>
      <c r="B136" s="254" t="s">
        <v>108</v>
      </c>
      <c r="C136" s="231">
        <v>40000000</v>
      </c>
      <c r="D136" s="109"/>
      <c r="E136" s="110">
        <f t="shared" si="32"/>
        <v>40000000</v>
      </c>
      <c r="F136" s="111">
        <f t="shared" si="39"/>
        <v>40000000</v>
      </c>
      <c r="G136" s="112">
        <f t="shared" si="39"/>
        <v>0</v>
      </c>
      <c r="H136" s="113">
        <f t="shared" si="36"/>
        <v>40000000</v>
      </c>
      <c r="I136" s="114">
        <v>70000000</v>
      </c>
      <c r="J136" s="115"/>
      <c r="K136" s="116">
        <f t="shared" si="37"/>
        <v>70000000</v>
      </c>
      <c r="L136" s="85">
        <f t="shared" si="38"/>
        <v>1.75</v>
      </c>
    </row>
    <row r="137" spans="1:12" s="210" customFormat="1" ht="22.5" customHeight="1" thickBot="1">
      <c r="A137" s="204"/>
      <c r="B137" s="270" t="s">
        <v>109</v>
      </c>
      <c r="C137" s="232">
        <f>SUM(C133,C6)</f>
        <v>439679051</v>
      </c>
      <c r="D137" s="205">
        <f>SUM(D133,D6)</f>
        <v>119921176</v>
      </c>
      <c r="E137" s="211">
        <f t="shared" si="32"/>
        <v>559600227</v>
      </c>
      <c r="F137" s="206">
        <f>SUM(F133,F6)</f>
        <v>440179051</v>
      </c>
      <c r="G137" s="207">
        <f>SUM(G133,G6)</f>
        <v>119921176</v>
      </c>
      <c r="H137" s="164">
        <f t="shared" si="36"/>
        <v>560100227</v>
      </c>
      <c r="I137" s="208">
        <f>SUM(I133,I6)</f>
        <v>563304233</v>
      </c>
      <c r="J137" s="209">
        <f>SUM(J133,J6)</f>
        <v>135640877</v>
      </c>
      <c r="K137" s="212">
        <f t="shared" si="37"/>
        <v>698945110</v>
      </c>
      <c r="L137" s="213">
        <f t="shared" si="38"/>
        <v>1.248</v>
      </c>
    </row>
  </sheetData>
  <mergeCells count="12">
    <mergeCell ref="A1:L1"/>
    <mergeCell ref="F2:H3"/>
    <mergeCell ref="C2:E3"/>
    <mergeCell ref="I2:K3"/>
    <mergeCell ref="L2:L4"/>
    <mergeCell ref="B2:B4"/>
    <mergeCell ref="A2:A4"/>
    <mergeCell ref="A6:B6"/>
    <mergeCell ref="A7:B7"/>
    <mergeCell ref="A133:B133"/>
    <mergeCell ref="A81:B81"/>
    <mergeCell ref="A86:B86"/>
  </mergeCells>
  <printOptions/>
  <pageMargins left="0.71" right="0.2362204724409449" top="0.69" bottom="0.4330708661417323" header="0.25" footer="0.27559055118110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abr</cp:lastModifiedBy>
  <cp:lastPrinted>2005-01-11T08:23:04Z</cp:lastPrinted>
  <dcterms:created xsi:type="dcterms:W3CDTF">2004-07-08T06:30:18Z</dcterms:created>
  <dcterms:modified xsi:type="dcterms:W3CDTF">2005-01-19T08:02:53Z</dcterms:modified>
  <cp:category/>
  <cp:version/>
  <cp:contentType/>
  <cp:contentStatus/>
</cp:coreProperties>
</file>