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00" activeTab="0"/>
  </bookViews>
  <sheets>
    <sheet name="2004" sheetId="1" r:id="rId1"/>
  </sheets>
  <definedNames>
    <definedName name="_xlnm.Print_Titles" localSheetId="0">'2004'!$2:$3</definedName>
  </definedNames>
  <calcPr fullCalcOnLoad="1"/>
</workbook>
</file>

<file path=xl/sharedStrings.xml><?xml version="1.0" encoding="utf-8"?>
<sst xmlns="http://schemas.openxmlformats.org/spreadsheetml/2006/main" count="617" uniqueCount="343">
  <si>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</si>
  <si>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</si>
  <si>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</si>
  <si>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</si>
  <si>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</si>
  <si>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</si>
  <si>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</si>
  <si>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</si>
  <si>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010 ROLNICTWO I ŁOWIECTWO</t>
  </si>
  <si>
    <t>01021 Inspekcja weterynaryjna</t>
  </si>
  <si>
    <t>01021 Inspekcja weterynaryjna - Suma</t>
  </si>
  <si>
    <t>010 ROLNICTWO I ŁOWIECTWO - Suma</t>
  </si>
  <si>
    <t>020 LEŚNICTWO</t>
  </si>
  <si>
    <t>02002 Nadzór nad gospodarką leśną</t>
  </si>
  <si>
    <t>02002 Nadzór nad gospodarką leśną - Suma</t>
  </si>
  <si>
    <t>020 LEŚNICTWO - Suma</t>
  </si>
  <si>
    <t>630 TURYSTYKA</t>
  </si>
  <si>
    <t>63003 Zadania w zakresie upowszechniania turystyki</t>
  </si>
  <si>
    <t>63003 Zadania w zakresie upowszechniania turystyki - Suma</t>
  </si>
  <si>
    <t>63095 Pozostała działalność</t>
  </si>
  <si>
    <t>63095 Pozostała działalność - Suma</t>
  </si>
  <si>
    <t>630 TURYSTYKA - Suma</t>
  </si>
  <si>
    <t>700 GOSPODARKA MIESZKANIOWA</t>
  </si>
  <si>
    <t>70005 Gospodarka gruntami i nieruchomościami</t>
  </si>
  <si>
    <t>70005 Gospodarka gruntami i nieruchomościami - Suma</t>
  </si>
  <si>
    <t>70095 Pozostała działalność</t>
  </si>
  <si>
    <t>70095 Pozostała działalność - Suma</t>
  </si>
  <si>
    <t>700 GOSPODARKA MIESZKANIOWA - Suma</t>
  </si>
  <si>
    <t>710 DZIAŁALNOŚĆ USŁUGOWA</t>
  </si>
  <si>
    <t>71013 Prace geodezyjne i kartograficzne (nieinwestycyjne)</t>
  </si>
  <si>
    <t>71013 Prace geodezyjne i kartograficzne (nieinwestycyjne) - Suma</t>
  </si>
  <si>
    <t>71014 Opracowania geodezyjne i kartograficzne</t>
  </si>
  <si>
    <t>71014 Opracowania geodezyjne i kartograficzne - Suma</t>
  </si>
  <si>
    <t>71015 Nadzór budowlany</t>
  </si>
  <si>
    <t>71015 Nadzór budowlany - Suma</t>
  </si>
  <si>
    <t>71095 Pozostała działalność</t>
  </si>
  <si>
    <t>71095 Pozostała działalność - Suma</t>
  </si>
  <si>
    <t>710 DZIAŁALNOŚĆ USŁUGOWA - Suma</t>
  </si>
  <si>
    <t>750 ADMINISTRACJA PUBLICZNA</t>
  </si>
  <si>
    <t>75011 Urzędy wojewódzkie</t>
  </si>
  <si>
    <t>75011 Urzędy wojewódzkie - Suma</t>
  </si>
  <si>
    <t>75023 Urzędy gmin (miast i miast na prawach powiatu)</t>
  </si>
  <si>
    <t>75023 Urzędy gmin (miast i miast na prawach powiatu) - Suma</t>
  </si>
  <si>
    <t>75045 Komisje poborowe</t>
  </si>
  <si>
    <t>75045 Komisje poborowe - Suma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</si>
  <si>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</si>
  <si>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</si>
  <si>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</si>
  <si>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</si>
  <si>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Suma</t>
  </si>
  <si>
    <t>751 URZĘDY NACZELNYCH ORGANÓW WŁADZY PAŃSTWOWEJ, KONTROLI I OCHRONY PRAWA ORAZ SĄDOWNICTWA - Suma</t>
  </si>
  <si>
    <t>754 BEZPIECZEŃSTWO PUBLICZNE I OCHRONA PRZECIWPOŻAROWA</t>
  </si>
  <si>
    <t>75405 Komendy powiatowe Policji</t>
  </si>
  <si>
    <t>75405 Komendy powiatowe Policji - Suma</t>
  </si>
  <si>
    <t>75411 Komendy powiatowe Państwowej Straży Pożarnej</t>
  </si>
  <si>
    <t>75411 Komendy powiatowe Państwowej Straży Pożarnej - Suma</t>
  </si>
  <si>
    <t>754 BEZPIECZEŃSTWO PUBLICZNE I OCHRONA PRZECIWPOŻAROWA - Suma</t>
  </si>
  <si>
    <t>75601 Wpływy z podatku dochodowego od osób fizycznych</t>
  </si>
  <si>
    <t>75601 Wpływy z podatku dochodowego od osób fizycznych - Suma</t>
  </si>
  <si>
    <t>75621 Udziały gmin w podatkach stanowiących dochód budżetu państwa</t>
  </si>
  <si>
    <t>75621 Udziały gmin w podatkach stanowiących dochód budżetu państwa - Suma</t>
  </si>
  <si>
    <t>75622 Udziały powiatów w podatkach stanowiących dochód budżetu państwa</t>
  </si>
  <si>
    <t>75622 Udziały powiatów w podatkach stanowiących dochód budżetu państwa - Suma</t>
  </si>
  <si>
    <t>756 DOCHODY OD OSÓB PRAWNYCH, OD OSÓB FIZYCZNYCH I OD INNYCH JEDNOSTEK NIE POSIADAJĄCYCH OSOBOWOŚCI PRAWNEJ - Suma</t>
  </si>
  <si>
    <t>758 RÓŻNE ROZLICZENIA</t>
  </si>
  <si>
    <t>75801 Część oświatowa subwencji ogólnej dla jednostek samorządu terytorialnego</t>
  </si>
  <si>
    <t>75801 Część oświatowa subwencji ogólnej dla jednostek samorządu terytorialnego - Suma</t>
  </si>
  <si>
    <t>75802 Część podstawowa subwencji ogólnej dla gmin</t>
  </si>
  <si>
    <t>75802 Część podstawowa subwencji ogólnej dla gmin - Suma</t>
  </si>
  <si>
    <t>75803 Część wyrównawcza subwencji ogólnej dla powiatów</t>
  </si>
  <si>
    <t>75803 Część wyrównawcza subwencji ogólnej dla powiatów - Suma</t>
  </si>
  <si>
    <t>75805 Część rekompensujaca subwencji ogólnej dla gmin</t>
  </si>
  <si>
    <t>75805 Część rekompensujaca subwencji ogólnej dla gmin - Suma</t>
  </si>
  <si>
    <t>75806 Część drogowa subwencji ogólnej dla powiatów i województw</t>
  </si>
  <si>
    <t>75806 Część drogowa subwencji ogólnej dla powiatów i województw - Suma</t>
  </si>
  <si>
    <t>75814 Różne rozliczenia finansowe</t>
  </si>
  <si>
    <t>75814 Różne rozliczenia finansowe - Suma</t>
  </si>
  <si>
    <t>758 RÓŻNE ROZLICZENIA - Suma</t>
  </si>
  <si>
    <t>801 OŚWIATA I WYCHOWANIE</t>
  </si>
  <si>
    <t>80101 Szkoły podstawowe</t>
  </si>
  <si>
    <t>80101 Szkoły podstawowe - Suma</t>
  </si>
  <si>
    <t>80102 Szkoły podstawowe specjalne</t>
  </si>
  <si>
    <t>80102 Szkoły podstawowe specjalne - Suma</t>
  </si>
  <si>
    <t>80110 Gimnazja</t>
  </si>
  <si>
    <t>80110 Gimnazja - Suma</t>
  </si>
  <si>
    <t>80120 Licea ogólnokształcące</t>
  </si>
  <si>
    <t>80120 Licea ogólnokształcące - Suma</t>
  </si>
  <si>
    <t>80130 Szkoły zasadnicze</t>
  </si>
  <si>
    <t>80130 Szkoły zasadnicze - Suma</t>
  </si>
  <si>
    <t>80132 Szkoły artystyczne</t>
  </si>
  <si>
    <t>80132 Szkoły artystyczne - Suma</t>
  </si>
  <si>
    <t>80133 Szkoły pomaturalne i policealne</t>
  </si>
  <si>
    <t>80133 Szkoły pomaturalne i policealne - Suma</t>
  </si>
  <si>
    <t>80140 Centra kształcenia ustawicznego i praktycznego oraz ośrodki dokształcania zawodowego</t>
  </si>
  <si>
    <t>80140 Centra kształcenia ustawicznego i praktycznego oraz ośrodki dokształcania zawodowego - Suma</t>
  </si>
  <si>
    <t>801 OŚWIATA I WYCHOWANIE - Suma</t>
  </si>
  <si>
    <t>851 OCHRONA ZDROWIA</t>
  </si>
  <si>
    <t>85153 Zwalczanie narkomanii</t>
  </si>
  <si>
    <t>85153 Zwalczanie narkomanii - Suma</t>
  </si>
  <si>
    <t>85156 Składki na ubezpieczenia zdrowotne oraz świadczenia dla osób nie objetych obowiązkiem ubezpieczenia zdrowotnego</t>
  </si>
  <si>
    <t>85156 Składki na ubezpieczenia zdrowotne oraz świadczenia dla osób nie objetych obowiązkiem ubezpieczenia zdrowotnego - Suma</t>
  </si>
  <si>
    <t>851 OCHRONA ZDROWIA - Suma</t>
  </si>
  <si>
    <t>85305 Żłobki</t>
  </si>
  <si>
    <t>85305 Żłobki - Suma</t>
  </si>
  <si>
    <t>85321 Zespoły do spraw orzekania o stopniu niepełnosprawności</t>
  </si>
  <si>
    <t>85321 Zespoły do spraw orzekania o stopniu niepełnosprawności - Suma</t>
  </si>
  <si>
    <t>85333 Powiatowe urzędy pracy</t>
  </si>
  <si>
    <t>85333 Powiatowe urzędy pracy - Suma</t>
  </si>
  <si>
    <t>85395 Pozostała działalność</t>
  </si>
  <si>
    <t>85395 Pozostała działalność - Suma</t>
  </si>
  <si>
    <t>854 EDUKACYJNA OPIEKA WYCHOWAWCZA</t>
  </si>
  <si>
    <t>85403 Specjalne ośrodki szkolno - wychowawcze</t>
  </si>
  <si>
    <t>85403 Specjalne ośrodki szkolno - wychowawcze - Suma</t>
  </si>
  <si>
    <t>85407 Placówki wychowania pozaszkolnego</t>
  </si>
  <si>
    <t>85407 Placówki wychowania pozaszkolnego - Suma</t>
  </si>
  <si>
    <t>85410 Internaty i bursy szkolne</t>
  </si>
  <si>
    <t>85410 Internaty i bursy szkolne - Suma</t>
  </si>
  <si>
    <t>854 EDUKACYJNA OPIEKA WYCHOWAWCZA - Suma</t>
  </si>
  <si>
    <t>900 GOSPODARKA KOMUNALNA I OCHRONA ŚRODOWISKA</t>
  </si>
  <si>
    <t>90001 Gospodarka ściekowa i ochrona wód</t>
  </si>
  <si>
    <t>90001 Gospodarka ściekowa i ochrona wód - Suma</t>
  </si>
  <si>
    <t>90015 Oświetlenie ulic, placów i dróg</t>
  </si>
  <si>
    <t>90015 Oświetlenie ulic, placów i dróg - Suma</t>
  </si>
  <si>
    <t>90095 Pozostała działalność</t>
  </si>
  <si>
    <t>90095 Pozostała działalność - Suma</t>
  </si>
  <si>
    <t>900 GOSPODARKA KOMUNALNA I OCHRONA ŚRODOWISKA - Suma</t>
  </si>
  <si>
    <t>% wyk</t>
  </si>
  <si>
    <t>85406 Poradnie psychologiczno - pedagogiczne oraz inne poradnie specjalistyczne</t>
  </si>
  <si>
    <t>85406 Poradnie psychologiczno - pedagogiczne oraz inne poradnie specjalistyczne - Suma</t>
  </si>
  <si>
    <t>85417 Szkolne schroniska młodzieżowe</t>
  </si>
  <si>
    <t>85417 Szkolne schroniska młodzieżowe - Suma</t>
  </si>
  <si>
    <t>75416 Straż Miejska</t>
  </si>
  <si>
    <t>75416 Straż Miejska - Suma</t>
  </si>
  <si>
    <t>75815 Wpływy do wyjaśnienia</t>
  </si>
  <si>
    <t>75815 Wpływy do wyjaśnienia - Suma</t>
  </si>
  <si>
    <t>85149 Programy polityki zdrowotnej</t>
  </si>
  <si>
    <t>85149 Programy polityki zdrowotnej - Suma</t>
  </si>
  <si>
    <t>85154 Przeciwdziałanie alkoholizmowi</t>
  </si>
  <si>
    <t>85154 Przeciwdziałanie alkoholizmowi - Suma</t>
  </si>
  <si>
    <t>85158 Izby Wytrzeźwień</t>
  </si>
  <si>
    <t>85158 Izby Wytrzeźwień - Suma</t>
  </si>
  <si>
    <t>85195 Pozostała działalność</t>
  </si>
  <si>
    <t>85195 Pozostała działalność - Suma</t>
  </si>
  <si>
    <t>90004 Utrzymanie zieleni w miastach i gminach</t>
  </si>
  <si>
    <t>90004 Utrzymanie zieleni w miastach i gminach - Suma</t>
  </si>
  <si>
    <t>921 KULTURA I OCHRONA DZIEDZICTWA NARODOWEGO</t>
  </si>
  <si>
    <t>921 KULTURA I OCHRONA DZIEDZICTWA NARODOWEGO - Suma</t>
  </si>
  <si>
    <t>926 KULTURA FIZYCZNA I SPORT</t>
  </si>
  <si>
    <t>926 KULTURA FIZYCZNA I SPORT - Suma</t>
  </si>
  <si>
    <t>92195 Pozostała działalność</t>
  </si>
  <si>
    <t>92195 Pozostała działalność - Suma</t>
  </si>
  <si>
    <t>92605 Zadania w zakresie kultury fizycznej i sportu</t>
  </si>
  <si>
    <t>92605 Zadania w zakresie kultury fizycznej i sportu - Suma</t>
  </si>
  <si>
    <t>80195 Pozostała działalność</t>
  </si>
  <si>
    <t>80195 Pozostała działalność - Suma</t>
  </si>
  <si>
    <t>75056 Spis powszechny i inne</t>
  </si>
  <si>
    <t>85141 Ratownictwo medyczne</t>
  </si>
  <si>
    <t>85141 Ratownictwo medyczne - Suma</t>
  </si>
  <si>
    <t>85415 Pomoc materialna dla uczniów</t>
  </si>
  <si>
    <t>85415 Pomoc materialna dla uczniów - Suma</t>
  </si>
  <si>
    <t>90017 Zakłady gospodarki komunalnej</t>
  </si>
  <si>
    <t>90017 Zakłady gospodarki komunalnej - Suma</t>
  </si>
  <si>
    <t>92695 Pozostała działalność</t>
  </si>
  <si>
    <t>92695 Pozostała działalność - Suma</t>
  </si>
  <si>
    <t>75108 Wybory do Sejmu i Senatu</t>
  </si>
  <si>
    <t>75108 Wybory do Sejmu i Senatu - Suma</t>
  </si>
  <si>
    <t>70001 Zakłady gospodarki mieszkaniowej</t>
  </si>
  <si>
    <t>70001 Zakłady gospodarki mieszkaniowej - Suma</t>
  </si>
  <si>
    <t>71035 Cmentarze</t>
  </si>
  <si>
    <t>75056 Spis powszechny i inne - Suma</t>
  </si>
  <si>
    <t>85121 Lecznictwo ambulatoryjne</t>
  </si>
  <si>
    <t>85121 Lecznictwo ambulatoryjne - Suma</t>
  </si>
  <si>
    <t>85495 Pozostała działalność</t>
  </si>
  <si>
    <t>85495 Pozostała działalność - Suma</t>
  </si>
  <si>
    <t>71035 Cmentarze - Suma</t>
  </si>
  <si>
    <t>Wyszczególnienie</t>
  </si>
  <si>
    <t>% wyk.</t>
  </si>
  <si>
    <t xml:space="preserve">Przychody, w tym: </t>
  </si>
  <si>
    <t>wolne środki</t>
  </si>
  <si>
    <t>Razem dochody i przychody</t>
  </si>
  <si>
    <t xml:space="preserve">wykonanie </t>
  </si>
  <si>
    <t>600 TRANSPORT I ŁĄCZNOŚĆ</t>
  </si>
  <si>
    <t>600 TRANSPORT I ŁĄCZNOŚĆ - Suma</t>
  </si>
  <si>
    <t>60015 Drogi publiczne w miastach na prawach powiatu - Suma</t>
  </si>
  <si>
    <t>60095 Pozostała działalność</t>
  </si>
  <si>
    <t>60095 Pozostała działalność - Suma</t>
  </si>
  <si>
    <t xml:space="preserve">60015 Drogi publiczne w miastach na prawach powiatu </t>
  </si>
  <si>
    <t>92601 Obiekty sportowe</t>
  </si>
  <si>
    <t>80146 Dokształcanie i doskonalenie nauczycieli</t>
  </si>
  <si>
    <t>80146 Dokształcanie i doskonalenie nauczycieli - Suma</t>
  </si>
  <si>
    <t>90011 Fundusz Ochrony Środowiska i Gospodarki Wodnej</t>
  </si>
  <si>
    <t>90011 Fundusz Ochrony Środowiska i Gospodarki Wodnej - Suma</t>
  </si>
  <si>
    <t>80141 Zakłady kształcenia nauczycieli</t>
  </si>
  <si>
    <t>80141 Zakłady kształcenia nauczycieli - Suma</t>
  </si>
  <si>
    <t>80197 Gospodarstwa pomocnicze</t>
  </si>
  <si>
    <t>80197 Gospodarstwa pomocnicze - Suma</t>
  </si>
  <si>
    <t>85401 Świetlice szkolne</t>
  </si>
  <si>
    <t>85401 Świetlice szkolne - Suma</t>
  </si>
  <si>
    <t>75618 Wpływy z innych opłat stanowiących dochody j.s.t. na podstawie ustaw</t>
  </si>
  <si>
    <t>75618 Wpływy z innych opłat stanowiących dochody j.s.t. na podstawie ustaw - Suma</t>
  </si>
  <si>
    <t>85334 Pomoc dla repatriantów</t>
  </si>
  <si>
    <t>85334 Pomoc dla repatriantów - Suma</t>
  </si>
  <si>
    <t>75110 Referenda ogólnokrajowe i konstytucyjne</t>
  </si>
  <si>
    <t>75110 Referenda ogólnokrajowe i konstytucyjne - suma</t>
  </si>
  <si>
    <t>90003 Oczyszczanie miast i wsi</t>
  </si>
  <si>
    <t>90003 Oczyszczanie miast i wsi - Suma</t>
  </si>
  <si>
    <t>150 PRZETWÓRSTWO PRZEMYSŁOWE</t>
  </si>
  <si>
    <t>15011 Rozwój przedsiębiorczości</t>
  </si>
  <si>
    <t>15011 Rozwój przedsiębiorczości- Suma</t>
  </si>
  <si>
    <t>150 PRZETWÓRSTWO PRZEMYSŁOWE - Suma</t>
  </si>
  <si>
    <t>92601 Obiekty sportowe - Suma</t>
  </si>
  <si>
    <t xml:space="preserve">kredyt </t>
  </si>
  <si>
    <t>plan na 2004 rok</t>
  </si>
  <si>
    <t>Plan 2004r.</t>
  </si>
  <si>
    <t>2110 dotacje celowe otrzymane z budżetu państwa na zadania bieżące z zakresu administracji rządowej oraz inne zadania zlecone ustawami realizowane przez powiat</t>
  </si>
  <si>
    <t>6430 dotacje celowe otrzymane z budżetu państwa na realizację inwestycji i zakupów inwestycyjnych własnych powiatu</t>
  </si>
  <si>
    <t>6630 dotacje celowe otrzymane z samorządu województwa na inwestycje i zakupy inwestycyjne realizowane na podstawie porozumień (umów) między j.s.t</t>
  </si>
  <si>
    <t>2700 środki na dofinansowanie własnych zadań bieżących gmin (związków gmin), powiatów (związków powiatów), samorządów województw, pozyskane z innych źródeł</t>
  </si>
  <si>
    <t>0690 wpływy z różnych opłat</t>
  </si>
  <si>
    <t>0920 pozostałe odsetki</t>
  </si>
  <si>
    <t>2130 dotacje celowe otrzymane z budżetu państwa na realizację bieżących zadań własnych powiatu</t>
  </si>
  <si>
    <t>0970 wpływy z różnych dochodów</t>
  </si>
  <si>
    <t>0840 wpływy ze sprzedaży wyrobów i składników majątkowych</t>
  </si>
  <si>
    <t>0750 dochody z najmu i dzierżawy składników majątkowych Skarbu Państwa lub jednostek samorządu terytorialnego oraz innych umów o podobnym charakterze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</si>
  <si>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</si>
  <si>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</si>
  <si>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0830 wpływy z usług</t>
  </si>
  <si>
    <t>2360 dochody j.s.t. związane z realizacją zadań z zakresu administracji rządowej oraz innych zadań zleconych ustawami</t>
  </si>
  <si>
    <t>0470 wpływy z opłat za zarząd, użytkowanie i użytkowanie wieczyste nieruchomości</t>
  </si>
  <si>
    <t>6290 środki na dofinansowanie własnych inwestycji gmin (związków gmin), powiatów (związków powiatów), samorządów województw, pozyskane z innych źródeł</t>
  </si>
  <si>
    <t>6410 dotacje celowe otrzymane z budżetu państwa na inwestycje i zakupy inwestycyjne z zakresu administracji rządowej oraz inne zlecone ustawami realizowane przez powiat</t>
  </si>
  <si>
    <t>2020 dotacje celowe otrzymane z budżetu państwa na zadania bieżące realizowane przez gminę na podstawie porozumień z organami administracji rządowej</t>
  </si>
  <si>
    <t>2010 dotacje celowe otrzymane z budżetu państwa na realizację zadań bieżących z zakresu administracji rządowej oraz innych zadań zleconych gminie (związkom gmin)</t>
  </si>
  <si>
    <t>0420 wpływy z opłaty komunikacyjnej</t>
  </si>
  <si>
    <t>0490 wpływyz innych lokalnych opłat pobieranych przez j.s.t. na podstawie odrębnych ustaw</t>
  </si>
  <si>
    <t>0590 wpływy z opłat za koncesje i licencje</t>
  </si>
  <si>
    <t>2320 dotacje celowe otrzymane z powiatu na zadania bieżące realizowane na podstawie porozumień (umów) między j.s.t.</t>
  </si>
  <si>
    <t>2440 dotacje otrzymane z funduszy celowych na realizację zadań bieżących jednostek sektora finansów publicznych</t>
  </si>
  <si>
    <t>0480 wpływy z opłat za zezwolenia na sprzedaż alkoholu</t>
  </si>
  <si>
    <t>0570 grzywny, mandaty i inne kary pieniężne od ludności</t>
  </si>
  <si>
    <t>0350 podatek od działalności gospodarczej osób fizycznych, opłacany w formie karty podatkowej</t>
  </si>
  <si>
    <t>0910 odsetki od nieterminowych wpłat z tytułu podatków i opłat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</si>
  <si>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</si>
  <si>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</si>
  <si>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</si>
  <si>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</si>
  <si>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</si>
  <si>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0560 zaległości z podatków zniesionych</t>
  </si>
  <si>
    <t>2980 wpływy do wyjaśnienia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</si>
  <si>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</si>
  <si>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</si>
  <si>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</si>
  <si>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</si>
  <si>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</si>
  <si>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0410 wpływy z opłaty skarbowej</t>
  </si>
  <si>
    <t>0890 odsetki za nieterminowe rozliczenia płacone przez urząd skarbowy</t>
  </si>
  <si>
    <t>0010 podatek dochodowy od osób fizycznych</t>
  </si>
  <si>
    <t>0020 podatek dochodowy od osób prawnych</t>
  </si>
  <si>
    <t>2920 subwencje ogólne z budżetu państwa</t>
  </si>
  <si>
    <t>0740 dywidendy i kwoty uzyskane ze zbycia praw majątkowych</t>
  </si>
  <si>
    <t>2030 dotacje celowe otrzymane z budżetu państwa na realizację własnych zadań bieżących gmin (związków gmin)</t>
  </si>
  <si>
    <t>2380 wpływy do budżetu części zysku gospodarstwa pomocniczego</t>
  </si>
  <si>
    <t>2310 dotacje celowe otrzymane z gminy lub z miasta stołecznego Warszawy na zadania bieżące realizowane na podstawie porozumień (umów) między j.s.t.</t>
  </si>
  <si>
    <t>2120 dotacje celowe otrzymane z budżetu państwa na zadania bieżące realizowane przez powiat na podstawie porozumień z organami administracji rządowej</t>
  </si>
  <si>
    <t>2900 wpływy z wpłat gmin i powiatów na rzecz innych j.s.t.  oraz związków gmin lub związków powiatów na dofinansowanie zadań bieżących</t>
  </si>
  <si>
    <t>0960 otrzymane spadki, zapisy i darowizny w postaci pieniężnej</t>
  </si>
  <si>
    <t>`</t>
  </si>
  <si>
    <t>2910 wpływy ze zwrotów dotacji wykorzystanych niezgodnie z przeznaczeniem lub pobranych w nadmiernej wysokości</t>
  </si>
  <si>
    <t>0920  pozostałe odsetki</t>
  </si>
  <si>
    <t>2380 wpływy do budżetu  części zysku gospodarstwa pomocniczego</t>
  </si>
  <si>
    <t>0960 otrzymane spadki, zapisy i darowizny w formie pieniężnej</t>
  </si>
  <si>
    <t>6260 dotacje otrzymane z funduszy celowych na finansowanie lub dofinansowanie kosztów realizacji inwestycji i zakupów inwestycyjnych jednostek sektora finansów publicznych</t>
  </si>
  <si>
    <t>6310 dotacje celowe otrzymane z budżetu państwa na inwestycje i zakupy inwestycyjne z zakresu administracji rządowej oraz innych zadań zleconych gminom ustawami</t>
  </si>
  <si>
    <t>2330 dotacje celowe otrzymane z samorządu województwa na zadania bieżące realizowane na podstawie porozumień (umów) między j.s.t.</t>
  </si>
  <si>
    <t>2701 środki na dofinansowanie własnych zadań bieżących gmin (związków gmin), powiatów (związków powiatów), samorządów województw, pozyskane z innych źródeł</t>
  </si>
  <si>
    <t>756 DOCHODY OD OSÓB PRAWNYCH, OD OSÓB FIZYCZNYCH I OD INNYCH JEDNOSTEK NIE POSIADAJĄCYCH OSOBOWOŚCI PRAWNEJ ORAZ WYDATKI ZWIĄZANE Z ICH POBOREM</t>
  </si>
  <si>
    <t>75615 Wpływy z podatku rolnego, podatku leśnego, podatku od czynności cywilnoprawnych, podatku od spadków i darowizn oraz podatków i opłat lokalnych</t>
  </si>
  <si>
    <t>75615 Wpływy z podatku rolnego, podatku leśnego, podatku od czynności cywilnoprawnych, podatku od spadków i darowizn oraz podatków i opłat lokalnych - Suma</t>
  </si>
  <si>
    <t>0750 dochody z najmu i dzierżawy składników majątkowych Skarbu Państwa, j.s.t. lub innych jednostek zaliczanych do sektora finansów publicznych oraz innych umów o podobnym charakterze</t>
  </si>
  <si>
    <t>852 POMOC SPOŁECZNA - Suma</t>
  </si>
  <si>
    <t>852 POMOC SPOŁECZNA</t>
  </si>
  <si>
    <t>85201 Placówki opiekuńczo - wychowawcze</t>
  </si>
  <si>
    <t>85201 Placówki opiekuńczo - wychowawcze - Suma</t>
  </si>
  <si>
    <t>85202 Domy pomocy społecznej</t>
  </si>
  <si>
    <t>85203 Ośrodki wsparcia</t>
  </si>
  <si>
    <t>85202 Domy pomocy społecznej - Suma</t>
  </si>
  <si>
    <t>85203 Ośrodki wsparcia - Suma</t>
  </si>
  <si>
    <t>85204 Rodziny zastępcze</t>
  </si>
  <si>
    <t>85204 Rodziny zastępcze - Suma</t>
  </si>
  <si>
    <t>85213 Składki na ubezpieczenia zdrowotne opłacane za osoby pobierające niektóre świadczenia z pomocy społecznej</t>
  </si>
  <si>
    <t>85213 Składki na ubezpieczenia zdrowotne opłacane za osoby pobierające niektóre świadczenia z pomocy społecznej - Suma</t>
  </si>
  <si>
    <t>85214 Zasiłki i pomoc w naturze oraz składki na ubezpieczenia społeczne i zdrowotne</t>
  </si>
  <si>
    <t>85214 Zasiłki i pomoc w naturze oraz składki na ubezpieczenia społeczne i zdrowotne - Suma</t>
  </si>
  <si>
    <t>85216 Zasiłki rodzinne, pielęgnacyjne i wychowawcze</t>
  </si>
  <si>
    <t>85216 Zasiłki rodzinne, pielęgnacyjne i wychowawcze - Suma</t>
  </si>
  <si>
    <t>85219 Ośrodki pomocy społecznej</t>
  </si>
  <si>
    <t>85219 Ośrodki pomocy społecznej - Suma</t>
  </si>
  <si>
    <t>85226 Ośrodki adopcyjno - opiekuńcze</t>
  </si>
  <si>
    <t>85226 Ośrodki adopcyjno - opiekuńcze - Suma</t>
  </si>
  <si>
    <t xml:space="preserve">85228 Usługi opiekuńcze i specjalistyczne usługi opiekuńcze </t>
  </si>
  <si>
    <t>85228 Usługi opiekuńcze i specjalistyczne usługi opiekuńcze  - Suma</t>
  </si>
  <si>
    <t>85295 Pozostała działalność</t>
  </si>
  <si>
    <t>85295 Pozostała działalność - Suma</t>
  </si>
  <si>
    <t>853 POZOSTAŁE ZADANIA W ZAKRESIE POLITYKI SPOŁECZNEJ</t>
  </si>
  <si>
    <t>853 POZOSTAŁE ZADANIA W ZAKRESIE POLITYKI SPOŁECZNEJ - Suma</t>
  </si>
  <si>
    <t>92106 Teatry dramatyczne i lalkowe</t>
  </si>
  <si>
    <t>92106 Teatry dramatyczne i lalkowe -Suma</t>
  </si>
  <si>
    <t>6291 środki na dofinansowanie własnych zadań gmin (związków gmin), powiatów (związków powiatów), samorządów województw, pozyskane z innych źródeł</t>
  </si>
  <si>
    <t>71004 plany zagospodarowania przestrzennego</t>
  </si>
  <si>
    <t>71004 plany zagospodarowania przestrzennego - Suma</t>
  </si>
  <si>
    <t>80104 Przedszkola - Suma</t>
  </si>
  <si>
    <t>80104 Przedszkola</t>
  </si>
  <si>
    <t>0580 grzywny i inne kary pieniężne od osób prawnych i innych jednostek organizacyjnych</t>
  </si>
  <si>
    <t>85215 Dodatki mieszkaniowe</t>
  </si>
  <si>
    <t>85446 Dokształcanie i doskonalenie nauczycieli</t>
  </si>
  <si>
    <t>85446 Dokształcanie i doskonalenie nauczycieli - Suma</t>
  </si>
  <si>
    <t>2370 wpływy do budżetu nadwyżki środków obrotowych zakładu budżetowego</t>
  </si>
  <si>
    <t>85215 Dodatki mieszkaniowe - Suma</t>
  </si>
  <si>
    <t>pożyczka z WFOŚ</t>
  </si>
  <si>
    <t>90013 Schroniska dla zwierząt</t>
  </si>
  <si>
    <t>90013 Schroniska dla zwierząt - Suma</t>
  </si>
  <si>
    <t>60004 Lokalny transport zbiorowy - Suma</t>
  </si>
  <si>
    <t>75113 wybory do Parlamentu Europejskiego</t>
  </si>
  <si>
    <t>75113 wybory do Parlamentu Europejskiego- Suma</t>
  </si>
  <si>
    <t>85212 świadczenia rodzinne oraz składki na ubezpieczenia emerytalne i rentowe z ubezpieczenia społecznego</t>
  </si>
  <si>
    <t>85212 świadczenia rodzinne oraz składki na ubezpieczenia emerytalne i rentowe z ubezpieczenia społecznego- Suma</t>
  </si>
  <si>
    <t xml:space="preserve">60004 Lokalny transport zbiorowy </t>
  </si>
  <si>
    <t xml:space="preserve">750095 Pozostała działalność- Suma  </t>
  </si>
  <si>
    <t>2780 środki na inwestycje rozpoczęte przed dniem 1 stycznia 1999r.</t>
  </si>
  <si>
    <t>85412 Kolonie i obozy oraz inne formy wypoczynku dzieci i młodzieży szkolnej, a także szkolenia młodzieży</t>
  </si>
  <si>
    <t>85412 Kolonie i obozy oraz inne formy wypoczynku dzieci i młodzieży szkolnej, a także szkolenia młodzieży- Suma</t>
  </si>
  <si>
    <t xml:space="preserve">092 pozostałe odsetki </t>
  </si>
  <si>
    <t xml:space="preserve">0920 pozostałe odsetki </t>
  </si>
  <si>
    <t>2707 środki na dofinansowanie własnych zadań bieżących gmin (związków gmin), powiatów (związków powiatów), samorządów województw, pozyskane z innych źródeł</t>
  </si>
  <si>
    <t>2760 środki na uzupełnienie dochodów powiatów</t>
  </si>
  <si>
    <t>2750 środki na uzupełnienie dochodów gmin</t>
  </si>
  <si>
    <t>92116 Biblioteki</t>
  </si>
  <si>
    <t>2139 dotacje celowe otrzymane z budżetu państwa na realizację bieżących zadań własnych powiatu</t>
  </si>
  <si>
    <t>2708 środki na dofinansowanie własnych zadań bieżących gmin (związków gmin), powiatów (związków powiatów), samorządów województw, pozyskane z innych źródeł</t>
  </si>
  <si>
    <t>92106 Biblioteki - Suma</t>
  </si>
  <si>
    <t>6090 dotacje celowe otrzymane ze środków specjalnych na finansowanie lub dofinansowanie zadań inwestycyjnych</t>
  </si>
  <si>
    <t>Informacja z wykonania dochodów budżetu miasta za okres I - XII 2004r.</t>
  </si>
  <si>
    <t>Wykonanie I - XII 2004r.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</si>
</sst>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</numFmts>
  <fonts count="9"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5" xfId="0" applyNumberFormat="1" applyFont="1" applyBorder="1" applyAlignment="1">
      <alignment vertical="center"/>
    </xf>
    <xf numFmtId="164" fontId="2" fillId="0" borderId="5" xfId="19" applyNumberFormat="1" applyFont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164" fontId="4" fillId="2" borderId="5" xfId="19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164" fontId="3" fillId="3" borderId="5" xfId="19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3" fillId="0" borderId="5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4" fillId="2" borderId="6" xfId="0" applyNumberFormat="1" applyFont="1" applyFill="1" applyBorder="1" applyAlignment="1">
      <alignment/>
    </xf>
    <xf numFmtId="164" fontId="2" fillId="2" borderId="5" xfId="19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3" fillId="3" borderId="22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/>
    </xf>
    <xf numFmtId="0" fontId="2" fillId="0" borderId="5" xfId="0" applyFont="1" applyBorder="1" applyAlignment="1" quotePrefix="1">
      <alignment vertical="top" wrapText="1"/>
    </xf>
    <xf numFmtId="0" fontId="4" fillId="2" borderId="19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" fillId="3" borderId="31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3" fontId="4" fillId="0" borderId="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2" borderId="32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0" fontId="2" fillId="0" borderId="7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top"/>
    </xf>
    <xf numFmtId="0" fontId="2" fillId="0" borderId="33" xfId="0" applyFont="1" applyBorder="1" applyAlignment="1">
      <alignment vertical="top" wrapText="1"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/>
    </xf>
    <xf numFmtId="0" fontId="3" fillId="0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/>
    </xf>
    <xf numFmtId="3" fontId="3" fillId="2" borderId="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" fillId="0" borderId="15" xfId="0" applyFont="1" applyFill="1" applyBorder="1" applyAlignment="1">
      <alignment vertical="top"/>
    </xf>
    <xf numFmtId="164" fontId="2" fillId="3" borderId="5" xfId="19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2" borderId="23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4" fillId="2" borderId="38" xfId="0" applyFont="1" applyFill="1" applyBorder="1" applyAlignment="1">
      <alignment vertical="top"/>
    </xf>
    <xf numFmtId="0" fontId="4" fillId="2" borderId="39" xfId="0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4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41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0"/>
  <sheetViews>
    <sheetView tabSelected="1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9" sqref="B19:B20"/>
    </sheetView>
  </sheetViews>
  <sheetFormatPr defaultColWidth="9.140625" defaultRowHeight="12"/>
  <cols>
    <col min="1" max="1" width="20.421875" style="83" customWidth="1"/>
    <col min="2" max="2" width="22.00390625" style="83" customWidth="1"/>
    <col min="3" max="3" width="34.421875" style="83" customWidth="1"/>
    <col min="4" max="5" width="10.7109375" style="18" customWidth="1"/>
    <col min="6" max="6" width="8.8515625" style="18" customWidth="1"/>
    <col min="7" max="7" width="8.28125" style="18" customWidth="1"/>
    <col min="8" max="9" width="9.7109375" style="18" customWidth="1"/>
    <col min="10" max="10" width="9.421875" style="18" customWidth="1"/>
    <col min="11" max="11" width="8.7109375" style="18" customWidth="1"/>
    <col min="12" max="12" width="8.8515625" style="18" customWidth="1"/>
    <col min="13" max="13" width="9.8515625" style="18" customWidth="1"/>
    <col min="14" max="14" width="6.00390625" style="18" customWidth="1"/>
    <col min="15" max="16384" width="9.28125" style="1" customWidth="1"/>
  </cols>
  <sheetData>
    <row r="1" spans="1:14" ht="35.25" customHeight="1">
      <c r="A1" s="137" t="s">
        <v>341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9.75">
      <c r="A2" s="45"/>
      <c r="B2" s="45"/>
      <c r="C2" s="50"/>
      <c r="D2" s="178" t="s">
        <v>213</v>
      </c>
      <c r="E2" s="179"/>
      <c r="F2" s="179"/>
      <c r="G2" s="179"/>
      <c r="H2" s="180"/>
      <c r="I2" s="139" t="s">
        <v>342</v>
      </c>
      <c r="J2" s="140"/>
      <c r="K2" s="140"/>
      <c r="L2" s="140"/>
      <c r="M2" s="141"/>
      <c r="N2" s="2"/>
    </row>
    <row r="3" spans="1:14" s="8" customFormat="1" ht="29.25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7" t="s">
        <v>126</v>
      </c>
    </row>
    <row r="4" spans="1:14" ht="39" hidden="1">
      <c r="A4" s="136" t="s">
        <v>8</v>
      </c>
      <c r="B4" s="149" t="s">
        <v>9</v>
      </c>
      <c r="C4" s="44" t="s">
        <v>214</v>
      </c>
      <c r="D4" s="9"/>
      <c r="E4" s="9"/>
      <c r="F4" s="9"/>
      <c r="G4" s="9"/>
      <c r="H4" s="9">
        <f aca="true" t="shared" si="0" ref="H4:H14">SUM(D4:G4)</f>
        <v>0</v>
      </c>
      <c r="I4" s="9"/>
      <c r="J4" s="9"/>
      <c r="K4" s="9"/>
      <c r="L4" s="9"/>
      <c r="M4" s="9">
        <f aca="true" t="shared" si="1" ref="M4:M20">SUM(I4:L4)</f>
        <v>0</v>
      </c>
      <c r="N4" s="10" t="e">
        <f>M4/H4</f>
        <v>#DIV/0!</v>
      </c>
    </row>
    <row r="5" spans="1:14" ht="9.75" hidden="1">
      <c r="A5" s="154"/>
      <c r="B5" s="146"/>
      <c r="C5" s="51" t="s">
        <v>219</v>
      </c>
      <c r="D5" s="9"/>
      <c r="E5" s="9"/>
      <c r="F5" s="9"/>
      <c r="G5" s="9"/>
      <c r="H5" s="9">
        <f t="shared" si="0"/>
        <v>0</v>
      </c>
      <c r="I5" s="9"/>
      <c r="J5" s="9"/>
      <c r="K5" s="9"/>
      <c r="L5" s="9"/>
      <c r="M5" s="9">
        <f t="shared" si="1"/>
        <v>0</v>
      </c>
      <c r="N5" s="10"/>
    </row>
    <row r="6" spans="1:14" ht="9.75" hidden="1">
      <c r="A6" s="156"/>
      <c r="B6" s="52" t="s">
        <v>10</v>
      </c>
      <c r="C6" s="53"/>
      <c r="D6" s="11">
        <f>SUM(D4:D5)</f>
        <v>0</v>
      </c>
      <c r="E6" s="11">
        <f>SUM(E4:E5)</f>
        <v>0</v>
      </c>
      <c r="F6" s="11">
        <f>SUM(F4:F5)</f>
        <v>0</v>
      </c>
      <c r="G6" s="11">
        <f>SUM(G4:G5)</f>
        <v>0</v>
      </c>
      <c r="H6" s="11">
        <f t="shared" si="0"/>
        <v>0</v>
      </c>
      <c r="I6" s="11">
        <f>SUM(I4:I5)</f>
        <v>0</v>
      </c>
      <c r="J6" s="11">
        <f>SUM(J4:J5)</f>
        <v>0</v>
      </c>
      <c r="K6" s="11">
        <f>SUM(K4:K5)</f>
        <v>0</v>
      </c>
      <c r="L6" s="11">
        <f>SUM(L4:L5)</f>
        <v>0</v>
      </c>
      <c r="M6" s="11">
        <f t="shared" si="1"/>
        <v>0</v>
      </c>
      <c r="N6" s="12" t="e">
        <f aca="true" t="shared" si="2" ref="N6:N17">M6/H6</f>
        <v>#DIV/0!</v>
      </c>
    </row>
    <row r="7" spans="1:14" ht="9.75" hidden="1">
      <c r="A7" s="54" t="s">
        <v>11</v>
      </c>
      <c r="B7" s="55"/>
      <c r="C7" s="55"/>
      <c r="D7" s="13">
        <f>SUM(D6)</f>
        <v>0</v>
      </c>
      <c r="E7" s="13">
        <f>SUM(E6)</f>
        <v>0</v>
      </c>
      <c r="F7" s="13">
        <f>SUM(F6)</f>
        <v>0</v>
      </c>
      <c r="G7" s="13">
        <f>SUM(G6)</f>
        <v>0</v>
      </c>
      <c r="H7" s="13">
        <f t="shared" si="0"/>
        <v>0</v>
      </c>
      <c r="I7" s="13">
        <f>SUM(I6)</f>
        <v>0</v>
      </c>
      <c r="J7" s="13">
        <f>SUM(J6)</f>
        <v>0</v>
      </c>
      <c r="K7" s="13">
        <f>SUM(K6)</f>
        <v>0</v>
      </c>
      <c r="L7" s="13">
        <f>SUM(L6)</f>
        <v>0</v>
      </c>
      <c r="M7" s="13">
        <f t="shared" si="1"/>
        <v>0</v>
      </c>
      <c r="N7" s="14" t="e">
        <f t="shared" si="2"/>
        <v>#DIV/0!</v>
      </c>
    </row>
    <row r="8" spans="1:14" ht="29.25" hidden="1">
      <c r="A8" s="46" t="s">
        <v>12</v>
      </c>
      <c r="B8" s="20" t="s">
        <v>13</v>
      </c>
      <c r="C8" s="51" t="s">
        <v>220</v>
      </c>
      <c r="D8" s="9"/>
      <c r="E8" s="9"/>
      <c r="F8" s="9"/>
      <c r="G8" s="9"/>
      <c r="H8" s="9">
        <f t="shared" si="0"/>
        <v>0</v>
      </c>
      <c r="I8" s="9"/>
      <c r="J8" s="9"/>
      <c r="K8" s="9"/>
      <c r="L8" s="9"/>
      <c r="M8" s="9">
        <f t="shared" si="1"/>
        <v>0</v>
      </c>
      <c r="N8" s="10" t="e">
        <f t="shared" si="2"/>
        <v>#DIV/0!</v>
      </c>
    </row>
    <row r="9" spans="1:14" ht="9.75" hidden="1">
      <c r="A9" s="56"/>
      <c r="B9" s="52" t="s">
        <v>14</v>
      </c>
      <c r="C9" s="53"/>
      <c r="D9" s="11">
        <f aca="true" t="shared" si="3" ref="D9:G10">SUM(D8)</f>
        <v>0</v>
      </c>
      <c r="E9" s="11">
        <f t="shared" si="3"/>
        <v>0</v>
      </c>
      <c r="F9" s="11">
        <f t="shared" si="3"/>
        <v>0</v>
      </c>
      <c r="G9" s="11">
        <f t="shared" si="3"/>
        <v>0</v>
      </c>
      <c r="H9" s="11">
        <f t="shared" si="0"/>
        <v>0</v>
      </c>
      <c r="I9" s="11">
        <f aca="true" t="shared" si="4" ref="I9:L10">SUM(I8)</f>
        <v>0</v>
      </c>
      <c r="J9" s="11">
        <f t="shared" si="4"/>
        <v>0</v>
      </c>
      <c r="K9" s="11">
        <f t="shared" si="4"/>
        <v>0</v>
      </c>
      <c r="L9" s="11">
        <f t="shared" si="4"/>
        <v>0</v>
      </c>
      <c r="M9" s="11">
        <f t="shared" si="1"/>
        <v>0</v>
      </c>
      <c r="N9" s="12" t="e">
        <f t="shared" si="2"/>
        <v>#DIV/0!</v>
      </c>
    </row>
    <row r="10" spans="1:14" ht="9.75" hidden="1">
      <c r="A10" s="57" t="s">
        <v>15</v>
      </c>
      <c r="B10" s="55"/>
      <c r="C10" s="55"/>
      <c r="D10" s="13">
        <f t="shared" si="3"/>
        <v>0</v>
      </c>
      <c r="E10" s="13">
        <f t="shared" si="3"/>
        <v>0</v>
      </c>
      <c r="F10" s="13">
        <f t="shared" si="3"/>
        <v>0</v>
      </c>
      <c r="G10" s="13">
        <f t="shared" si="3"/>
        <v>0</v>
      </c>
      <c r="H10" s="13">
        <f t="shared" si="0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 t="shared" si="4"/>
        <v>0</v>
      </c>
      <c r="M10" s="13">
        <f t="shared" si="1"/>
        <v>0</v>
      </c>
      <c r="N10" s="14" t="e">
        <f t="shared" si="2"/>
        <v>#DIV/0!</v>
      </c>
    </row>
    <row r="11" spans="1:14" ht="29.25" hidden="1">
      <c r="A11" s="136" t="s">
        <v>206</v>
      </c>
      <c r="B11" s="149" t="s">
        <v>207</v>
      </c>
      <c r="C11" s="51" t="s">
        <v>215</v>
      </c>
      <c r="D11" s="9"/>
      <c r="E11" s="9"/>
      <c r="F11" s="9"/>
      <c r="G11" s="9"/>
      <c r="H11" s="9">
        <f t="shared" si="0"/>
        <v>0</v>
      </c>
      <c r="I11" s="9"/>
      <c r="J11" s="9"/>
      <c r="K11" s="9"/>
      <c r="L11" s="9"/>
      <c r="M11" s="9">
        <f t="shared" si="1"/>
        <v>0</v>
      </c>
      <c r="N11" s="10" t="e">
        <f t="shared" si="2"/>
        <v>#DIV/0!</v>
      </c>
    </row>
    <row r="12" spans="1:14" ht="39" hidden="1">
      <c r="A12" s="154"/>
      <c r="B12" s="146"/>
      <c r="C12" s="51" t="s">
        <v>216</v>
      </c>
      <c r="D12" s="9"/>
      <c r="E12" s="9"/>
      <c r="F12" s="9"/>
      <c r="G12" s="9"/>
      <c r="H12" s="9">
        <f t="shared" si="0"/>
        <v>0</v>
      </c>
      <c r="I12" s="9"/>
      <c r="J12" s="9"/>
      <c r="K12" s="9"/>
      <c r="L12" s="9"/>
      <c r="M12" s="9">
        <f t="shared" si="1"/>
        <v>0</v>
      </c>
      <c r="N12" s="10" t="e">
        <f t="shared" si="2"/>
        <v>#DIV/0!</v>
      </c>
    </row>
    <row r="13" spans="1:14" ht="9.75" hidden="1">
      <c r="A13" s="156"/>
      <c r="B13" s="52" t="s">
        <v>208</v>
      </c>
      <c r="C13" s="53"/>
      <c r="D13" s="11">
        <f>SUM(D11:D12)</f>
        <v>0</v>
      </c>
      <c r="E13" s="11">
        <f>SUM(E11:E12)</f>
        <v>0</v>
      </c>
      <c r="F13" s="11">
        <f>SUM(F11:F12)</f>
        <v>0</v>
      </c>
      <c r="G13" s="11">
        <f>SUM(G11:G12)</f>
        <v>0</v>
      </c>
      <c r="H13" s="11">
        <f t="shared" si="0"/>
        <v>0</v>
      </c>
      <c r="I13" s="11">
        <f>SUM(I11:I12)</f>
        <v>0</v>
      </c>
      <c r="J13" s="11">
        <f>SUM(J11:J12)</f>
        <v>0</v>
      </c>
      <c r="K13" s="11">
        <f>SUM(K11:K12)</f>
        <v>0</v>
      </c>
      <c r="L13" s="11">
        <f>SUM(L11:L12)</f>
        <v>0</v>
      </c>
      <c r="M13" s="11">
        <f t="shared" si="1"/>
        <v>0</v>
      </c>
      <c r="N13" s="12" t="e">
        <f t="shared" si="2"/>
        <v>#DIV/0!</v>
      </c>
    </row>
    <row r="14" spans="1:14" ht="9.75" hidden="1">
      <c r="A14" s="54" t="s">
        <v>209</v>
      </c>
      <c r="B14" s="55"/>
      <c r="C14" s="55"/>
      <c r="D14" s="13">
        <f>SUM(D13)</f>
        <v>0</v>
      </c>
      <c r="E14" s="13">
        <f>SUM(E13)</f>
        <v>0</v>
      </c>
      <c r="F14" s="13">
        <f>SUM(F13)</f>
        <v>0</v>
      </c>
      <c r="G14" s="13">
        <f>SUM(G13)</f>
        <v>0</v>
      </c>
      <c r="H14" s="13">
        <f t="shared" si="0"/>
        <v>0</v>
      </c>
      <c r="I14" s="13">
        <f>SUM(I13)</f>
        <v>0</v>
      </c>
      <c r="J14" s="13">
        <f>SUM(J13)</f>
        <v>0</v>
      </c>
      <c r="K14" s="13">
        <f>SUM(K13)</f>
        <v>0</v>
      </c>
      <c r="L14" s="13">
        <f>SUM(L13)</f>
        <v>0</v>
      </c>
      <c r="M14" s="13">
        <f t="shared" si="1"/>
        <v>0</v>
      </c>
      <c r="N14" s="14" t="e">
        <f t="shared" si="2"/>
        <v>#DIV/0!</v>
      </c>
    </row>
    <row r="15" spans="1:14" ht="11.25" customHeight="1">
      <c r="A15" s="128" t="s">
        <v>181</v>
      </c>
      <c r="B15" s="174" t="s">
        <v>326</v>
      </c>
      <c r="C15" s="51" t="s">
        <v>218</v>
      </c>
      <c r="D15" s="29"/>
      <c r="E15" s="29"/>
      <c r="F15" s="29"/>
      <c r="G15" s="29"/>
      <c r="H15" s="29"/>
      <c r="I15" s="29">
        <v>26105</v>
      </c>
      <c r="J15" s="29"/>
      <c r="K15" s="29"/>
      <c r="L15" s="29"/>
      <c r="M15" s="9">
        <f t="shared" si="1"/>
        <v>26105</v>
      </c>
      <c r="N15" s="10"/>
    </row>
    <row r="16" spans="1:14" ht="19.5" customHeight="1" hidden="1">
      <c r="A16" s="151"/>
      <c r="B16" s="158"/>
      <c r="C16" s="51" t="s">
        <v>226</v>
      </c>
      <c r="D16" s="9">
        <f>11443796-11443796</f>
        <v>0</v>
      </c>
      <c r="E16" s="9"/>
      <c r="F16" s="9"/>
      <c r="G16" s="9"/>
      <c r="H16" s="9">
        <f>SUM(D16:G16)</f>
        <v>0</v>
      </c>
      <c r="I16" s="9"/>
      <c r="J16" s="9"/>
      <c r="K16" s="9"/>
      <c r="L16" s="9"/>
      <c r="M16" s="9">
        <f t="shared" si="1"/>
        <v>0</v>
      </c>
      <c r="N16" s="10" t="e">
        <f t="shared" si="2"/>
        <v>#DIV/0!</v>
      </c>
    </row>
    <row r="17" spans="1:14" ht="9.75" hidden="1">
      <c r="A17" s="151"/>
      <c r="B17" s="175"/>
      <c r="C17" s="51" t="s">
        <v>332</v>
      </c>
      <c r="D17" s="9">
        <f>6977-6977</f>
        <v>0</v>
      </c>
      <c r="E17" s="9"/>
      <c r="F17" s="9"/>
      <c r="G17" s="9"/>
      <c r="H17" s="9">
        <f>SUM(D17:G17)</f>
        <v>0</v>
      </c>
      <c r="I17" s="9"/>
      <c r="J17" s="9"/>
      <c r="K17" s="9"/>
      <c r="L17" s="9"/>
      <c r="M17" s="9">
        <f t="shared" si="1"/>
        <v>0</v>
      </c>
      <c r="N17" s="10" t="e">
        <f t="shared" si="2"/>
        <v>#DIV/0!</v>
      </c>
    </row>
    <row r="18" spans="1:14" ht="9.75">
      <c r="A18" s="151"/>
      <c r="B18" s="52" t="s">
        <v>321</v>
      </c>
      <c r="C18" s="53"/>
      <c r="D18" s="11">
        <f>SUM(D16:D17)</f>
        <v>0</v>
      </c>
      <c r="E18" s="11">
        <f>SUM(E16)</f>
        <v>0</v>
      </c>
      <c r="F18" s="11">
        <f>SUM(F16)</f>
        <v>0</v>
      </c>
      <c r="G18" s="11">
        <f>SUM(G16)</f>
        <v>0</v>
      </c>
      <c r="H18" s="11">
        <f>SUM(D18:G18)</f>
        <v>0</v>
      </c>
      <c r="I18" s="11">
        <f>SUM(I15:I17)</f>
        <v>26105</v>
      </c>
      <c r="J18" s="11">
        <f>SUM(J15:J17)</f>
        <v>0</v>
      </c>
      <c r="K18" s="11">
        <f>SUM(K15:K17)</f>
        <v>0</v>
      </c>
      <c r="L18" s="11">
        <f>SUM(L15:L17)</f>
        <v>0</v>
      </c>
      <c r="M18" s="11">
        <f t="shared" si="1"/>
        <v>26105</v>
      </c>
      <c r="N18" s="39"/>
    </row>
    <row r="19" spans="1:14" ht="37.5" customHeight="1">
      <c r="A19" s="151"/>
      <c r="B19" s="142" t="s">
        <v>186</v>
      </c>
      <c r="C19" s="51" t="s">
        <v>217</v>
      </c>
      <c r="D19" s="9"/>
      <c r="E19" s="9">
        <v>237622</v>
      </c>
      <c r="F19" s="9"/>
      <c r="G19" s="9"/>
      <c r="H19" s="9">
        <f>SUM(D19:G19)</f>
        <v>237622</v>
      </c>
      <c r="I19" s="9"/>
      <c r="J19" s="9">
        <v>97791</v>
      </c>
      <c r="K19" s="9"/>
      <c r="L19" s="9"/>
      <c r="M19" s="9">
        <f t="shared" si="1"/>
        <v>97791</v>
      </c>
      <c r="N19" s="10">
        <f>M19/H19</f>
        <v>0.41154017725631464</v>
      </c>
    </row>
    <row r="20" spans="1:14" ht="38.25" customHeight="1">
      <c r="A20" s="151"/>
      <c r="B20" s="146"/>
      <c r="C20" s="51" t="s">
        <v>229</v>
      </c>
      <c r="D20" s="9"/>
      <c r="E20" s="9">
        <v>2080000</v>
      </c>
      <c r="F20" s="9"/>
      <c r="G20" s="9"/>
      <c r="H20" s="9">
        <f>SUM(D20:G20)</f>
        <v>2080000</v>
      </c>
      <c r="I20" s="9"/>
      <c r="J20" s="9"/>
      <c r="K20" s="9"/>
      <c r="L20" s="9"/>
      <c r="M20" s="9">
        <f t="shared" si="1"/>
        <v>0</v>
      </c>
      <c r="N20" s="10">
        <f>M20/H20</f>
        <v>0</v>
      </c>
    </row>
    <row r="21" spans="1:14" ht="9" customHeight="1">
      <c r="A21" s="41"/>
      <c r="B21" s="52" t="s">
        <v>183</v>
      </c>
      <c r="C21" s="53"/>
      <c r="D21" s="11">
        <f>SUM(D19)</f>
        <v>0</v>
      </c>
      <c r="E21" s="11">
        <f aca="true" t="shared" si="5" ref="E21:M21">SUM(E19:E20)</f>
        <v>2317622</v>
      </c>
      <c r="F21" s="11">
        <f t="shared" si="5"/>
        <v>0</v>
      </c>
      <c r="G21" s="11">
        <f t="shared" si="5"/>
        <v>0</v>
      </c>
      <c r="H21" s="11">
        <f t="shared" si="5"/>
        <v>2317622</v>
      </c>
      <c r="I21" s="11">
        <f t="shared" si="5"/>
        <v>0</v>
      </c>
      <c r="J21" s="11">
        <f t="shared" si="5"/>
        <v>97791</v>
      </c>
      <c r="K21" s="11">
        <f t="shared" si="5"/>
        <v>0</v>
      </c>
      <c r="L21" s="11">
        <f t="shared" si="5"/>
        <v>0</v>
      </c>
      <c r="M21" s="11">
        <f t="shared" si="5"/>
        <v>97791</v>
      </c>
      <c r="N21" s="12">
        <f>M21/H21</f>
        <v>0.04219454250952053</v>
      </c>
    </row>
    <row r="22" spans="1:14" ht="10.5" customHeight="1">
      <c r="A22" s="154"/>
      <c r="B22" s="142" t="s">
        <v>184</v>
      </c>
      <c r="C22" s="51" t="s">
        <v>218</v>
      </c>
      <c r="D22" s="9">
        <v>100000</v>
      </c>
      <c r="E22" s="9"/>
      <c r="F22" s="9"/>
      <c r="G22" s="9"/>
      <c r="H22" s="9">
        <f>SUM(D22:G22)</f>
        <v>100000</v>
      </c>
      <c r="I22" s="9">
        <v>78058</v>
      </c>
      <c r="J22" s="9"/>
      <c r="K22" s="9"/>
      <c r="L22" s="9"/>
      <c r="M22" s="9">
        <f>SUM(I22:L22)</f>
        <v>78058</v>
      </c>
      <c r="N22" s="10">
        <f>M22/H22</f>
        <v>0.78058</v>
      </c>
    </row>
    <row r="23" spans="1:14" ht="9.75">
      <c r="A23" s="154"/>
      <c r="B23" s="143"/>
      <c r="C23" s="51" t="s">
        <v>221</v>
      </c>
      <c r="D23" s="9"/>
      <c r="E23" s="9"/>
      <c r="F23" s="9"/>
      <c r="G23" s="9"/>
      <c r="H23" s="9">
        <f>SUM(D23:G23)</f>
        <v>0</v>
      </c>
      <c r="I23" s="9">
        <v>20764</v>
      </c>
      <c r="J23" s="9"/>
      <c r="K23" s="9"/>
      <c r="L23" s="9"/>
      <c r="M23" s="9">
        <f>SUM(I23:L23)</f>
        <v>20764</v>
      </c>
      <c r="N23" s="10"/>
    </row>
    <row r="24" spans="1:14" ht="39.75" customHeight="1">
      <c r="A24" s="154"/>
      <c r="B24" s="143"/>
      <c r="C24" s="51" t="s">
        <v>217</v>
      </c>
      <c r="D24" s="9"/>
      <c r="E24" s="9">
        <v>124718</v>
      </c>
      <c r="F24" s="9"/>
      <c r="G24" s="9"/>
      <c r="H24" s="9">
        <f>SUM(D24:G24)</f>
        <v>124718</v>
      </c>
      <c r="I24" s="9"/>
      <c r="J24" s="9">
        <v>280803</v>
      </c>
      <c r="K24" s="9"/>
      <c r="L24" s="9"/>
      <c r="M24" s="9">
        <f>SUM(I24:L24)</f>
        <v>280803</v>
      </c>
      <c r="N24" s="10">
        <f aca="true" t="shared" si="6" ref="N24:N45">M24/H24</f>
        <v>2.251503391651566</v>
      </c>
    </row>
    <row r="25" spans="1:14" ht="39" customHeight="1" hidden="1">
      <c r="A25" s="154"/>
      <c r="B25" s="146"/>
      <c r="C25" s="51" t="s">
        <v>274</v>
      </c>
      <c r="D25" s="9"/>
      <c r="E25" s="9">
        <f>124718-124718</f>
        <v>0</v>
      </c>
      <c r="F25" s="9"/>
      <c r="G25" s="9"/>
      <c r="H25" s="9">
        <f>SUM(D25:G25)</f>
        <v>0</v>
      </c>
      <c r="I25" s="9"/>
      <c r="J25" s="9"/>
      <c r="K25" s="9"/>
      <c r="L25" s="9"/>
      <c r="M25" s="9">
        <f>SUM(I25:L25)</f>
        <v>0</v>
      </c>
      <c r="N25" s="10" t="e">
        <f t="shared" si="6"/>
        <v>#DIV/0!</v>
      </c>
    </row>
    <row r="26" spans="1:14" ht="9.75">
      <c r="A26" s="156"/>
      <c r="B26" s="52" t="s">
        <v>185</v>
      </c>
      <c r="C26" s="53"/>
      <c r="D26" s="11">
        <f>SUM(D22:D25)</f>
        <v>100000</v>
      </c>
      <c r="E26" s="11">
        <f>SUM(E22:E25)</f>
        <v>124718</v>
      </c>
      <c r="F26" s="11">
        <f>SUM(F22:F25)</f>
        <v>0</v>
      </c>
      <c r="G26" s="11">
        <f>SUM(G22:G25)</f>
        <v>0</v>
      </c>
      <c r="H26" s="11">
        <f>SUM(D26:G26)</f>
        <v>224718</v>
      </c>
      <c r="I26" s="11">
        <f>SUM(I22:I25)</f>
        <v>98822</v>
      </c>
      <c r="J26" s="11">
        <f>SUM(J22:J25)</f>
        <v>280803</v>
      </c>
      <c r="K26" s="11">
        <f>SUM(K22:K25)</f>
        <v>0</v>
      </c>
      <c r="L26" s="11">
        <f>SUM(L22:L25)</f>
        <v>0</v>
      </c>
      <c r="M26" s="11">
        <f>SUM(I26:L26)</f>
        <v>379625</v>
      </c>
      <c r="N26" s="39">
        <f t="shared" si="6"/>
        <v>1.689339527763686</v>
      </c>
    </row>
    <row r="27" spans="1:14" ht="9.75">
      <c r="A27" s="58" t="s">
        <v>182</v>
      </c>
      <c r="B27" s="55"/>
      <c r="C27" s="55"/>
      <c r="D27" s="13">
        <f aca="true" t="shared" si="7" ref="D27:M27">SUM(D26,D21,D18)</f>
        <v>100000</v>
      </c>
      <c r="E27" s="13">
        <f t="shared" si="7"/>
        <v>2442340</v>
      </c>
      <c r="F27" s="13">
        <f t="shared" si="7"/>
        <v>0</v>
      </c>
      <c r="G27" s="13">
        <f t="shared" si="7"/>
        <v>0</v>
      </c>
      <c r="H27" s="13">
        <f t="shared" si="7"/>
        <v>2542340</v>
      </c>
      <c r="I27" s="13">
        <f t="shared" si="7"/>
        <v>124927</v>
      </c>
      <c r="J27" s="13">
        <f t="shared" si="7"/>
        <v>378594</v>
      </c>
      <c r="K27" s="13">
        <f t="shared" si="7"/>
        <v>0</v>
      </c>
      <c r="L27" s="13">
        <f t="shared" si="7"/>
        <v>0</v>
      </c>
      <c r="M27" s="13">
        <f t="shared" si="7"/>
        <v>503521</v>
      </c>
      <c r="N27" s="124">
        <f t="shared" si="6"/>
        <v>0.19805415483373584</v>
      </c>
    </row>
    <row r="28" spans="2:14" s="17" customFormat="1" ht="9.75" hidden="1">
      <c r="B28" s="142" t="s">
        <v>17</v>
      </c>
      <c r="C28" s="51" t="s">
        <v>221</v>
      </c>
      <c r="D28" s="29"/>
      <c r="E28" s="29"/>
      <c r="F28" s="29"/>
      <c r="G28" s="29"/>
      <c r="H28" s="9">
        <f aca="true" t="shared" si="8" ref="H28:H60">SUM(D28:G28)</f>
        <v>0</v>
      </c>
      <c r="I28" s="29"/>
      <c r="J28" s="29"/>
      <c r="K28" s="29"/>
      <c r="L28" s="29"/>
      <c r="M28" s="9">
        <f aca="true" t="shared" si="9" ref="M28:M69">SUM(I28:L28)</f>
        <v>0</v>
      </c>
      <c r="N28" s="10"/>
    </row>
    <row r="29" spans="1:14" s="18" customFormat="1" ht="39" hidden="1">
      <c r="A29" s="41"/>
      <c r="B29" s="146"/>
      <c r="C29" s="51" t="s">
        <v>217</v>
      </c>
      <c r="D29" s="9"/>
      <c r="E29" s="9"/>
      <c r="F29" s="9"/>
      <c r="G29" s="9"/>
      <c r="H29" s="9">
        <f t="shared" si="8"/>
        <v>0</v>
      </c>
      <c r="I29" s="9"/>
      <c r="J29" s="9"/>
      <c r="K29" s="9"/>
      <c r="L29" s="9"/>
      <c r="M29" s="9">
        <f t="shared" si="9"/>
        <v>0</v>
      </c>
      <c r="N29" s="10"/>
    </row>
    <row r="30" spans="1:14" ht="9.75" hidden="1">
      <c r="A30" s="41"/>
      <c r="B30" s="52" t="s">
        <v>18</v>
      </c>
      <c r="C30" s="53"/>
      <c r="D30" s="11">
        <f>SUM(D29)</f>
        <v>0</v>
      </c>
      <c r="E30" s="11">
        <f>SUM(E29)</f>
        <v>0</v>
      </c>
      <c r="F30" s="11">
        <f>SUM(F29)</f>
        <v>0</v>
      </c>
      <c r="G30" s="11">
        <f>SUM(G29)</f>
        <v>0</v>
      </c>
      <c r="H30" s="11">
        <f t="shared" si="8"/>
        <v>0</v>
      </c>
      <c r="I30" s="11">
        <f>SUM(I28:I29)</f>
        <v>0</v>
      </c>
      <c r="J30" s="11">
        <f>SUM(J28:J29)</f>
        <v>0</v>
      </c>
      <c r="K30" s="11">
        <f>SUM(K29)</f>
        <v>0</v>
      </c>
      <c r="L30" s="11">
        <f>SUM(L29)</f>
        <v>0</v>
      </c>
      <c r="M30" s="11">
        <f t="shared" si="9"/>
        <v>0</v>
      </c>
      <c r="N30" s="39"/>
    </row>
    <row r="31" spans="1:14" ht="39" hidden="1">
      <c r="A31" s="45" t="s">
        <v>16</v>
      </c>
      <c r="B31" s="28" t="s">
        <v>19</v>
      </c>
      <c r="C31" s="51" t="s">
        <v>217</v>
      </c>
      <c r="D31" s="9"/>
      <c r="E31" s="9"/>
      <c r="F31" s="9"/>
      <c r="G31" s="9"/>
      <c r="H31" s="9">
        <f t="shared" si="8"/>
        <v>0</v>
      </c>
      <c r="I31" s="9"/>
      <c r="J31" s="9"/>
      <c r="K31" s="9"/>
      <c r="L31" s="9"/>
      <c r="M31" s="9">
        <f t="shared" si="9"/>
        <v>0</v>
      </c>
      <c r="N31" s="10"/>
    </row>
    <row r="32" spans="1:14" ht="39">
      <c r="A32" s="45" t="s">
        <v>16</v>
      </c>
      <c r="B32" s="28" t="s">
        <v>19</v>
      </c>
      <c r="C32" s="51" t="s">
        <v>229</v>
      </c>
      <c r="D32" s="9"/>
      <c r="E32" s="9"/>
      <c r="F32" s="9"/>
      <c r="G32" s="9"/>
      <c r="H32" s="9">
        <f t="shared" si="8"/>
        <v>0</v>
      </c>
      <c r="I32" s="9">
        <v>57479</v>
      </c>
      <c r="J32" s="9"/>
      <c r="K32" s="9"/>
      <c r="L32" s="9"/>
      <c r="M32" s="9">
        <f t="shared" si="9"/>
        <v>57479</v>
      </c>
      <c r="N32" s="10"/>
    </row>
    <row r="33" spans="1:14" ht="9.75">
      <c r="A33" s="102"/>
      <c r="B33" s="52" t="s">
        <v>20</v>
      </c>
      <c r="C33" s="53"/>
      <c r="D33" s="11">
        <f>SUM(D31)</f>
        <v>0</v>
      </c>
      <c r="E33" s="11">
        <f>SUM(E31)</f>
        <v>0</v>
      </c>
      <c r="F33" s="11">
        <f>SUM(F31)</f>
        <v>0</v>
      </c>
      <c r="G33" s="11">
        <f>SUM(G31)</f>
        <v>0</v>
      </c>
      <c r="H33" s="11">
        <f t="shared" si="8"/>
        <v>0</v>
      </c>
      <c r="I33" s="11">
        <f>SUM(I31:I32)</f>
        <v>57479</v>
      </c>
      <c r="J33" s="11">
        <f>SUM(J31:J32)</f>
        <v>0</v>
      </c>
      <c r="K33" s="11">
        <f>SUM(K31:K32)</f>
        <v>0</v>
      </c>
      <c r="L33" s="11">
        <f>SUM(L31:L32)</f>
        <v>0</v>
      </c>
      <c r="M33" s="11">
        <f t="shared" si="9"/>
        <v>57479</v>
      </c>
      <c r="N33" s="39"/>
    </row>
    <row r="34" spans="1:14" ht="9.75">
      <c r="A34" s="54" t="s">
        <v>21</v>
      </c>
      <c r="B34" s="55"/>
      <c r="C34" s="55"/>
      <c r="D34" s="13">
        <f>SUM(D33,D30)</f>
        <v>0</v>
      </c>
      <c r="E34" s="13">
        <f>SUM(E33,E30)</f>
        <v>0</v>
      </c>
      <c r="F34" s="13">
        <f>SUM(F33,F30)</f>
        <v>0</v>
      </c>
      <c r="G34" s="13">
        <f>SUM(G33,G30)</f>
        <v>0</v>
      </c>
      <c r="H34" s="13">
        <f t="shared" si="8"/>
        <v>0</v>
      </c>
      <c r="I34" s="13">
        <f>SUM(I33,I30)</f>
        <v>57479</v>
      </c>
      <c r="J34" s="13">
        <f>SUM(J33,J30)</f>
        <v>0</v>
      </c>
      <c r="K34" s="13">
        <f>SUM(K33,K30)</f>
        <v>0</v>
      </c>
      <c r="L34" s="13">
        <f>SUM(L33,L30)</f>
        <v>0</v>
      </c>
      <c r="M34" s="13">
        <f t="shared" si="9"/>
        <v>57479</v>
      </c>
      <c r="N34" s="124"/>
    </row>
    <row r="35" spans="1:14" s="18" customFormat="1" ht="19.5" customHeight="1" hidden="1">
      <c r="A35" s="133" t="s">
        <v>22</v>
      </c>
      <c r="B35" s="142" t="s">
        <v>166</v>
      </c>
      <c r="C35" s="51" t="s">
        <v>222</v>
      </c>
      <c r="D35" s="9"/>
      <c r="E35" s="9"/>
      <c r="F35" s="9"/>
      <c r="G35" s="9"/>
      <c r="H35" s="9">
        <f t="shared" si="8"/>
        <v>0</v>
      </c>
      <c r="I35" s="9"/>
      <c r="J35" s="9"/>
      <c r="K35" s="9"/>
      <c r="L35" s="9"/>
      <c r="M35" s="9">
        <f t="shared" si="9"/>
        <v>0</v>
      </c>
      <c r="N35" s="10" t="e">
        <f t="shared" si="6"/>
        <v>#DIV/0!</v>
      </c>
    </row>
    <row r="36" spans="1:14" ht="39" customHeight="1" hidden="1">
      <c r="A36" s="134"/>
      <c r="B36" s="143"/>
      <c r="C36" s="51" t="s">
        <v>223</v>
      </c>
      <c r="D36" s="9"/>
      <c r="E36" s="9"/>
      <c r="F36" s="9"/>
      <c r="G36" s="9"/>
      <c r="H36" s="9">
        <f t="shared" si="8"/>
        <v>0</v>
      </c>
      <c r="I36" s="9"/>
      <c r="J36" s="9"/>
      <c r="K36" s="9"/>
      <c r="L36" s="9"/>
      <c r="M36" s="9">
        <f t="shared" si="9"/>
        <v>0</v>
      </c>
      <c r="N36" s="10" t="e">
        <f t="shared" si="6"/>
        <v>#DIV/0!</v>
      </c>
    </row>
    <row r="37" spans="1:14" ht="29.25" customHeight="1" hidden="1">
      <c r="A37" s="134"/>
      <c r="B37" s="143"/>
      <c r="C37" s="51" t="s">
        <v>224</v>
      </c>
      <c r="D37" s="9"/>
      <c r="E37" s="9"/>
      <c r="F37" s="9"/>
      <c r="G37" s="9"/>
      <c r="H37" s="9">
        <f t="shared" si="8"/>
        <v>0</v>
      </c>
      <c r="I37" s="9"/>
      <c r="J37" s="9"/>
      <c r="K37" s="9"/>
      <c r="L37" s="9"/>
      <c r="M37" s="9">
        <f t="shared" si="9"/>
        <v>0</v>
      </c>
      <c r="N37" s="10" t="e">
        <f t="shared" si="6"/>
        <v>#DIV/0!</v>
      </c>
    </row>
    <row r="38" spans="1:14" ht="19.5" customHeight="1" hidden="1">
      <c r="A38" s="134"/>
      <c r="B38" s="143"/>
      <c r="C38" s="51" t="s">
        <v>225</v>
      </c>
      <c r="D38" s="9"/>
      <c r="E38" s="9"/>
      <c r="F38" s="9"/>
      <c r="G38" s="9"/>
      <c r="H38" s="9">
        <f t="shared" si="8"/>
        <v>0</v>
      </c>
      <c r="I38" s="9"/>
      <c r="J38" s="9"/>
      <c r="K38" s="9"/>
      <c r="L38" s="9"/>
      <c r="M38" s="9">
        <f t="shared" si="9"/>
        <v>0</v>
      </c>
      <c r="N38" s="10" t="e">
        <f t="shared" si="6"/>
        <v>#DIV/0!</v>
      </c>
    </row>
    <row r="39" spans="1:14" ht="9.75" customHeight="1" hidden="1">
      <c r="A39" s="134"/>
      <c r="B39" s="143"/>
      <c r="C39" s="51" t="s">
        <v>226</v>
      </c>
      <c r="D39" s="9"/>
      <c r="E39" s="9"/>
      <c r="F39" s="9"/>
      <c r="G39" s="9"/>
      <c r="H39" s="9">
        <f t="shared" si="8"/>
        <v>0</v>
      </c>
      <c r="I39" s="9"/>
      <c r="J39" s="9"/>
      <c r="K39" s="9"/>
      <c r="L39" s="9"/>
      <c r="M39" s="9">
        <f t="shared" si="9"/>
        <v>0</v>
      </c>
      <c r="N39" s="10" t="e">
        <f t="shared" si="6"/>
        <v>#DIV/0!</v>
      </c>
    </row>
    <row r="40" spans="1:14" ht="19.5" customHeight="1" hidden="1">
      <c r="A40" s="134"/>
      <c r="B40" s="143"/>
      <c r="C40" s="51" t="s">
        <v>222</v>
      </c>
      <c r="D40" s="9"/>
      <c r="E40" s="9"/>
      <c r="F40" s="9"/>
      <c r="G40" s="9"/>
      <c r="H40" s="9">
        <f t="shared" si="8"/>
        <v>0</v>
      </c>
      <c r="I40" s="9"/>
      <c r="J40" s="9"/>
      <c r="K40" s="9"/>
      <c r="L40" s="9"/>
      <c r="M40" s="9">
        <f t="shared" si="9"/>
        <v>0</v>
      </c>
      <c r="N40" s="10" t="e">
        <f t="shared" si="6"/>
        <v>#DIV/0!</v>
      </c>
    </row>
    <row r="41" spans="1:14" ht="9.75" customHeight="1" hidden="1">
      <c r="A41" s="134"/>
      <c r="B41" s="143"/>
      <c r="C41" s="51" t="s">
        <v>219</v>
      </c>
      <c r="D41" s="9"/>
      <c r="E41" s="9"/>
      <c r="F41" s="9"/>
      <c r="G41" s="9"/>
      <c r="H41" s="9">
        <f t="shared" si="8"/>
        <v>0</v>
      </c>
      <c r="I41" s="9"/>
      <c r="J41" s="9"/>
      <c r="K41" s="9"/>
      <c r="L41" s="9"/>
      <c r="M41" s="9">
        <f t="shared" si="9"/>
        <v>0</v>
      </c>
      <c r="N41" s="10" t="e">
        <f t="shared" si="6"/>
        <v>#DIV/0!</v>
      </c>
    </row>
    <row r="42" spans="1:14" ht="39" customHeight="1" hidden="1">
      <c r="A42" s="134"/>
      <c r="B42" s="131"/>
      <c r="C42" s="51" t="s">
        <v>214</v>
      </c>
      <c r="D42" s="9"/>
      <c r="E42" s="9"/>
      <c r="F42" s="9"/>
      <c r="G42" s="9"/>
      <c r="H42" s="9">
        <f t="shared" si="8"/>
        <v>0</v>
      </c>
      <c r="I42" s="9"/>
      <c r="J42" s="9"/>
      <c r="K42" s="9"/>
      <c r="L42" s="9"/>
      <c r="M42" s="9">
        <f t="shared" si="9"/>
        <v>0</v>
      </c>
      <c r="N42" s="10" t="e">
        <f t="shared" si="6"/>
        <v>#DIV/0!</v>
      </c>
    </row>
    <row r="43" spans="1:14" ht="29.25" customHeight="1" hidden="1">
      <c r="A43" s="48"/>
      <c r="B43" s="56"/>
      <c r="C43" s="51" t="s">
        <v>227</v>
      </c>
      <c r="D43" s="9"/>
      <c r="E43" s="9"/>
      <c r="F43" s="9"/>
      <c r="G43" s="9"/>
      <c r="H43" s="9">
        <f t="shared" si="8"/>
        <v>0</v>
      </c>
      <c r="I43" s="9"/>
      <c r="J43" s="9"/>
      <c r="K43" s="9"/>
      <c r="L43" s="9"/>
      <c r="M43" s="9">
        <f t="shared" si="9"/>
        <v>0</v>
      </c>
      <c r="N43" s="10" t="e">
        <f t="shared" si="6"/>
        <v>#DIV/0!</v>
      </c>
    </row>
    <row r="44" spans="1:14" ht="9.75" customHeight="1" hidden="1">
      <c r="A44" s="48"/>
      <c r="B44" s="52" t="s">
        <v>167</v>
      </c>
      <c r="C44" s="53"/>
      <c r="D44" s="11">
        <f>SUM(D35:D43)</f>
        <v>0</v>
      </c>
      <c r="E44" s="11">
        <f>SUM(E35:E43)</f>
        <v>0</v>
      </c>
      <c r="F44" s="11">
        <f>SUM(F35:F43)</f>
        <v>0</v>
      </c>
      <c r="G44" s="11">
        <f>SUM(G35:G43)</f>
        <v>0</v>
      </c>
      <c r="H44" s="11">
        <f t="shared" si="8"/>
        <v>0</v>
      </c>
      <c r="I44" s="11">
        <f>SUM(I35:I43)</f>
        <v>0</v>
      </c>
      <c r="J44" s="11">
        <f>SUM(J35:J43)</f>
        <v>0</v>
      </c>
      <c r="K44" s="11">
        <f>SUM(K35:K43)</f>
        <v>0</v>
      </c>
      <c r="L44" s="11">
        <f>SUM(L35:L43)</f>
        <v>0</v>
      </c>
      <c r="M44" s="11">
        <f t="shared" si="9"/>
        <v>0</v>
      </c>
      <c r="N44" s="10" t="e">
        <f t="shared" si="6"/>
        <v>#DIV/0!</v>
      </c>
    </row>
    <row r="45" spans="1:14" ht="19.5">
      <c r="A45" s="133" t="s">
        <v>22</v>
      </c>
      <c r="B45" s="142" t="s">
        <v>23</v>
      </c>
      <c r="C45" s="51" t="s">
        <v>228</v>
      </c>
      <c r="D45" s="9">
        <v>2200000</v>
      </c>
      <c r="E45" s="9"/>
      <c r="F45" s="9"/>
      <c r="G45" s="9"/>
      <c r="H45" s="9">
        <f t="shared" si="8"/>
        <v>2200000</v>
      </c>
      <c r="I45" s="9">
        <v>2358665</v>
      </c>
      <c r="J45" s="9"/>
      <c r="K45" s="9"/>
      <c r="L45" s="9"/>
      <c r="M45" s="9">
        <f t="shared" si="9"/>
        <v>2358665</v>
      </c>
      <c r="N45" s="10">
        <f t="shared" si="6"/>
        <v>1.0721204545454546</v>
      </c>
    </row>
    <row r="46" spans="1:14" ht="47.25" customHeight="1">
      <c r="A46" s="134"/>
      <c r="B46" s="143"/>
      <c r="C46" s="51" t="s">
        <v>278</v>
      </c>
      <c r="D46" s="9">
        <v>7000000</v>
      </c>
      <c r="E46" s="9"/>
      <c r="F46" s="9"/>
      <c r="G46" s="9"/>
      <c r="H46" s="9">
        <f t="shared" si="8"/>
        <v>7000000</v>
      </c>
      <c r="I46" s="9">
        <v>6587743</v>
      </c>
      <c r="J46" s="9"/>
      <c r="K46" s="9"/>
      <c r="L46" s="9"/>
      <c r="M46" s="9">
        <f t="shared" si="9"/>
        <v>6587743</v>
      </c>
      <c r="N46" s="10">
        <f aca="true" t="shared" si="10" ref="N46:N56">M46/H46</f>
        <v>0.9411061428571429</v>
      </c>
    </row>
    <row r="47" spans="1:14" ht="27.75" customHeight="1">
      <c r="A47" s="134"/>
      <c r="B47" s="143"/>
      <c r="C47" s="51" t="s">
        <v>224</v>
      </c>
      <c r="D47" s="9">
        <v>760000</v>
      </c>
      <c r="E47" s="9"/>
      <c r="F47" s="9"/>
      <c r="G47" s="9"/>
      <c r="H47" s="9">
        <f t="shared" si="8"/>
        <v>760000</v>
      </c>
      <c r="I47" s="9">
        <v>454442</v>
      </c>
      <c r="J47" s="9"/>
      <c r="K47" s="9"/>
      <c r="L47" s="9"/>
      <c r="M47" s="9">
        <f t="shared" si="9"/>
        <v>454442</v>
      </c>
      <c r="N47" s="10">
        <f t="shared" si="10"/>
        <v>0.59795</v>
      </c>
    </row>
    <row r="48" spans="1:14" ht="18.75" customHeight="1">
      <c r="A48" s="134"/>
      <c r="B48" s="143"/>
      <c r="C48" s="51" t="s">
        <v>225</v>
      </c>
      <c r="D48" s="9">
        <f>19058580-5000000</f>
        <v>14058580</v>
      </c>
      <c r="E48" s="9"/>
      <c r="F48" s="9"/>
      <c r="G48" s="9"/>
      <c r="H48" s="9">
        <f t="shared" si="8"/>
        <v>14058580</v>
      </c>
      <c r="I48" s="9">
        <v>13196739</v>
      </c>
      <c r="J48" s="9"/>
      <c r="K48" s="9"/>
      <c r="L48" s="9"/>
      <c r="M48" s="9">
        <f t="shared" si="9"/>
        <v>13196739</v>
      </c>
      <c r="N48" s="10">
        <f t="shared" si="10"/>
        <v>0.9386964401810141</v>
      </c>
    </row>
    <row r="49" spans="1:14" ht="9.75">
      <c r="A49" s="134"/>
      <c r="B49" s="143"/>
      <c r="C49" s="51" t="s">
        <v>226</v>
      </c>
      <c r="D49" s="9"/>
      <c r="E49" s="9"/>
      <c r="F49" s="9"/>
      <c r="G49" s="9"/>
      <c r="H49" s="9">
        <f t="shared" si="8"/>
        <v>0</v>
      </c>
      <c r="I49" s="9">
        <v>108149</v>
      </c>
      <c r="J49" s="9"/>
      <c r="K49" s="9"/>
      <c r="L49" s="9"/>
      <c r="M49" s="9">
        <f t="shared" si="9"/>
        <v>108149</v>
      </c>
      <c r="N49" s="10"/>
    </row>
    <row r="50" spans="1:14" ht="19.5" customHeight="1" hidden="1">
      <c r="A50" s="134"/>
      <c r="B50" s="143"/>
      <c r="C50" s="51" t="s">
        <v>222</v>
      </c>
      <c r="D50" s="9"/>
      <c r="E50" s="9"/>
      <c r="F50" s="9"/>
      <c r="G50" s="9"/>
      <c r="H50" s="9">
        <f t="shared" si="8"/>
        <v>0</v>
      </c>
      <c r="I50" s="9"/>
      <c r="J50" s="9"/>
      <c r="K50" s="9"/>
      <c r="L50" s="9"/>
      <c r="M50" s="9">
        <f t="shared" si="9"/>
        <v>0</v>
      </c>
      <c r="N50" s="10" t="e">
        <f t="shared" si="10"/>
        <v>#DIV/0!</v>
      </c>
    </row>
    <row r="51" spans="1:14" ht="9.75">
      <c r="A51" s="134"/>
      <c r="B51" s="143"/>
      <c r="C51" s="51" t="s">
        <v>219</v>
      </c>
      <c r="D51" s="9"/>
      <c r="E51" s="9"/>
      <c r="F51" s="9"/>
      <c r="G51" s="9"/>
      <c r="H51" s="9">
        <f t="shared" si="8"/>
        <v>0</v>
      </c>
      <c r="I51" s="9">
        <v>146023</v>
      </c>
      <c r="J51" s="9"/>
      <c r="K51" s="9"/>
      <c r="L51" s="9"/>
      <c r="M51" s="9">
        <f t="shared" si="9"/>
        <v>146023</v>
      </c>
      <c r="N51" s="10"/>
    </row>
    <row r="52" spans="1:14" ht="37.5" customHeight="1">
      <c r="A52" s="134"/>
      <c r="B52" s="143"/>
      <c r="C52" s="51" t="s">
        <v>214</v>
      </c>
      <c r="D52" s="9"/>
      <c r="E52" s="9"/>
      <c r="F52" s="9"/>
      <c r="G52" s="9">
        <f>126900+276390+448900+42444</f>
        <v>894634</v>
      </c>
      <c r="H52" s="9">
        <f t="shared" si="8"/>
        <v>894634</v>
      </c>
      <c r="I52" s="9"/>
      <c r="J52" s="9"/>
      <c r="K52" s="9"/>
      <c r="L52" s="9">
        <v>817420</v>
      </c>
      <c r="M52" s="9">
        <f t="shared" si="9"/>
        <v>817420</v>
      </c>
      <c r="N52" s="10">
        <f t="shared" si="10"/>
        <v>0.9136920796660981</v>
      </c>
    </row>
    <row r="53" spans="1:14" ht="28.5" customHeight="1">
      <c r="A53" s="134"/>
      <c r="B53" s="143"/>
      <c r="C53" s="51" t="s">
        <v>227</v>
      </c>
      <c r="D53" s="9"/>
      <c r="E53" s="9">
        <f>1510500+300000</f>
        <v>1810500</v>
      </c>
      <c r="F53" s="9"/>
      <c r="G53" s="9"/>
      <c r="H53" s="9">
        <f t="shared" si="8"/>
        <v>1810500</v>
      </c>
      <c r="I53" s="9"/>
      <c r="J53" s="9">
        <v>1734618</v>
      </c>
      <c r="K53" s="9"/>
      <c r="L53" s="9"/>
      <c r="M53" s="9">
        <f t="shared" si="9"/>
        <v>1734618</v>
      </c>
      <c r="N53" s="10">
        <f t="shared" si="10"/>
        <v>0.9580878210439105</v>
      </c>
    </row>
    <row r="54" spans="1:14" ht="41.25" customHeight="1">
      <c r="A54" s="134"/>
      <c r="B54" s="146"/>
      <c r="C54" s="51" t="s">
        <v>229</v>
      </c>
      <c r="D54" s="9">
        <v>45256</v>
      </c>
      <c r="E54" s="9"/>
      <c r="F54" s="9"/>
      <c r="G54" s="9"/>
      <c r="H54" s="9">
        <f t="shared" si="8"/>
        <v>45256</v>
      </c>
      <c r="I54" s="9">
        <v>45256</v>
      </c>
      <c r="J54" s="9"/>
      <c r="K54" s="9"/>
      <c r="L54" s="9"/>
      <c r="M54" s="9">
        <f t="shared" si="9"/>
        <v>45256</v>
      </c>
      <c r="N54" s="10">
        <f t="shared" si="10"/>
        <v>1</v>
      </c>
    </row>
    <row r="55" spans="1:14" ht="9.75">
      <c r="A55" s="134"/>
      <c r="B55" s="52" t="s">
        <v>24</v>
      </c>
      <c r="C55" s="53"/>
      <c r="D55" s="11">
        <f>SUM(D45:D54)</f>
        <v>24063836</v>
      </c>
      <c r="E55" s="11">
        <f>SUM(E45:E54)</f>
        <v>1810500</v>
      </c>
      <c r="F55" s="11">
        <f>SUM(F45:F54)</f>
        <v>0</v>
      </c>
      <c r="G55" s="11">
        <f>SUM(G45:G54)</f>
        <v>894634</v>
      </c>
      <c r="H55" s="11">
        <f t="shared" si="8"/>
        <v>26768970</v>
      </c>
      <c r="I55" s="11">
        <f>SUM(I45:I54)</f>
        <v>22897017</v>
      </c>
      <c r="J55" s="11">
        <f>SUM(J45:J54)</f>
        <v>1734618</v>
      </c>
      <c r="K55" s="11">
        <f>SUM(K45:K54)</f>
        <v>0</v>
      </c>
      <c r="L55" s="11">
        <f>SUM(L45:L54)</f>
        <v>817420</v>
      </c>
      <c r="M55" s="11">
        <f t="shared" si="9"/>
        <v>25449055</v>
      </c>
      <c r="N55" s="12">
        <f t="shared" si="10"/>
        <v>0.9506923501352499</v>
      </c>
    </row>
    <row r="56" spans="1:14" ht="49.5" customHeight="1">
      <c r="A56" s="134"/>
      <c r="B56" s="142" t="s">
        <v>25</v>
      </c>
      <c r="C56" s="51" t="s">
        <v>278</v>
      </c>
      <c r="D56" s="9">
        <v>5500000</v>
      </c>
      <c r="E56" s="9"/>
      <c r="F56" s="9"/>
      <c r="G56" s="9"/>
      <c r="H56" s="9">
        <f t="shared" si="8"/>
        <v>5500000</v>
      </c>
      <c r="I56" s="9">
        <v>6107959</v>
      </c>
      <c r="J56" s="9"/>
      <c r="K56" s="9"/>
      <c r="L56" s="9"/>
      <c r="M56" s="9">
        <f t="shared" si="9"/>
        <v>6107959</v>
      </c>
      <c r="N56" s="10">
        <f t="shared" si="10"/>
        <v>1.110538</v>
      </c>
    </row>
    <row r="57" spans="1:14" ht="11.25" customHeight="1">
      <c r="A57" s="134"/>
      <c r="B57" s="143"/>
      <c r="C57" s="51" t="s">
        <v>219</v>
      </c>
      <c r="D57" s="9"/>
      <c r="E57" s="9"/>
      <c r="F57" s="9"/>
      <c r="G57" s="9"/>
      <c r="H57" s="9">
        <f t="shared" si="8"/>
        <v>0</v>
      </c>
      <c r="I57" s="9">
        <v>56914</v>
      </c>
      <c r="J57" s="9"/>
      <c r="K57" s="9"/>
      <c r="L57" s="9"/>
      <c r="M57" s="9">
        <f t="shared" si="9"/>
        <v>56914</v>
      </c>
      <c r="N57" s="10"/>
    </row>
    <row r="58" spans="1:14" ht="12" customHeight="1">
      <c r="A58" s="134"/>
      <c r="B58" s="146"/>
      <c r="C58" s="51" t="s">
        <v>221</v>
      </c>
      <c r="D58" s="9"/>
      <c r="E58" s="9"/>
      <c r="F58" s="9"/>
      <c r="G58" s="9"/>
      <c r="H58" s="9">
        <f t="shared" si="8"/>
        <v>0</v>
      </c>
      <c r="I58" s="9">
        <v>7965</v>
      </c>
      <c r="J58" s="9"/>
      <c r="K58" s="9"/>
      <c r="L58" s="9"/>
      <c r="M58" s="9">
        <f t="shared" si="9"/>
        <v>7965</v>
      </c>
      <c r="N58" s="10"/>
    </row>
    <row r="59" spans="1:14" ht="9.75">
      <c r="A59" s="135"/>
      <c r="B59" s="52" t="s">
        <v>26</v>
      </c>
      <c r="C59" s="53"/>
      <c r="D59" s="11">
        <f>SUM(D56:D58)</f>
        <v>5500000</v>
      </c>
      <c r="E59" s="11">
        <f>SUM(E56:E58)</f>
        <v>0</v>
      </c>
      <c r="F59" s="11">
        <f>SUM(F56:F58)</f>
        <v>0</v>
      </c>
      <c r="G59" s="11">
        <f>SUM(G56:G58)</f>
        <v>0</v>
      </c>
      <c r="H59" s="11">
        <f t="shared" si="8"/>
        <v>5500000</v>
      </c>
      <c r="I59" s="11">
        <f>SUM(I56:I58)</f>
        <v>6172838</v>
      </c>
      <c r="J59" s="11">
        <f>SUM(J56:J58)</f>
        <v>0</v>
      </c>
      <c r="K59" s="11">
        <f>SUM(K56:K58)</f>
        <v>0</v>
      </c>
      <c r="L59" s="11">
        <f>SUM(L56:L58)</f>
        <v>0</v>
      </c>
      <c r="M59" s="11">
        <f t="shared" si="9"/>
        <v>6172838</v>
      </c>
      <c r="N59" s="39">
        <f aca="true" t="shared" si="11" ref="N59:N71">M59/H59</f>
        <v>1.1223341818181818</v>
      </c>
    </row>
    <row r="60" spans="1:14" ht="9.75">
      <c r="A60" s="58" t="s">
        <v>27</v>
      </c>
      <c r="B60" s="55"/>
      <c r="C60" s="55"/>
      <c r="D60" s="13">
        <f>SUM(D59,D55,D44)</f>
        <v>29563836</v>
      </c>
      <c r="E60" s="13">
        <f>SUM(E59,E55,E44)</f>
        <v>1810500</v>
      </c>
      <c r="F60" s="13">
        <f>SUM(F59,F55,F44)</f>
        <v>0</v>
      </c>
      <c r="G60" s="13">
        <f>SUM(G59,G55,G44)</f>
        <v>894634</v>
      </c>
      <c r="H60" s="13">
        <f t="shared" si="8"/>
        <v>32268970</v>
      </c>
      <c r="I60" s="13">
        <f>SUM(I59,I55,I44)</f>
        <v>29069855</v>
      </c>
      <c r="J60" s="13">
        <f>SUM(J59,J55,J44)</f>
        <v>1734618</v>
      </c>
      <c r="K60" s="13">
        <f>SUM(K59,K55,K44)</f>
        <v>0</v>
      </c>
      <c r="L60" s="13">
        <f>SUM(L59,L55,L44)</f>
        <v>817420</v>
      </c>
      <c r="M60" s="13">
        <f t="shared" si="9"/>
        <v>31621893</v>
      </c>
      <c r="N60" s="124">
        <f t="shared" si="11"/>
        <v>0.9799473921851239</v>
      </c>
    </row>
    <row r="61" spans="1:14" ht="39">
      <c r="A61" s="153" t="s">
        <v>28</v>
      </c>
      <c r="B61" s="28" t="s">
        <v>308</v>
      </c>
      <c r="C61" s="51" t="s">
        <v>274</v>
      </c>
      <c r="D61" s="9">
        <v>95000</v>
      </c>
      <c r="E61" s="9"/>
      <c r="F61" s="9"/>
      <c r="G61" s="9"/>
      <c r="H61" s="9">
        <f aca="true" t="shared" si="12" ref="H61:H92">SUM(D61:G61)</f>
        <v>95000</v>
      </c>
      <c r="I61" s="9">
        <v>119684</v>
      </c>
      <c r="J61" s="9"/>
      <c r="K61" s="9"/>
      <c r="L61" s="9"/>
      <c r="M61" s="9">
        <f t="shared" si="9"/>
        <v>119684</v>
      </c>
      <c r="N61" s="10">
        <f t="shared" si="11"/>
        <v>1.2598315789473684</v>
      </c>
    </row>
    <row r="62" spans="1:14" ht="9.75">
      <c r="A62" s="154"/>
      <c r="B62" s="52" t="s">
        <v>309</v>
      </c>
      <c r="C62" s="53"/>
      <c r="D62" s="11">
        <f>SUM(D61:D61)</f>
        <v>95000</v>
      </c>
      <c r="E62" s="11">
        <f>SUM(E61:E61)</f>
        <v>0</v>
      </c>
      <c r="F62" s="11">
        <f>SUM(F61:F61)</f>
        <v>0</v>
      </c>
      <c r="G62" s="11">
        <f>SUM(G61:G61)</f>
        <v>0</v>
      </c>
      <c r="H62" s="11">
        <f t="shared" si="12"/>
        <v>95000</v>
      </c>
      <c r="I62" s="11">
        <f>SUM(I61)</f>
        <v>119684</v>
      </c>
      <c r="J62" s="11">
        <f>SUM(J61:J61)</f>
        <v>0</v>
      </c>
      <c r="K62" s="11">
        <f>SUM(K61:K61)</f>
        <v>0</v>
      </c>
      <c r="L62" s="11">
        <f>SUM(L61:L61)</f>
        <v>0</v>
      </c>
      <c r="M62" s="11">
        <f t="shared" si="9"/>
        <v>119684</v>
      </c>
      <c r="N62" s="39">
        <f t="shared" si="11"/>
        <v>1.2598315789473684</v>
      </c>
    </row>
    <row r="63" spans="1:14" ht="39">
      <c r="A63" s="154"/>
      <c r="B63" s="20" t="s">
        <v>29</v>
      </c>
      <c r="C63" s="51" t="s">
        <v>214</v>
      </c>
      <c r="D63" s="9"/>
      <c r="E63" s="9"/>
      <c r="F63" s="9"/>
      <c r="G63" s="9">
        <v>85200</v>
      </c>
      <c r="H63" s="9">
        <f t="shared" si="12"/>
        <v>85200</v>
      </c>
      <c r="I63" s="9"/>
      <c r="J63" s="9"/>
      <c r="K63" s="9"/>
      <c r="L63" s="9">
        <v>84210</v>
      </c>
      <c r="M63" s="9">
        <f t="shared" si="9"/>
        <v>84210</v>
      </c>
      <c r="N63" s="10">
        <f t="shared" si="11"/>
        <v>0.9883802816901408</v>
      </c>
    </row>
    <row r="64" spans="1:14" ht="9.75">
      <c r="A64" s="154"/>
      <c r="B64" s="52" t="s">
        <v>30</v>
      </c>
      <c r="C64" s="53"/>
      <c r="D64" s="11">
        <f>SUM(D63)</f>
        <v>0</v>
      </c>
      <c r="E64" s="11">
        <f>SUM(E63)</f>
        <v>0</v>
      </c>
      <c r="F64" s="11">
        <f>SUM(F63)</f>
        <v>0</v>
      </c>
      <c r="G64" s="11">
        <f>SUM(G63)</f>
        <v>85200</v>
      </c>
      <c r="H64" s="11">
        <f t="shared" si="12"/>
        <v>85200</v>
      </c>
      <c r="I64" s="11">
        <f>SUM(I63)</f>
        <v>0</v>
      </c>
      <c r="J64" s="11">
        <f>SUM(J63)</f>
        <v>0</v>
      </c>
      <c r="K64" s="11">
        <f>SUM(K63)</f>
        <v>0</v>
      </c>
      <c r="L64" s="11">
        <f>SUM(L63)</f>
        <v>84210</v>
      </c>
      <c r="M64" s="11">
        <f t="shared" si="9"/>
        <v>84210</v>
      </c>
      <c r="N64" s="39">
        <f t="shared" si="11"/>
        <v>0.9883802816901408</v>
      </c>
    </row>
    <row r="65" spans="1:14" ht="39">
      <c r="A65" s="154"/>
      <c r="B65" s="20" t="s">
        <v>31</v>
      </c>
      <c r="C65" s="51" t="s">
        <v>214</v>
      </c>
      <c r="D65" s="9"/>
      <c r="E65" s="9"/>
      <c r="F65" s="9"/>
      <c r="G65" s="9">
        <v>46000</v>
      </c>
      <c r="H65" s="9">
        <f t="shared" si="12"/>
        <v>46000</v>
      </c>
      <c r="I65" s="9"/>
      <c r="J65" s="9"/>
      <c r="K65" s="9"/>
      <c r="L65" s="9">
        <v>36960</v>
      </c>
      <c r="M65" s="9">
        <f t="shared" si="9"/>
        <v>36960</v>
      </c>
      <c r="N65" s="10">
        <f t="shared" si="11"/>
        <v>0.8034782608695652</v>
      </c>
    </row>
    <row r="66" spans="1:14" ht="9.75">
      <c r="A66" s="154"/>
      <c r="B66" s="52" t="s">
        <v>32</v>
      </c>
      <c r="C66" s="53"/>
      <c r="D66" s="11">
        <f>SUM(D65)</f>
        <v>0</v>
      </c>
      <c r="E66" s="11">
        <f>SUM(E65)</f>
        <v>0</v>
      </c>
      <c r="F66" s="11">
        <f>SUM(F65)</f>
        <v>0</v>
      </c>
      <c r="G66" s="11">
        <f>SUM(G65)</f>
        <v>46000</v>
      </c>
      <c r="H66" s="11">
        <f t="shared" si="12"/>
        <v>46000</v>
      </c>
      <c r="I66" s="11">
        <f>SUM(I65)</f>
        <v>0</v>
      </c>
      <c r="J66" s="11">
        <f>SUM(J65)</f>
        <v>0</v>
      </c>
      <c r="K66" s="11">
        <f>SUM(K65)</f>
        <v>0</v>
      </c>
      <c r="L66" s="11">
        <f>SUM(L65)</f>
        <v>36960</v>
      </c>
      <c r="M66" s="11">
        <f t="shared" si="9"/>
        <v>36960</v>
      </c>
      <c r="N66" s="39">
        <f t="shared" si="11"/>
        <v>0.8034782608695652</v>
      </c>
    </row>
    <row r="67" spans="1:14" ht="39">
      <c r="A67" s="154"/>
      <c r="B67" s="142" t="s">
        <v>33</v>
      </c>
      <c r="C67" s="51" t="s">
        <v>214</v>
      </c>
      <c r="D67" s="9"/>
      <c r="E67" s="9"/>
      <c r="F67" s="9"/>
      <c r="G67" s="9">
        <f>307710+92563</f>
        <v>400273</v>
      </c>
      <c r="H67" s="9">
        <f t="shared" si="12"/>
        <v>400273</v>
      </c>
      <c r="I67" s="9"/>
      <c r="J67" s="9"/>
      <c r="K67" s="9"/>
      <c r="L67" s="9">
        <v>399882</v>
      </c>
      <c r="M67" s="9">
        <f t="shared" si="9"/>
        <v>399882</v>
      </c>
      <c r="N67" s="10">
        <f t="shared" si="11"/>
        <v>0.9990231666887349</v>
      </c>
    </row>
    <row r="68" spans="1:14" ht="39">
      <c r="A68" s="154"/>
      <c r="B68" s="143"/>
      <c r="C68" s="51" t="s">
        <v>230</v>
      </c>
      <c r="D68" s="9"/>
      <c r="E68" s="9"/>
      <c r="F68" s="9"/>
      <c r="G68" s="9">
        <v>4500</v>
      </c>
      <c r="H68" s="9">
        <f t="shared" si="12"/>
        <v>4500</v>
      </c>
      <c r="I68" s="9"/>
      <c r="J68" s="9"/>
      <c r="K68" s="9"/>
      <c r="L68" s="9">
        <v>4496</v>
      </c>
      <c r="M68" s="9">
        <f t="shared" si="9"/>
        <v>4496</v>
      </c>
      <c r="N68" s="10">
        <f t="shared" si="11"/>
        <v>0.9991111111111111</v>
      </c>
    </row>
    <row r="69" spans="1:14" ht="9.75">
      <c r="A69" s="154"/>
      <c r="B69" s="143"/>
      <c r="C69" s="51" t="s">
        <v>219</v>
      </c>
      <c r="D69" s="9"/>
      <c r="E69" s="9"/>
      <c r="F69" s="9"/>
      <c r="G69" s="9"/>
      <c r="H69" s="9">
        <f t="shared" si="12"/>
        <v>0</v>
      </c>
      <c r="I69" s="9"/>
      <c r="J69" s="9">
        <v>699</v>
      </c>
      <c r="K69" s="9"/>
      <c r="L69" s="9"/>
      <c r="M69" s="9">
        <f t="shared" si="9"/>
        <v>699</v>
      </c>
      <c r="N69" s="10"/>
    </row>
    <row r="70" spans="1:14" ht="29.25" customHeight="1" hidden="1">
      <c r="A70" s="154"/>
      <c r="B70" s="146"/>
      <c r="C70" s="51" t="s">
        <v>227</v>
      </c>
      <c r="D70" s="9"/>
      <c r="E70" s="9"/>
      <c r="F70" s="9"/>
      <c r="G70" s="9"/>
      <c r="H70" s="9">
        <f t="shared" si="12"/>
        <v>0</v>
      </c>
      <c r="I70" s="9"/>
      <c r="J70" s="9"/>
      <c r="K70" s="9"/>
      <c r="L70" s="9"/>
      <c r="M70" s="9"/>
      <c r="N70" s="10" t="e">
        <f t="shared" si="11"/>
        <v>#DIV/0!</v>
      </c>
    </row>
    <row r="71" spans="1:14" ht="9.75">
      <c r="A71" s="154"/>
      <c r="B71" s="52" t="s">
        <v>34</v>
      </c>
      <c r="C71" s="53"/>
      <c r="D71" s="11">
        <f>SUM(D67:D69)</f>
        <v>0</v>
      </c>
      <c r="E71" s="11">
        <f>SUM(E67:E69)</f>
        <v>0</v>
      </c>
      <c r="F71" s="11">
        <f>SUM(F67:F69)</f>
        <v>0</v>
      </c>
      <c r="G71" s="11">
        <f>SUM(G67:G69)</f>
        <v>404773</v>
      </c>
      <c r="H71" s="11">
        <f t="shared" si="12"/>
        <v>404773</v>
      </c>
      <c r="I71" s="11">
        <f>SUM(I67:I69)</f>
        <v>0</v>
      </c>
      <c r="J71" s="11">
        <f>SUM(J67:J70)</f>
        <v>699</v>
      </c>
      <c r="K71" s="11">
        <f>SUM(K67:K70)</f>
        <v>0</v>
      </c>
      <c r="L71" s="11">
        <f>SUM(L67:L70)</f>
        <v>404378</v>
      </c>
      <c r="M71" s="11">
        <f aca="true" t="shared" si="13" ref="M71:M108">SUM(I71:L71)</f>
        <v>405077</v>
      </c>
      <c r="N71" s="39">
        <f t="shared" si="11"/>
        <v>1.000751038236246</v>
      </c>
    </row>
    <row r="72" spans="1:14" ht="9.75">
      <c r="A72" s="154"/>
      <c r="B72" s="142" t="s">
        <v>168</v>
      </c>
      <c r="C72" s="51" t="s">
        <v>218</v>
      </c>
      <c r="D72" s="9">
        <v>865000</v>
      </c>
      <c r="E72" s="9"/>
      <c r="F72" s="9"/>
      <c r="G72" s="9"/>
      <c r="H72" s="9">
        <f t="shared" si="12"/>
        <v>865000</v>
      </c>
      <c r="I72" s="9">
        <v>848840</v>
      </c>
      <c r="J72" s="9"/>
      <c r="K72" s="9"/>
      <c r="L72" s="9"/>
      <c r="M72" s="9">
        <f t="shared" si="13"/>
        <v>848840</v>
      </c>
      <c r="N72" s="10">
        <f>M72/H72</f>
        <v>0.9813179190751445</v>
      </c>
    </row>
    <row r="73" spans="1:14" ht="9.75">
      <c r="A73" s="154"/>
      <c r="B73" s="143"/>
      <c r="C73" s="51" t="s">
        <v>219</v>
      </c>
      <c r="D73" s="9"/>
      <c r="E73" s="9"/>
      <c r="F73" s="9"/>
      <c r="G73" s="9"/>
      <c r="H73" s="9">
        <f t="shared" si="12"/>
        <v>0</v>
      </c>
      <c r="I73" s="9">
        <v>293</v>
      </c>
      <c r="J73" s="9"/>
      <c r="K73" s="9"/>
      <c r="L73" s="9"/>
      <c r="M73" s="9">
        <f t="shared" si="13"/>
        <v>293</v>
      </c>
      <c r="N73" s="10"/>
    </row>
    <row r="74" spans="1:14" ht="39">
      <c r="A74" s="154"/>
      <c r="B74" s="146"/>
      <c r="C74" s="51" t="s">
        <v>231</v>
      </c>
      <c r="D74" s="9">
        <v>32500</v>
      </c>
      <c r="E74" s="9"/>
      <c r="F74" s="9"/>
      <c r="G74" s="9"/>
      <c r="H74" s="9">
        <f t="shared" si="12"/>
        <v>32500</v>
      </c>
      <c r="I74" s="9">
        <v>32425</v>
      </c>
      <c r="J74" s="9"/>
      <c r="K74" s="9"/>
      <c r="L74" s="9"/>
      <c r="M74" s="9">
        <f t="shared" si="13"/>
        <v>32425</v>
      </c>
      <c r="N74" s="10">
        <f aca="true" t="shared" si="14" ref="N74:N87">M74/H74</f>
        <v>0.9976923076923077</v>
      </c>
    </row>
    <row r="75" spans="1:14" ht="9.75">
      <c r="A75" s="138"/>
      <c r="B75" s="52" t="s">
        <v>174</v>
      </c>
      <c r="C75" s="53"/>
      <c r="D75" s="11">
        <f>SUM(D72:D74)</f>
        <v>897500</v>
      </c>
      <c r="E75" s="11">
        <f>SUM(E72:E74)</f>
        <v>0</v>
      </c>
      <c r="F75" s="11">
        <f>SUM(F72:F74)</f>
        <v>0</v>
      </c>
      <c r="G75" s="11">
        <f>SUM(G72:G74)</f>
        <v>0</v>
      </c>
      <c r="H75" s="11">
        <f t="shared" si="12"/>
        <v>897500</v>
      </c>
      <c r="I75" s="11">
        <f>SUM(I72:I74)</f>
        <v>881558</v>
      </c>
      <c r="J75" s="11">
        <f>SUM(J72:J74)</f>
        <v>0</v>
      </c>
      <c r="K75" s="11">
        <f>SUM(K72:K74)</f>
        <v>0</v>
      </c>
      <c r="L75" s="11">
        <f>SUM(L72:L74)</f>
        <v>0</v>
      </c>
      <c r="M75" s="11">
        <f t="shared" si="13"/>
        <v>881558</v>
      </c>
      <c r="N75" s="39">
        <f t="shared" si="14"/>
        <v>0.9822373259052924</v>
      </c>
    </row>
    <row r="76" spans="1:14" ht="39" customHeight="1" hidden="1">
      <c r="A76" s="127"/>
      <c r="B76" s="142" t="s">
        <v>35</v>
      </c>
      <c r="C76" s="51" t="s">
        <v>231</v>
      </c>
      <c r="D76" s="9"/>
      <c r="E76" s="9"/>
      <c r="F76" s="9"/>
      <c r="G76" s="9"/>
      <c r="H76" s="9">
        <f t="shared" si="12"/>
        <v>0</v>
      </c>
      <c r="I76" s="9"/>
      <c r="J76" s="9"/>
      <c r="K76" s="9"/>
      <c r="L76" s="9"/>
      <c r="M76" s="9">
        <f t="shared" si="13"/>
        <v>0</v>
      </c>
      <c r="N76" s="10" t="e">
        <f t="shared" si="14"/>
        <v>#DIV/0!</v>
      </c>
    </row>
    <row r="77" spans="1:14" ht="39" customHeight="1" hidden="1">
      <c r="A77" s="138"/>
      <c r="B77" s="146"/>
      <c r="C77" s="51" t="s">
        <v>217</v>
      </c>
      <c r="D77" s="9"/>
      <c r="E77" s="9"/>
      <c r="F77" s="9"/>
      <c r="G77" s="9"/>
      <c r="H77" s="9">
        <f t="shared" si="12"/>
        <v>0</v>
      </c>
      <c r="I77" s="9"/>
      <c r="J77" s="9"/>
      <c r="K77" s="9"/>
      <c r="L77" s="9"/>
      <c r="M77" s="9">
        <f t="shared" si="13"/>
        <v>0</v>
      </c>
      <c r="N77" s="10" t="e">
        <f t="shared" si="14"/>
        <v>#DIV/0!</v>
      </c>
    </row>
    <row r="78" spans="1:14" ht="9.75" customHeight="1" hidden="1">
      <c r="A78" s="56"/>
      <c r="B78" s="52" t="s">
        <v>36</v>
      </c>
      <c r="C78" s="53"/>
      <c r="D78" s="11">
        <f>SUM(D76:D77)</f>
        <v>0</v>
      </c>
      <c r="E78" s="11">
        <f>SUM(E76:E77)</f>
        <v>0</v>
      </c>
      <c r="F78" s="11">
        <f>SUM(F76:F77)</f>
        <v>0</v>
      </c>
      <c r="G78" s="11">
        <f>SUM(G76:G77)</f>
        <v>0</v>
      </c>
      <c r="H78" s="11">
        <f t="shared" si="12"/>
        <v>0</v>
      </c>
      <c r="I78" s="11">
        <f>SUM(I76:I77)</f>
        <v>0</v>
      </c>
      <c r="J78" s="11">
        <f>SUM(J76:J77)</f>
        <v>0</v>
      </c>
      <c r="K78" s="11">
        <f>SUM(K76:K77)</f>
        <v>0</v>
      </c>
      <c r="L78" s="11">
        <f>SUM(L76:L77)</f>
        <v>0</v>
      </c>
      <c r="M78" s="11">
        <f t="shared" si="13"/>
        <v>0</v>
      </c>
      <c r="N78" s="10" t="e">
        <f t="shared" si="14"/>
        <v>#DIV/0!</v>
      </c>
    </row>
    <row r="79" spans="1:14" ht="9.75">
      <c r="A79" s="58" t="s">
        <v>37</v>
      </c>
      <c r="B79" s="55"/>
      <c r="C79" s="55"/>
      <c r="D79" s="13">
        <f>SUM(D78,D75,D71,D66,D62,D64)</f>
        <v>992500</v>
      </c>
      <c r="E79" s="13">
        <f>SUM(E78,E75,E71,E66,E62,E64)</f>
        <v>0</v>
      </c>
      <c r="F79" s="13">
        <f>SUM(F78,F75,F71,F66,F62,F64)</f>
        <v>0</v>
      </c>
      <c r="G79" s="13">
        <f>SUM(G78,G75,G71,G66,G62,G64)</f>
        <v>535973</v>
      </c>
      <c r="H79" s="13">
        <f t="shared" si="12"/>
        <v>1528473</v>
      </c>
      <c r="I79" s="13">
        <f>SUM(I78,I75,I71,I66,I64,I62)</f>
        <v>1001242</v>
      </c>
      <c r="J79" s="13">
        <f>SUM(J78,J75,J71,J66,J64,J62)</f>
        <v>699</v>
      </c>
      <c r="K79" s="13">
        <f>SUM(K78,K75,K71,K66,K64,K62)</f>
        <v>0</v>
      </c>
      <c r="L79" s="13">
        <f>SUM(L78,L75,L71,L66,L64,L62)</f>
        <v>525548</v>
      </c>
      <c r="M79" s="13">
        <f t="shared" si="13"/>
        <v>1527489</v>
      </c>
      <c r="N79" s="124">
        <f t="shared" si="14"/>
        <v>0.9993562202276389</v>
      </c>
    </row>
    <row r="80" spans="1:14" ht="39">
      <c r="A80" s="150" t="s">
        <v>38</v>
      </c>
      <c r="B80" s="142" t="s">
        <v>39</v>
      </c>
      <c r="C80" s="51" t="s">
        <v>232</v>
      </c>
      <c r="D80" s="9"/>
      <c r="E80" s="9"/>
      <c r="F80" s="9">
        <v>1035200</v>
      </c>
      <c r="G80" s="9"/>
      <c r="H80" s="9">
        <f t="shared" si="12"/>
        <v>1035200</v>
      </c>
      <c r="J80" s="9"/>
      <c r="K80" s="9">
        <v>1035200</v>
      </c>
      <c r="L80" s="9"/>
      <c r="M80" s="9">
        <f t="shared" si="13"/>
        <v>1035200</v>
      </c>
      <c r="N80" s="10">
        <f t="shared" si="14"/>
        <v>1</v>
      </c>
    </row>
    <row r="81" spans="1:14" ht="39">
      <c r="A81" s="151"/>
      <c r="B81" s="143"/>
      <c r="C81" s="51" t="s">
        <v>214</v>
      </c>
      <c r="D81" s="9"/>
      <c r="E81" s="9"/>
      <c r="F81" s="9"/>
      <c r="G81" s="9">
        <v>526900</v>
      </c>
      <c r="H81" s="9">
        <f t="shared" si="12"/>
        <v>526900</v>
      </c>
      <c r="I81" s="9"/>
      <c r="J81" s="9"/>
      <c r="K81" s="9"/>
      <c r="L81" s="9">
        <v>526900</v>
      </c>
      <c r="M81" s="9">
        <f t="shared" si="13"/>
        <v>526900</v>
      </c>
      <c r="N81" s="10">
        <f t="shared" si="14"/>
        <v>1</v>
      </c>
    </row>
    <row r="82" spans="1:16" ht="29.25">
      <c r="A82" s="151"/>
      <c r="B82" s="146"/>
      <c r="C82" s="51" t="s">
        <v>227</v>
      </c>
      <c r="D82" s="9">
        <v>73350</v>
      </c>
      <c r="E82" s="9">
        <v>10650</v>
      </c>
      <c r="F82" s="9"/>
      <c r="G82" s="9"/>
      <c r="H82" s="9">
        <f t="shared" si="12"/>
        <v>84000</v>
      </c>
      <c r="I82" s="9">
        <v>49543</v>
      </c>
      <c r="J82" s="9">
        <v>23995</v>
      </c>
      <c r="K82" s="9"/>
      <c r="L82" s="9"/>
      <c r="M82" s="9">
        <f t="shared" si="13"/>
        <v>73538</v>
      </c>
      <c r="N82" s="10">
        <f t="shared" si="14"/>
        <v>0.875452380952381</v>
      </c>
      <c r="P82" s="17"/>
    </row>
    <row r="83" spans="1:14" ht="9.75">
      <c r="A83" s="151"/>
      <c r="B83" s="52" t="s">
        <v>40</v>
      </c>
      <c r="C83" s="53"/>
      <c r="D83" s="11">
        <f>SUM(D80:D82)</f>
        <v>73350</v>
      </c>
      <c r="E83" s="11">
        <f>SUM(E80:E82)</f>
        <v>10650</v>
      </c>
      <c r="F83" s="11">
        <f>SUM(F80:F82)</f>
        <v>1035200</v>
      </c>
      <c r="G83" s="11">
        <f>SUM(G80:G82)</f>
        <v>526900</v>
      </c>
      <c r="H83" s="11">
        <f t="shared" si="12"/>
        <v>1646100</v>
      </c>
      <c r="I83" s="11">
        <f>SUM(I81:I82)</f>
        <v>49543</v>
      </c>
      <c r="J83" s="11">
        <f>SUM(J80:J82)</f>
        <v>23995</v>
      </c>
      <c r="K83" s="11">
        <f>SUM(K80:K82)</f>
        <v>1035200</v>
      </c>
      <c r="L83" s="11">
        <f>SUM(L80:L82)</f>
        <v>526900</v>
      </c>
      <c r="M83" s="11">
        <f t="shared" si="13"/>
        <v>1635638</v>
      </c>
      <c r="N83" s="39">
        <f t="shared" si="14"/>
        <v>0.9936443715448636</v>
      </c>
    </row>
    <row r="84" spans="1:14" ht="9.75" customHeight="1" hidden="1">
      <c r="A84" s="151"/>
      <c r="B84" s="142" t="s">
        <v>41</v>
      </c>
      <c r="C84" s="51" t="s">
        <v>233</v>
      </c>
      <c r="D84" s="9"/>
      <c r="E84" s="9"/>
      <c r="F84" s="9"/>
      <c r="G84" s="9"/>
      <c r="H84" s="9">
        <f t="shared" si="12"/>
        <v>0</v>
      </c>
      <c r="I84" s="9"/>
      <c r="J84" s="9"/>
      <c r="K84" s="9"/>
      <c r="L84" s="9"/>
      <c r="M84" s="9">
        <f t="shared" si="13"/>
        <v>0</v>
      </c>
      <c r="N84" s="10" t="e">
        <f t="shared" si="14"/>
        <v>#DIV/0!</v>
      </c>
    </row>
    <row r="85" spans="1:14" ht="29.25" customHeight="1" hidden="1">
      <c r="A85" s="151"/>
      <c r="B85" s="143"/>
      <c r="C85" s="51" t="s">
        <v>234</v>
      </c>
      <c r="D85" s="9"/>
      <c r="E85" s="9"/>
      <c r="F85" s="9"/>
      <c r="G85" s="9"/>
      <c r="H85" s="9">
        <f t="shared" si="12"/>
        <v>0</v>
      </c>
      <c r="I85" s="9"/>
      <c r="J85" s="9"/>
      <c r="K85" s="9"/>
      <c r="L85" s="9"/>
      <c r="M85" s="9">
        <f t="shared" si="13"/>
        <v>0</v>
      </c>
      <c r="N85" s="10" t="e">
        <f t="shared" si="14"/>
        <v>#DIV/0!</v>
      </c>
    </row>
    <row r="86" spans="1:14" ht="19.5">
      <c r="A86" s="151"/>
      <c r="B86" s="157" t="s">
        <v>41</v>
      </c>
      <c r="C86" s="37" t="s">
        <v>312</v>
      </c>
      <c r="D86" s="9"/>
      <c r="E86" s="9"/>
      <c r="F86" s="9"/>
      <c r="G86" s="9"/>
      <c r="H86" s="9">
        <f t="shared" si="12"/>
        <v>0</v>
      </c>
      <c r="I86" s="9">
        <v>429</v>
      </c>
      <c r="J86" s="9"/>
      <c r="K86" s="9"/>
      <c r="L86" s="9"/>
      <c r="M86" s="9">
        <f t="shared" si="13"/>
        <v>429</v>
      </c>
      <c r="N86" s="10"/>
    </row>
    <row r="87" spans="1:14" ht="9.75">
      <c r="A87" s="151"/>
      <c r="B87" s="158"/>
      <c r="C87" s="37" t="s">
        <v>235</v>
      </c>
      <c r="D87" s="9"/>
      <c r="E87" s="9">
        <v>32000</v>
      </c>
      <c r="F87" s="9"/>
      <c r="G87" s="9"/>
      <c r="H87" s="9">
        <f t="shared" si="12"/>
        <v>32000</v>
      </c>
      <c r="I87" s="9">
        <v>39249</v>
      </c>
      <c r="J87" s="9">
        <v>132080</v>
      </c>
      <c r="K87" s="9"/>
      <c r="L87" s="9"/>
      <c r="M87" s="9">
        <f t="shared" si="13"/>
        <v>171329</v>
      </c>
      <c r="N87" s="10">
        <f t="shared" si="14"/>
        <v>5.35403125</v>
      </c>
    </row>
    <row r="88" spans="1:14" ht="9.75">
      <c r="A88" s="151"/>
      <c r="B88" s="158"/>
      <c r="C88" s="37" t="s">
        <v>218</v>
      </c>
      <c r="D88" s="9">
        <v>681350</v>
      </c>
      <c r="E88" s="9"/>
      <c r="F88" s="9"/>
      <c r="G88" s="9"/>
      <c r="H88" s="9">
        <f t="shared" si="12"/>
        <v>681350</v>
      </c>
      <c r="I88" s="9">
        <v>607596</v>
      </c>
      <c r="J88" s="9">
        <v>54862</v>
      </c>
      <c r="K88" s="9"/>
      <c r="L88" s="9"/>
      <c r="M88" s="9">
        <f t="shared" si="13"/>
        <v>662458</v>
      </c>
      <c r="N88" s="10">
        <f>M88/H88</f>
        <v>0.9722726939164893</v>
      </c>
    </row>
    <row r="89" spans="1:14" ht="48.75">
      <c r="A89" s="151"/>
      <c r="B89" s="158"/>
      <c r="C89" s="37" t="s">
        <v>278</v>
      </c>
      <c r="D89" s="9">
        <v>352000</v>
      </c>
      <c r="E89" s="9"/>
      <c r="F89" s="9"/>
      <c r="G89" s="9"/>
      <c r="H89" s="9">
        <f t="shared" si="12"/>
        <v>352000</v>
      </c>
      <c r="I89" s="9">
        <v>344696</v>
      </c>
      <c r="J89" s="9"/>
      <c r="K89" s="9"/>
      <c r="L89" s="9"/>
      <c r="M89" s="9">
        <f t="shared" si="13"/>
        <v>344696</v>
      </c>
      <c r="N89" s="10">
        <f>M89/H89</f>
        <v>0.97925</v>
      </c>
    </row>
    <row r="90" spans="1:14" ht="19.5" customHeight="1" hidden="1">
      <c r="A90" s="151"/>
      <c r="B90" s="158"/>
      <c r="C90" s="37" t="s">
        <v>222</v>
      </c>
      <c r="D90" s="9"/>
      <c r="E90" s="9"/>
      <c r="F90" s="9"/>
      <c r="G90" s="9"/>
      <c r="H90" s="9">
        <f t="shared" si="12"/>
        <v>0</v>
      </c>
      <c r="I90" s="9"/>
      <c r="J90" s="9"/>
      <c r="K90" s="9"/>
      <c r="L90" s="9"/>
      <c r="M90" s="9">
        <f t="shared" si="13"/>
        <v>0</v>
      </c>
      <c r="N90" s="10" t="e">
        <f>M90/H90</f>
        <v>#DIV/0!</v>
      </c>
    </row>
    <row r="91" spans="1:14" ht="9.75">
      <c r="A91" s="151"/>
      <c r="B91" s="158"/>
      <c r="C91" s="37" t="s">
        <v>219</v>
      </c>
      <c r="D91" s="9"/>
      <c r="E91" s="9"/>
      <c r="F91" s="9"/>
      <c r="G91" s="9"/>
      <c r="H91" s="9">
        <f t="shared" si="12"/>
        <v>0</v>
      </c>
      <c r="I91" s="9">
        <v>70560</v>
      </c>
      <c r="J91" s="9">
        <v>18213</v>
      </c>
      <c r="K91" s="9"/>
      <c r="L91" s="9"/>
      <c r="M91" s="9">
        <f t="shared" si="13"/>
        <v>88773</v>
      </c>
      <c r="N91" s="10"/>
    </row>
    <row r="92" spans="1:14" ht="9.75">
      <c r="A92" s="151"/>
      <c r="B92" s="158"/>
      <c r="C92" s="37" t="s">
        <v>221</v>
      </c>
      <c r="D92" s="9">
        <v>159024</v>
      </c>
      <c r="E92" s="9"/>
      <c r="F92" s="9"/>
      <c r="G92" s="9"/>
      <c r="H92" s="9">
        <f t="shared" si="12"/>
        <v>159024</v>
      </c>
      <c r="I92" s="9">
        <v>268537</v>
      </c>
      <c r="J92" s="9"/>
      <c r="K92" s="9"/>
      <c r="L92" s="9"/>
      <c r="M92" s="9">
        <f t="shared" si="13"/>
        <v>268537</v>
      </c>
      <c r="N92" s="10">
        <f aca="true" t="shared" si="15" ref="N92:N123">M92/H92</f>
        <v>1.6886570580541302</v>
      </c>
    </row>
    <row r="93" spans="1:14" ht="39" customHeight="1" hidden="1">
      <c r="A93" s="151"/>
      <c r="B93" s="158"/>
      <c r="C93" s="37" t="s">
        <v>231</v>
      </c>
      <c r="D93" s="9"/>
      <c r="E93" s="9"/>
      <c r="F93" s="9"/>
      <c r="G93" s="9"/>
      <c r="H93" s="9">
        <f aca="true" t="shared" si="16" ref="H93:H98">SUM(D93:G93)</f>
        <v>0</v>
      </c>
      <c r="I93" s="9"/>
      <c r="J93" s="9"/>
      <c r="K93" s="9"/>
      <c r="L93" s="9"/>
      <c r="M93" s="9">
        <f t="shared" si="13"/>
        <v>0</v>
      </c>
      <c r="N93" s="10" t="e">
        <f t="shared" si="15"/>
        <v>#DIV/0!</v>
      </c>
    </row>
    <row r="94" spans="1:14" ht="39">
      <c r="A94" s="151"/>
      <c r="B94" s="158"/>
      <c r="C94" s="37" t="s">
        <v>231</v>
      </c>
      <c r="D94" s="9">
        <v>12200</v>
      </c>
      <c r="E94" s="9"/>
      <c r="F94" s="9"/>
      <c r="G94" s="9"/>
      <c r="H94" s="9">
        <f t="shared" si="16"/>
        <v>12200</v>
      </c>
      <c r="I94" s="9">
        <v>12200</v>
      </c>
      <c r="J94" s="9"/>
      <c r="K94" s="9"/>
      <c r="L94" s="9"/>
      <c r="M94" s="9">
        <f t="shared" si="13"/>
        <v>12200</v>
      </c>
      <c r="N94" s="10">
        <f t="shared" si="15"/>
        <v>1</v>
      </c>
    </row>
    <row r="95" spans="1:14" ht="29.25">
      <c r="A95" s="151"/>
      <c r="B95" s="158"/>
      <c r="C95" s="37" t="s">
        <v>236</v>
      </c>
      <c r="D95" s="9"/>
      <c r="E95" s="9">
        <v>12000</v>
      </c>
      <c r="F95" s="9"/>
      <c r="G95" s="9"/>
      <c r="H95" s="9">
        <f t="shared" si="16"/>
        <v>12000</v>
      </c>
      <c r="I95" s="9"/>
      <c r="J95" s="9">
        <v>13065</v>
      </c>
      <c r="K95" s="9"/>
      <c r="L95" s="9"/>
      <c r="M95" s="9">
        <f t="shared" si="13"/>
        <v>13065</v>
      </c>
      <c r="N95" s="10">
        <f t="shared" si="15"/>
        <v>1.08875</v>
      </c>
    </row>
    <row r="96" spans="1:14" ht="39" customHeight="1" hidden="1">
      <c r="A96" s="151"/>
      <c r="B96" s="158"/>
      <c r="C96" s="37" t="s">
        <v>217</v>
      </c>
      <c r="D96" s="9"/>
      <c r="E96" s="9"/>
      <c r="F96" s="9"/>
      <c r="G96" s="9"/>
      <c r="H96" s="9">
        <f t="shared" si="16"/>
        <v>0</v>
      </c>
      <c r="I96" s="9"/>
      <c r="J96" s="9"/>
      <c r="K96" s="9"/>
      <c r="L96" s="9"/>
      <c r="M96" s="9">
        <f t="shared" si="13"/>
        <v>0</v>
      </c>
      <c r="N96" s="10" t="e">
        <f t="shared" si="15"/>
        <v>#DIV/0!</v>
      </c>
    </row>
    <row r="97" spans="1:14" ht="29.25">
      <c r="A97" s="151"/>
      <c r="B97" s="158"/>
      <c r="C97" s="37" t="s">
        <v>237</v>
      </c>
      <c r="D97" s="9">
        <v>30000</v>
      </c>
      <c r="E97" s="9"/>
      <c r="F97" s="9"/>
      <c r="G97" s="9"/>
      <c r="H97" s="9">
        <f t="shared" si="16"/>
        <v>30000</v>
      </c>
      <c r="I97" s="9">
        <v>21925</v>
      </c>
      <c r="J97" s="9"/>
      <c r="K97" s="9"/>
      <c r="L97" s="9"/>
      <c r="M97" s="9">
        <f t="shared" si="13"/>
        <v>21925</v>
      </c>
      <c r="N97" s="10">
        <f t="shared" si="15"/>
        <v>0.7308333333333333</v>
      </c>
    </row>
    <row r="98" spans="1:14" ht="39">
      <c r="A98" s="151"/>
      <c r="B98" s="159"/>
      <c r="C98" s="51" t="s">
        <v>333</v>
      </c>
      <c r="D98" s="9">
        <v>19560</v>
      </c>
      <c r="E98" s="9"/>
      <c r="F98" s="9"/>
      <c r="G98" s="9"/>
      <c r="H98" s="9">
        <f t="shared" si="16"/>
        <v>19560</v>
      </c>
      <c r="I98" s="9">
        <v>19560</v>
      </c>
      <c r="J98" s="9"/>
      <c r="K98" s="9"/>
      <c r="L98" s="9"/>
      <c r="M98" s="9">
        <f t="shared" si="13"/>
        <v>19560</v>
      </c>
      <c r="N98" s="10">
        <f t="shared" si="15"/>
        <v>1</v>
      </c>
    </row>
    <row r="99" spans="1:14" ht="9.75">
      <c r="A99" s="151"/>
      <c r="B99" s="89" t="s">
        <v>42</v>
      </c>
      <c r="C99" s="53"/>
      <c r="D99" s="11">
        <f>SUM(D84:D98)</f>
        <v>1254134</v>
      </c>
      <c r="E99" s="11">
        <f>SUM(E84:E98)</f>
        <v>44000</v>
      </c>
      <c r="F99" s="11">
        <f>SUM(F84:F98)</f>
        <v>0</v>
      </c>
      <c r="G99" s="11">
        <f>SUM(G84:G98)</f>
        <v>0</v>
      </c>
      <c r="H99" s="11">
        <f>SUM(H84:H98)</f>
        <v>1298134</v>
      </c>
      <c r="I99" s="11">
        <f>SUM(I86:I98)</f>
        <v>1384752</v>
      </c>
      <c r="J99" s="11">
        <f>SUM(J86:J98)</f>
        <v>218220</v>
      </c>
      <c r="K99" s="11">
        <f>SUM(K86:K98)</f>
        <v>0</v>
      </c>
      <c r="L99" s="11">
        <f>SUM(L86:L98)</f>
        <v>0</v>
      </c>
      <c r="M99" s="11">
        <f t="shared" si="13"/>
        <v>1602972</v>
      </c>
      <c r="N99" s="39">
        <f t="shared" si="15"/>
        <v>1.234827837495975</v>
      </c>
    </row>
    <row r="100" spans="1:14" ht="39">
      <c r="A100" s="151"/>
      <c r="B100" s="20" t="s">
        <v>43</v>
      </c>
      <c r="C100" s="36" t="s">
        <v>214</v>
      </c>
      <c r="D100" s="9"/>
      <c r="E100" s="9"/>
      <c r="F100" s="9"/>
      <c r="G100" s="9">
        <f>78000+10000</f>
        <v>88000</v>
      </c>
      <c r="H100" s="9">
        <f aca="true" t="shared" si="17" ref="H100:H108">SUM(D100:G100)</f>
        <v>88000</v>
      </c>
      <c r="I100" s="9"/>
      <c r="J100" s="9"/>
      <c r="K100" s="9"/>
      <c r="L100" s="9">
        <v>87999</v>
      </c>
      <c r="M100" s="9">
        <f t="shared" si="13"/>
        <v>87999</v>
      </c>
      <c r="N100" s="10">
        <f t="shared" si="15"/>
        <v>0.9999886363636363</v>
      </c>
    </row>
    <row r="101" spans="1:14" ht="9.75">
      <c r="A101" s="151"/>
      <c r="B101" s="59" t="s">
        <v>44</v>
      </c>
      <c r="C101" s="60"/>
      <c r="D101" s="11">
        <f>SUM(D100)</f>
        <v>0</v>
      </c>
      <c r="E101" s="11">
        <f>SUM(E100)</f>
        <v>0</v>
      </c>
      <c r="F101" s="11">
        <f>SUM(F100)</f>
        <v>0</v>
      </c>
      <c r="G101" s="11">
        <f>SUM(G100)</f>
        <v>88000</v>
      </c>
      <c r="H101" s="11">
        <f t="shared" si="17"/>
        <v>88000</v>
      </c>
      <c r="I101" s="11">
        <f>SUM(I100)</f>
        <v>0</v>
      </c>
      <c r="J101" s="11">
        <f>SUM(J100)</f>
        <v>0</v>
      </c>
      <c r="K101" s="11">
        <f>SUM(K100)</f>
        <v>0</v>
      </c>
      <c r="L101" s="11">
        <f>SUM(L100)</f>
        <v>87999</v>
      </c>
      <c r="M101" s="11">
        <f t="shared" si="13"/>
        <v>87999</v>
      </c>
      <c r="N101" s="39">
        <f t="shared" si="15"/>
        <v>0.9999886363636363</v>
      </c>
    </row>
    <row r="102" spans="1:14" ht="39" customHeight="1" hidden="1">
      <c r="A102" s="151"/>
      <c r="B102" s="46" t="s">
        <v>155</v>
      </c>
      <c r="C102" s="44" t="s">
        <v>232</v>
      </c>
      <c r="D102" s="9"/>
      <c r="E102" s="9"/>
      <c r="F102" s="9"/>
      <c r="G102" s="9"/>
      <c r="H102" s="9">
        <f t="shared" si="17"/>
        <v>0</v>
      </c>
      <c r="I102" s="9"/>
      <c r="J102" s="9"/>
      <c r="K102" s="9">
        <v>0</v>
      </c>
      <c r="L102" s="9"/>
      <c r="M102" s="9">
        <f t="shared" si="13"/>
        <v>0</v>
      </c>
      <c r="N102" s="10" t="e">
        <f t="shared" si="15"/>
        <v>#DIV/0!</v>
      </c>
    </row>
    <row r="103" spans="1:14" ht="9.75" customHeight="1" hidden="1">
      <c r="A103" s="151"/>
      <c r="B103" s="52" t="s">
        <v>169</v>
      </c>
      <c r="C103" s="53"/>
      <c r="D103" s="11">
        <f>SUM(D102)</f>
        <v>0</v>
      </c>
      <c r="E103" s="11">
        <f>SUM(E102)</f>
        <v>0</v>
      </c>
      <c r="F103" s="11">
        <f>SUM(F102)</f>
        <v>0</v>
      </c>
      <c r="G103" s="11">
        <f>SUM(G102)</f>
        <v>0</v>
      </c>
      <c r="H103" s="11">
        <f t="shared" si="17"/>
        <v>0</v>
      </c>
      <c r="I103" s="11">
        <f>SUM(I102)</f>
        <v>0</v>
      </c>
      <c r="J103" s="11">
        <f>SUM(J102)</f>
        <v>0</v>
      </c>
      <c r="K103" s="11">
        <f>SUM(K102)</f>
        <v>0</v>
      </c>
      <c r="L103" s="11">
        <f>SUM(L102)</f>
        <v>0</v>
      </c>
      <c r="M103" s="11">
        <f t="shared" si="13"/>
        <v>0</v>
      </c>
      <c r="N103" s="10" t="e">
        <f t="shared" si="15"/>
        <v>#DIV/0!</v>
      </c>
    </row>
    <row r="104" spans="1:14" ht="19.5" customHeight="1" hidden="1">
      <c r="A104" s="151"/>
      <c r="B104" s="20" t="s">
        <v>45</v>
      </c>
      <c r="C104" s="51" t="s">
        <v>238</v>
      </c>
      <c r="D104" s="9"/>
      <c r="E104" s="9"/>
      <c r="F104" s="9"/>
      <c r="G104" s="9"/>
      <c r="H104" s="9">
        <f t="shared" si="17"/>
        <v>0</v>
      </c>
      <c r="I104" s="9"/>
      <c r="J104" s="9"/>
      <c r="K104" s="9"/>
      <c r="L104" s="9"/>
      <c r="M104" s="9">
        <f t="shared" si="13"/>
        <v>0</v>
      </c>
      <c r="N104" s="10" t="e">
        <f t="shared" si="15"/>
        <v>#DIV/0!</v>
      </c>
    </row>
    <row r="105" spans="1:14" ht="9.75" customHeight="1" hidden="1">
      <c r="A105" s="151"/>
      <c r="B105" s="20"/>
      <c r="C105" s="51" t="s">
        <v>221</v>
      </c>
      <c r="D105" s="9"/>
      <c r="E105" s="9"/>
      <c r="F105" s="9"/>
      <c r="G105" s="9"/>
      <c r="H105" s="9">
        <f t="shared" si="17"/>
        <v>0</v>
      </c>
      <c r="I105" s="9"/>
      <c r="J105" s="9"/>
      <c r="K105" s="9"/>
      <c r="L105" s="9"/>
      <c r="M105" s="9">
        <f t="shared" si="13"/>
        <v>0</v>
      </c>
      <c r="N105" s="10" t="e">
        <f t="shared" si="15"/>
        <v>#DIV/0!</v>
      </c>
    </row>
    <row r="106" spans="1:14" ht="29.25" customHeight="1" hidden="1">
      <c r="A106" s="151"/>
      <c r="B106" s="20"/>
      <c r="C106" s="51" t="s">
        <v>237</v>
      </c>
      <c r="D106" s="9"/>
      <c r="E106" s="9"/>
      <c r="F106" s="9"/>
      <c r="G106" s="9"/>
      <c r="H106" s="9">
        <f t="shared" si="17"/>
        <v>0</v>
      </c>
      <c r="I106" s="9"/>
      <c r="J106" s="9"/>
      <c r="K106" s="9"/>
      <c r="L106" s="9"/>
      <c r="M106" s="9">
        <f t="shared" si="13"/>
        <v>0</v>
      </c>
      <c r="N106" s="10" t="e">
        <f t="shared" si="15"/>
        <v>#DIV/0!</v>
      </c>
    </row>
    <row r="107" spans="1:14" ht="39">
      <c r="A107" s="151"/>
      <c r="B107" s="174" t="s">
        <v>45</v>
      </c>
      <c r="C107" s="51" t="s">
        <v>217</v>
      </c>
      <c r="D107" s="9">
        <v>21366</v>
      </c>
      <c r="E107" s="9"/>
      <c r="F107" s="9"/>
      <c r="G107" s="9"/>
      <c r="H107" s="9">
        <f t="shared" si="17"/>
        <v>21366</v>
      </c>
      <c r="I107" s="9">
        <v>19191</v>
      </c>
      <c r="J107" s="9"/>
      <c r="K107" s="9"/>
      <c r="L107" s="9"/>
      <c r="M107" s="9">
        <f t="shared" si="13"/>
        <v>19191</v>
      </c>
      <c r="N107" s="10">
        <f t="shared" si="15"/>
        <v>0.8982027520359449</v>
      </c>
    </row>
    <row r="108" spans="1:14" ht="39" customHeight="1" hidden="1">
      <c r="A108" s="151"/>
      <c r="B108" s="175"/>
      <c r="C108" s="51" t="s">
        <v>274</v>
      </c>
      <c r="D108" s="16"/>
      <c r="E108" s="16"/>
      <c r="F108" s="16"/>
      <c r="G108" s="16"/>
      <c r="H108" s="16">
        <f t="shared" si="17"/>
        <v>0</v>
      </c>
      <c r="I108" s="16"/>
      <c r="J108" s="16"/>
      <c r="K108" s="16"/>
      <c r="L108" s="16"/>
      <c r="M108" s="9">
        <f t="shared" si="13"/>
        <v>0</v>
      </c>
      <c r="N108" s="10" t="e">
        <f t="shared" si="15"/>
        <v>#DIV/0!</v>
      </c>
    </row>
    <row r="109" spans="1:14" ht="9.75">
      <c r="A109" s="46"/>
      <c r="B109" s="166" t="s">
        <v>327</v>
      </c>
      <c r="C109" s="167"/>
      <c r="D109" s="11">
        <f aca="true" t="shared" si="18" ref="D109:M109">SUM(D107:D108)</f>
        <v>21366</v>
      </c>
      <c r="E109" s="11">
        <f t="shared" si="18"/>
        <v>0</v>
      </c>
      <c r="F109" s="11">
        <f t="shared" si="18"/>
        <v>0</v>
      </c>
      <c r="G109" s="11">
        <f t="shared" si="18"/>
        <v>0</v>
      </c>
      <c r="H109" s="11">
        <f t="shared" si="18"/>
        <v>21366</v>
      </c>
      <c r="I109" s="11">
        <f t="shared" si="18"/>
        <v>19191</v>
      </c>
      <c r="J109" s="11">
        <f t="shared" si="18"/>
        <v>0</v>
      </c>
      <c r="K109" s="11">
        <f t="shared" si="18"/>
        <v>0</v>
      </c>
      <c r="L109" s="11">
        <f t="shared" si="18"/>
        <v>0</v>
      </c>
      <c r="M109" s="11">
        <f t="shared" si="18"/>
        <v>19191</v>
      </c>
      <c r="N109" s="39">
        <f t="shared" si="15"/>
        <v>0.8982027520359449</v>
      </c>
    </row>
    <row r="110" spans="1:14" ht="9.75">
      <c r="A110" s="58" t="s">
        <v>46</v>
      </c>
      <c r="B110" s="55"/>
      <c r="C110" s="55"/>
      <c r="D110" s="13">
        <f aca="true" t="shared" si="19" ref="D110:M110">SUM(D103,D109,D101,D99,D83)</f>
        <v>1348850</v>
      </c>
      <c r="E110" s="13">
        <f t="shared" si="19"/>
        <v>54650</v>
      </c>
      <c r="F110" s="13">
        <f t="shared" si="19"/>
        <v>1035200</v>
      </c>
      <c r="G110" s="13">
        <f t="shared" si="19"/>
        <v>614900</v>
      </c>
      <c r="H110" s="13">
        <f t="shared" si="19"/>
        <v>3053600</v>
      </c>
      <c r="I110" s="13">
        <f t="shared" si="19"/>
        <v>1453486</v>
      </c>
      <c r="J110" s="13">
        <f t="shared" si="19"/>
        <v>242215</v>
      </c>
      <c r="K110" s="13">
        <f t="shared" si="19"/>
        <v>1035200</v>
      </c>
      <c r="L110" s="13">
        <f t="shared" si="19"/>
        <v>614899</v>
      </c>
      <c r="M110" s="13">
        <f t="shared" si="19"/>
        <v>3345800</v>
      </c>
      <c r="N110" s="124">
        <f t="shared" si="15"/>
        <v>1.095690332722033</v>
      </c>
    </row>
    <row r="111" spans="1:14" ht="39">
      <c r="A111" s="150" t="s">
        <v>47</v>
      </c>
      <c r="B111" s="20" t="s">
        <v>48</v>
      </c>
      <c r="C111" s="51" t="s">
        <v>232</v>
      </c>
      <c r="D111" s="9"/>
      <c r="E111" s="9"/>
      <c r="F111" s="9">
        <v>36940</v>
      </c>
      <c r="G111" s="9"/>
      <c r="H111" s="9">
        <f aca="true" t="shared" si="20" ref="H111:H127">SUM(D111:G111)</f>
        <v>36940</v>
      </c>
      <c r="I111" s="9"/>
      <c r="J111" s="9"/>
      <c r="K111" s="9">
        <v>36932</v>
      </c>
      <c r="L111" s="9"/>
      <c r="M111" s="9">
        <f aca="true" t="shared" si="21" ref="M111:M127">SUM(I111:L111)</f>
        <v>36932</v>
      </c>
      <c r="N111" s="10">
        <f t="shared" si="15"/>
        <v>0.9997834325933946</v>
      </c>
    </row>
    <row r="112" spans="1:14" ht="9.75">
      <c r="A112" s="151"/>
      <c r="B112" s="61" t="s">
        <v>49</v>
      </c>
      <c r="C112" s="62"/>
      <c r="D112" s="11">
        <f>SUM(D111)</f>
        <v>0</v>
      </c>
      <c r="E112" s="11">
        <f>SUM(E111)</f>
        <v>0</v>
      </c>
      <c r="F112" s="11">
        <f>SUM(F111)</f>
        <v>36940</v>
      </c>
      <c r="G112" s="11">
        <f>SUM(G111)</f>
        <v>0</v>
      </c>
      <c r="H112" s="11">
        <f t="shared" si="20"/>
        <v>36940</v>
      </c>
      <c r="I112" s="11">
        <f>SUM(I111)</f>
        <v>0</v>
      </c>
      <c r="J112" s="11">
        <f>SUM(J111)</f>
        <v>0</v>
      </c>
      <c r="K112" s="11">
        <f>SUM(K111)</f>
        <v>36932</v>
      </c>
      <c r="L112" s="11">
        <f>SUM(L111)</f>
        <v>0</v>
      </c>
      <c r="M112" s="11">
        <f t="shared" si="21"/>
        <v>36932</v>
      </c>
      <c r="N112" s="39">
        <f t="shared" si="15"/>
        <v>0.9997834325933946</v>
      </c>
    </row>
    <row r="113" spans="1:14" ht="39" customHeight="1" hidden="1">
      <c r="A113" s="151"/>
      <c r="B113" s="46" t="s">
        <v>164</v>
      </c>
      <c r="C113" s="44" t="s">
        <v>232</v>
      </c>
      <c r="D113" s="9"/>
      <c r="E113" s="9"/>
      <c r="F113" s="9"/>
      <c r="G113" s="9"/>
      <c r="H113" s="9">
        <f t="shared" si="20"/>
        <v>0</v>
      </c>
      <c r="I113" s="9"/>
      <c r="J113" s="9"/>
      <c r="K113" s="9"/>
      <c r="L113" s="9"/>
      <c r="M113" s="9">
        <f t="shared" si="21"/>
        <v>0</v>
      </c>
      <c r="N113" s="10" t="e">
        <f t="shared" si="15"/>
        <v>#DIV/0!</v>
      </c>
    </row>
    <row r="114" spans="1:14" ht="39" customHeight="1" hidden="1">
      <c r="A114" s="151"/>
      <c r="B114" s="56"/>
      <c r="C114" s="51" t="s">
        <v>214</v>
      </c>
      <c r="D114" s="9"/>
      <c r="E114" s="9"/>
      <c r="F114" s="9"/>
      <c r="G114" s="9"/>
      <c r="H114" s="9">
        <f t="shared" si="20"/>
        <v>0</v>
      </c>
      <c r="I114" s="9"/>
      <c r="J114" s="9"/>
      <c r="K114" s="9"/>
      <c r="L114" s="9"/>
      <c r="M114" s="9">
        <f t="shared" si="21"/>
        <v>0</v>
      </c>
      <c r="N114" s="10" t="e">
        <f t="shared" si="15"/>
        <v>#DIV/0!</v>
      </c>
    </row>
    <row r="115" spans="1:14" ht="9.75" customHeight="1" hidden="1">
      <c r="A115" s="151"/>
      <c r="B115" s="52" t="s">
        <v>165</v>
      </c>
      <c r="C115" s="53"/>
      <c r="D115" s="30">
        <f>SUM(D113:D114)</f>
        <v>0</v>
      </c>
      <c r="E115" s="30">
        <f>SUM(E113:E114)</f>
        <v>0</v>
      </c>
      <c r="F115" s="30">
        <f>SUM(F113:F114)</f>
        <v>0</v>
      </c>
      <c r="G115" s="30">
        <f>SUM(G113:G114)</f>
        <v>0</v>
      </c>
      <c r="H115" s="30">
        <f t="shared" si="20"/>
        <v>0</v>
      </c>
      <c r="I115" s="30">
        <f>SUM(I113:I114)</f>
        <v>0</v>
      </c>
      <c r="J115" s="30">
        <f>SUM(J113:J114)</f>
        <v>0</v>
      </c>
      <c r="K115" s="30">
        <f>SUM(K113:K114)</f>
        <v>0</v>
      </c>
      <c r="L115" s="30">
        <f>SUM(L113:L114)</f>
        <v>0</v>
      </c>
      <c r="M115" s="30">
        <f t="shared" si="21"/>
        <v>0</v>
      </c>
      <c r="N115" s="10" t="e">
        <f t="shared" si="15"/>
        <v>#DIV/0!</v>
      </c>
    </row>
    <row r="116" spans="1:14" ht="39" customHeight="1" hidden="1">
      <c r="A116" s="151"/>
      <c r="B116" s="63" t="s">
        <v>202</v>
      </c>
      <c r="C116" s="64" t="s">
        <v>232</v>
      </c>
      <c r="D116" s="9"/>
      <c r="E116" s="9"/>
      <c r="F116" s="9"/>
      <c r="G116" s="9"/>
      <c r="H116" s="9">
        <f t="shared" si="20"/>
        <v>0</v>
      </c>
      <c r="I116" s="9"/>
      <c r="J116" s="9"/>
      <c r="K116" s="9"/>
      <c r="L116" s="9"/>
      <c r="M116" s="9">
        <f t="shared" si="21"/>
        <v>0</v>
      </c>
      <c r="N116" s="10" t="e">
        <f t="shared" si="15"/>
        <v>#DIV/0!</v>
      </c>
    </row>
    <row r="117" spans="1:14" ht="9.75" customHeight="1" hidden="1">
      <c r="A117" s="151"/>
      <c r="B117" s="147" t="s">
        <v>203</v>
      </c>
      <c r="C117" s="148"/>
      <c r="D117" s="34">
        <f>SUM(D116)</f>
        <v>0</v>
      </c>
      <c r="E117" s="34">
        <f>SUM(E116)</f>
        <v>0</v>
      </c>
      <c r="F117" s="11">
        <f>SUM(F116)</f>
        <v>0</v>
      </c>
      <c r="G117" s="11">
        <f>SUM(G116)</f>
        <v>0</v>
      </c>
      <c r="H117" s="11">
        <f t="shared" si="20"/>
        <v>0</v>
      </c>
      <c r="I117" s="34">
        <f>SUM(I116)</f>
        <v>0</v>
      </c>
      <c r="J117" s="34">
        <f>SUM(J116)</f>
        <v>0</v>
      </c>
      <c r="K117" s="38">
        <f>SUM(K116)</f>
        <v>0</v>
      </c>
      <c r="L117" s="38">
        <f>SUM(L116)</f>
        <v>0</v>
      </c>
      <c r="M117" s="38">
        <f t="shared" si="21"/>
        <v>0</v>
      </c>
      <c r="N117" s="10" t="e">
        <f t="shared" si="15"/>
        <v>#DIV/0!</v>
      </c>
    </row>
    <row r="118" spans="1:14" s="17" customFormat="1" ht="40.5" customHeight="1">
      <c r="A118" s="151"/>
      <c r="B118" s="106" t="s">
        <v>322</v>
      </c>
      <c r="C118" s="106" t="s">
        <v>232</v>
      </c>
      <c r="D118" s="103"/>
      <c r="E118" s="103"/>
      <c r="F118" s="104">
        <f>93840+6000+179760-12040</f>
        <v>267560</v>
      </c>
      <c r="G118" s="104"/>
      <c r="H118" s="104">
        <f t="shared" si="20"/>
        <v>267560</v>
      </c>
      <c r="I118" s="103"/>
      <c r="J118" s="103"/>
      <c r="K118" s="9">
        <v>267242</v>
      </c>
      <c r="L118" s="105"/>
      <c r="M118" s="9">
        <f t="shared" si="21"/>
        <v>267242</v>
      </c>
      <c r="N118" s="10">
        <f t="shared" si="15"/>
        <v>0.9988114815368515</v>
      </c>
    </row>
    <row r="119" spans="1:14" s="17" customFormat="1" ht="12" customHeight="1">
      <c r="A119" s="43"/>
      <c r="B119" s="147" t="s">
        <v>323</v>
      </c>
      <c r="C119" s="148"/>
      <c r="D119" s="107">
        <f>SUM(D118)</f>
        <v>0</v>
      </c>
      <c r="E119" s="107">
        <f>SUM(E118)</f>
        <v>0</v>
      </c>
      <c r="F119" s="109">
        <f>SUM(F118)</f>
        <v>267560</v>
      </c>
      <c r="G119" s="107">
        <f>SUM(G118)</f>
        <v>0</v>
      </c>
      <c r="H119" s="108">
        <f t="shared" si="20"/>
        <v>267560</v>
      </c>
      <c r="I119" s="107">
        <f>SUM(I118)</f>
        <v>0</v>
      </c>
      <c r="J119" s="107">
        <f>SUM(J118)</f>
        <v>0</v>
      </c>
      <c r="K119" s="109">
        <f>SUM(K118)</f>
        <v>267242</v>
      </c>
      <c r="L119" s="107">
        <f>SUM(L118)</f>
        <v>0</v>
      </c>
      <c r="M119" s="109">
        <f t="shared" si="21"/>
        <v>267242</v>
      </c>
      <c r="N119" s="39">
        <f t="shared" si="15"/>
        <v>0.9988114815368515</v>
      </c>
    </row>
    <row r="120" spans="1:14" ht="14.25" customHeight="1">
      <c r="A120" s="57" t="s">
        <v>50</v>
      </c>
      <c r="B120" s="65"/>
      <c r="C120" s="65"/>
      <c r="D120" s="33">
        <f>SUM(D119,D117,D115,D112)</f>
        <v>0</v>
      </c>
      <c r="E120" s="33">
        <f>SUM(E119,E117,E115,E112)</f>
        <v>0</v>
      </c>
      <c r="F120" s="33">
        <f>SUM(F119,F117,F115,F112)</f>
        <v>304500</v>
      </c>
      <c r="G120" s="33">
        <f>SUM(G119,G117,G115,G112)</f>
        <v>0</v>
      </c>
      <c r="H120" s="33">
        <f t="shared" si="20"/>
        <v>304500</v>
      </c>
      <c r="I120" s="33">
        <f>SUM(I119,I117,I115,I112)</f>
        <v>0</v>
      </c>
      <c r="J120" s="33">
        <f>SUM(J119,J117,J115,J112)</f>
        <v>0</v>
      </c>
      <c r="K120" s="33">
        <f>SUM(K119,K117,K115,K112)</f>
        <v>304174</v>
      </c>
      <c r="L120" s="33">
        <f>SUM(L119,L117,L115,L112)</f>
        <v>0</v>
      </c>
      <c r="M120" s="33">
        <f t="shared" si="21"/>
        <v>304174</v>
      </c>
      <c r="N120" s="124">
        <f t="shared" si="15"/>
        <v>0.9989293924466338</v>
      </c>
    </row>
    <row r="121" spans="1:14" ht="9.75" customHeight="1" hidden="1">
      <c r="A121" s="153" t="s">
        <v>51</v>
      </c>
      <c r="B121" s="132" t="s">
        <v>52</v>
      </c>
      <c r="C121" s="51" t="s">
        <v>221</v>
      </c>
      <c r="D121" s="9"/>
      <c r="E121" s="9"/>
      <c r="F121" s="9"/>
      <c r="G121" s="9"/>
      <c r="H121" s="9">
        <f t="shared" si="20"/>
        <v>0</v>
      </c>
      <c r="I121" s="9"/>
      <c r="J121" s="9">
        <v>0</v>
      </c>
      <c r="K121" s="9"/>
      <c r="L121" s="9"/>
      <c r="M121" s="9">
        <f t="shared" si="21"/>
        <v>0</v>
      </c>
      <c r="N121" s="10" t="e">
        <f t="shared" si="15"/>
        <v>#DIV/0!</v>
      </c>
    </row>
    <row r="122" spans="1:14" ht="9.75" customHeight="1" hidden="1">
      <c r="A122" s="154"/>
      <c r="B122" s="145"/>
      <c r="C122" s="51" t="s">
        <v>219</v>
      </c>
      <c r="D122" s="9"/>
      <c r="E122" s="9"/>
      <c r="F122" s="9"/>
      <c r="G122" s="9"/>
      <c r="H122" s="9">
        <f t="shared" si="20"/>
        <v>0</v>
      </c>
      <c r="I122" s="9"/>
      <c r="J122" s="9"/>
      <c r="K122" s="9"/>
      <c r="L122" s="9"/>
      <c r="M122" s="9">
        <f t="shared" si="21"/>
        <v>0</v>
      </c>
      <c r="N122" s="10" t="e">
        <f t="shared" si="15"/>
        <v>#DIV/0!</v>
      </c>
    </row>
    <row r="123" spans="1:14" ht="9.75" customHeight="1" hidden="1">
      <c r="A123" s="154"/>
      <c r="B123" s="52" t="s">
        <v>53</v>
      </c>
      <c r="C123" s="53"/>
      <c r="D123" s="11">
        <f>SUM(D121:D122)</f>
        <v>0</v>
      </c>
      <c r="E123" s="11">
        <f>SUM(E121:E122)</f>
        <v>0</v>
      </c>
      <c r="F123" s="11">
        <f>SUM(F121:F122)</f>
        <v>0</v>
      </c>
      <c r="G123" s="11">
        <f>SUM(G121:G122)</f>
        <v>0</v>
      </c>
      <c r="H123" s="11">
        <f t="shared" si="20"/>
        <v>0</v>
      </c>
      <c r="I123" s="11">
        <f>SUM(I121:I122)</f>
        <v>0</v>
      </c>
      <c r="J123" s="11">
        <f>SUM(J121:J122)</f>
        <v>0</v>
      </c>
      <c r="K123" s="11">
        <f>SUM(K121:K122)</f>
        <v>0</v>
      </c>
      <c r="L123" s="11">
        <f>SUM(L121:L122)</f>
        <v>0</v>
      </c>
      <c r="M123" s="11">
        <f t="shared" si="21"/>
        <v>0</v>
      </c>
      <c r="N123" s="10" t="e">
        <f t="shared" si="15"/>
        <v>#DIV/0!</v>
      </c>
    </row>
    <row r="124" spans="1:14" s="17" customFormat="1" ht="9.75">
      <c r="A124" s="154"/>
      <c r="B124" s="150" t="s">
        <v>54</v>
      </c>
      <c r="C124" s="51" t="s">
        <v>331</v>
      </c>
      <c r="D124" s="16"/>
      <c r="E124" s="16"/>
      <c r="F124" s="16"/>
      <c r="G124" s="16"/>
      <c r="H124" s="9">
        <f t="shared" si="20"/>
        <v>0</v>
      </c>
      <c r="I124" s="16"/>
      <c r="J124" s="9">
        <v>7473</v>
      </c>
      <c r="K124" s="16"/>
      <c r="L124" s="16"/>
      <c r="M124" s="9">
        <f t="shared" si="21"/>
        <v>7473</v>
      </c>
      <c r="N124" s="10"/>
    </row>
    <row r="125" spans="1:14" ht="39">
      <c r="A125" s="154"/>
      <c r="B125" s="151"/>
      <c r="C125" s="51" t="s">
        <v>214</v>
      </c>
      <c r="D125" s="9"/>
      <c r="E125" s="9"/>
      <c r="F125" s="9"/>
      <c r="G125" s="9">
        <f>7200700+78300+76300</f>
        <v>7355300</v>
      </c>
      <c r="H125" s="9">
        <f t="shared" si="20"/>
        <v>7355300</v>
      </c>
      <c r="I125" s="9"/>
      <c r="J125" s="9"/>
      <c r="K125" s="9"/>
      <c r="L125" s="9">
        <v>7355163</v>
      </c>
      <c r="M125" s="9">
        <f t="shared" si="21"/>
        <v>7355163</v>
      </c>
      <c r="N125" s="10">
        <f aca="true" t="shared" si="22" ref="N125:N136">M125/H125</f>
        <v>0.9999813739752288</v>
      </c>
    </row>
    <row r="126" spans="1:14" ht="29.25">
      <c r="A126" s="154"/>
      <c r="B126" s="151"/>
      <c r="C126" s="51" t="s">
        <v>227</v>
      </c>
      <c r="D126" s="9"/>
      <c r="E126" s="9">
        <v>1100</v>
      </c>
      <c r="F126" s="9"/>
      <c r="G126" s="9"/>
      <c r="H126" s="9">
        <f t="shared" si="20"/>
        <v>1100</v>
      </c>
      <c r="I126" s="9"/>
      <c r="J126" s="9">
        <v>1100</v>
      </c>
      <c r="K126" s="9"/>
      <c r="L126" s="9"/>
      <c r="M126" s="9">
        <f t="shared" si="21"/>
        <v>1100</v>
      </c>
      <c r="N126" s="10">
        <f t="shared" si="22"/>
        <v>1</v>
      </c>
    </row>
    <row r="127" spans="1:14" ht="39">
      <c r="A127" s="154"/>
      <c r="B127" s="151"/>
      <c r="C127" s="51" t="s">
        <v>230</v>
      </c>
      <c r="D127" s="9"/>
      <c r="E127" s="9"/>
      <c r="F127" s="9"/>
      <c r="G127" s="9">
        <f>450000+25000+30000+32500</f>
        <v>537500</v>
      </c>
      <c r="H127" s="9">
        <f t="shared" si="20"/>
        <v>537500</v>
      </c>
      <c r="I127" s="9"/>
      <c r="J127" s="9"/>
      <c r="K127" s="9"/>
      <c r="L127" s="9">
        <v>537500</v>
      </c>
      <c r="M127" s="9">
        <f t="shared" si="21"/>
        <v>537500</v>
      </c>
      <c r="N127" s="10">
        <f t="shared" si="22"/>
        <v>1</v>
      </c>
    </row>
    <row r="128" spans="1:14" ht="9.75">
      <c r="A128" s="154"/>
      <c r="B128" s="52" t="s">
        <v>55</v>
      </c>
      <c r="C128" s="53"/>
      <c r="D128" s="11">
        <f>SUM(D125:D127)</f>
        <v>0</v>
      </c>
      <c r="E128" s="11">
        <f>SUM(E124:E127)</f>
        <v>1100</v>
      </c>
      <c r="F128" s="11">
        <f>SUM(F124:F127)</f>
        <v>0</v>
      </c>
      <c r="G128" s="11">
        <f>SUM(G124:G127)</f>
        <v>7892800</v>
      </c>
      <c r="H128" s="11">
        <f>SUM(H124:H127)</f>
        <v>7893900</v>
      </c>
      <c r="I128" s="11">
        <f>SUM(I125:I127)</f>
        <v>0</v>
      </c>
      <c r="J128" s="11">
        <f>SUM(J124:J127)</f>
        <v>8573</v>
      </c>
      <c r="K128" s="11">
        <f>SUM(K124:K127)</f>
        <v>0</v>
      </c>
      <c r="L128" s="11">
        <f>SUM(L124:L127)</f>
        <v>7892663</v>
      </c>
      <c r="M128" s="11">
        <f>SUM(M124:M127)</f>
        <v>7901236</v>
      </c>
      <c r="N128" s="39">
        <f t="shared" si="22"/>
        <v>1.0009293251751352</v>
      </c>
    </row>
    <row r="129" spans="1:14" ht="19.5">
      <c r="A129" s="154"/>
      <c r="B129" s="142" t="s">
        <v>131</v>
      </c>
      <c r="C129" s="51" t="s">
        <v>239</v>
      </c>
      <c r="D129" s="9">
        <v>75000</v>
      </c>
      <c r="E129" s="9"/>
      <c r="F129" s="9"/>
      <c r="G129" s="9"/>
      <c r="H129" s="9">
        <f aca="true" t="shared" si="23" ref="H129:H167">SUM(D129:G129)</f>
        <v>75000</v>
      </c>
      <c r="I129" s="9">
        <v>54166</v>
      </c>
      <c r="J129" s="9"/>
      <c r="K129" s="9"/>
      <c r="L129" s="9"/>
      <c r="M129" s="9">
        <f aca="true" t="shared" si="24" ref="M129:M161">SUM(I129:L129)</f>
        <v>54166</v>
      </c>
      <c r="N129" s="10">
        <f t="shared" si="22"/>
        <v>0.7222133333333334</v>
      </c>
    </row>
    <row r="130" spans="1:14" ht="9.75">
      <c r="A130" s="154"/>
      <c r="B130" s="143"/>
      <c r="C130" s="51" t="s">
        <v>218</v>
      </c>
      <c r="D130" s="9"/>
      <c r="E130" s="9"/>
      <c r="F130" s="9"/>
      <c r="G130" s="9"/>
      <c r="H130" s="9">
        <f t="shared" si="23"/>
        <v>0</v>
      </c>
      <c r="I130" s="9">
        <v>140</v>
      </c>
      <c r="J130" s="9"/>
      <c r="K130" s="9"/>
      <c r="L130" s="9"/>
      <c r="M130" s="9">
        <f t="shared" si="24"/>
        <v>140</v>
      </c>
      <c r="N130" s="10"/>
    </row>
    <row r="131" spans="1:14" ht="9.75" customHeight="1" hidden="1">
      <c r="A131" s="154"/>
      <c r="B131" s="146"/>
      <c r="C131" s="51" t="s">
        <v>221</v>
      </c>
      <c r="D131" s="9"/>
      <c r="E131" s="9"/>
      <c r="F131" s="9"/>
      <c r="G131" s="9"/>
      <c r="H131" s="9">
        <f t="shared" si="23"/>
        <v>0</v>
      </c>
      <c r="I131" s="9"/>
      <c r="J131" s="9"/>
      <c r="K131" s="9"/>
      <c r="L131" s="9"/>
      <c r="M131" s="9">
        <f t="shared" si="24"/>
        <v>0</v>
      </c>
      <c r="N131" s="10" t="e">
        <f t="shared" si="22"/>
        <v>#DIV/0!</v>
      </c>
    </row>
    <row r="132" spans="1:14" ht="9.75">
      <c r="A132" s="156"/>
      <c r="B132" s="52" t="s">
        <v>132</v>
      </c>
      <c r="C132" s="53"/>
      <c r="D132" s="11">
        <f>SUM(D129:D131)</f>
        <v>75000</v>
      </c>
      <c r="E132" s="11">
        <f>SUM(E129:E131)</f>
        <v>0</v>
      </c>
      <c r="F132" s="11">
        <f>SUM(F129:F131)</f>
        <v>0</v>
      </c>
      <c r="G132" s="11">
        <f>SUM(G129:G131)</f>
        <v>0</v>
      </c>
      <c r="H132" s="11">
        <f t="shared" si="23"/>
        <v>75000</v>
      </c>
      <c r="I132" s="11">
        <f>SUM(I129:I131)</f>
        <v>54306</v>
      </c>
      <c r="J132" s="11">
        <f>SUM(J129:J131)</f>
        <v>0</v>
      </c>
      <c r="K132" s="11">
        <f>SUM(K129:K131)</f>
        <v>0</v>
      </c>
      <c r="L132" s="11">
        <f>SUM(L129:L131)</f>
        <v>0</v>
      </c>
      <c r="M132" s="11">
        <f t="shared" si="24"/>
        <v>54306</v>
      </c>
      <c r="N132" s="39">
        <f t="shared" si="22"/>
        <v>0.72408</v>
      </c>
    </row>
    <row r="133" spans="1:14" ht="9.75">
      <c r="A133" s="57" t="s">
        <v>56</v>
      </c>
      <c r="B133" s="55"/>
      <c r="C133" s="55"/>
      <c r="D133" s="13">
        <f>SUM(D132,D128,D123)</f>
        <v>75000</v>
      </c>
      <c r="E133" s="13">
        <f>SUM(E132,E128,E123)</f>
        <v>1100</v>
      </c>
      <c r="F133" s="13">
        <f>SUM(F132,F128,F123)</f>
        <v>0</v>
      </c>
      <c r="G133" s="13">
        <f>SUM(G132,G128,G123)</f>
        <v>7892800</v>
      </c>
      <c r="H133" s="13">
        <f t="shared" si="23"/>
        <v>7968900</v>
      </c>
      <c r="I133" s="13">
        <f>SUM(I132,I128,I123)</f>
        <v>54306</v>
      </c>
      <c r="J133" s="13">
        <f>SUM(J132,J128,J123)</f>
        <v>8573</v>
      </c>
      <c r="K133" s="13">
        <f>SUM(K132,K128,K123)</f>
        <v>0</v>
      </c>
      <c r="L133" s="13">
        <f>SUM(L132,L128,L123)</f>
        <v>7892663</v>
      </c>
      <c r="M133" s="13">
        <f t="shared" si="24"/>
        <v>7955542</v>
      </c>
      <c r="N133" s="124">
        <f t="shared" si="22"/>
        <v>0.9983237335140358</v>
      </c>
    </row>
    <row r="134" spans="1:16" ht="28.5" customHeight="1">
      <c r="A134" s="125" t="s">
        <v>275</v>
      </c>
      <c r="B134" s="142" t="s">
        <v>57</v>
      </c>
      <c r="C134" s="51" t="s">
        <v>240</v>
      </c>
      <c r="D134" s="9">
        <v>1500000</v>
      </c>
      <c r="E134" s="9"/>
      <c r="F134" s="9"/>
      <c r="G134" s="9"/>
      <c r="H134" s="9">
        <f t="shared" si="23"/>
        <v>1500000</v>
      </c>
      <c r="I134" s="9">
        <f>1214459-15602</f>
        <v>1198857</v>
      </c>
      <c r="J134" s="9"/>
      <c r="K134" s="9"/>
      <c r="L134" s="9"/>
      <c r="M134" s="9">
        <f t="shared" si="24"/>
        <v>1198857</v>
      </c>
      <c r="N134" s="10">
        <f t="shared" si="22"/>
        <v>0.799238</v>
      </c>
      <c r="P134" s="35"/>
    </row>
    <row r="135" spans="1:14" ht="19.5" customHeight="1">
      <c r="A135" s="48"/>
      <c r="B135" s="146"/>
      <c r="C135" s="51" t="s">
        <v>241</v>
      </c>
      <c r="D135" s="9"/>
      <c r="E135" s="9"/>
      <c r="F135" s="9"/>
      <c r="G135" s="9"/>
      <c r="H135" s="9">
        <f t="shared" si="23"/>
        <v>0</v>
      </c>
      <c r="I135" s="9">
        <f>61799-4843</f>
        <v>56956</v>
      </c>
      <c r="J135" s="9"/>
      <c r="K135" s="9"/>
      <c r="L135" s="9"/>
      <c r="M135" s="9">
        <f t="shared" si="24"/>
        <v>56956</v>
      </c>
      <c r="N135" s="10"/>
    </row>
    <row r="136" spans="1:14" ht="9.75">
      <c r="A136" s="48"/>
      <c r="B136" s="52" t="s">
        <v>58</v>
      </c>
      <c r="C136" s="60"/>
      <c r="D136" s="11">
        <f>SUM(D134)</f>
        <v>1500000</v>
      </c>
      <c r="E136" s="11">
        <f>SUM(E134)</f>
        <v>0</v>
      </c>
      <c r="F136" s="11">
        <f>SUM(F134)</f>
        <v>0</v>
      </c>
      <c r="G136" s="11">
        <f>SUM(G134)</f>
        <v>0</v>
      </c>
      <c r="H136" s="11">
        <f t="shared" si="23"/>
        <v>1500000</v>
      </c>
      <c r="I136" s="11">
        <f>SUM(I134:I135)</f>
        <v>1255813</v>
      </c>
      <c r="J136" s="11">
        <f>SUM(J134:J135)</f>
        <v>0</v>
      </c>
      <c r="K136" s="11">
        <f>SUM(K134:K135)</f>
        <v>0</v>
      </c>
      <c r="L136" s="11">
        <f>SUM(L134:L135)</f>
        <v>0</v>
      </c>
      <c r="M136" s="11">
        <f t="shared" si="24"/>
        <v>1255813</v>
      </c>
      <c r="N136" s="39">
        <f t="shared" si="22"/>
        <v>0.8372086666666667</v>
      </c>
    </row>
    <row r="137" spans="1:14" ht="29.25" customHeight="1" hidden="1">
      <c r="A137" s="48"/>
      <c r="B137" s="28" t="s">
        <v>276</v>
      </c>
      <c r="C137" s="51" t="s">
        <v>237</v>
      </c>
      <c r="D137" s="9"/>
      <c r="E137" s="9"/>
      <c r="F137" s="9"/>
      <c r="G137" s="9"/>
      <c r="H137" s="9">
        <f t="shared" si="23"/>
        <v>0</v>
      </c>
      <c r="I137" s="9"/>
      <c r="J137" s="9"/>
      <c r="K137" s="9"/>
      <c r="L137" s="9"/>
      <c r="M137" s="9">
        <f t="shared" si="24"/>
        <v>0</v>
      </c>
      <c r="N137" s="10"/>
    </row>
    <row r="138" spans="1:14" ht="15.75" customHeight="1">
      <c r="A138" s="48"/>
      <c r="B138" s="132" t="s">
        <v>276</v>
      </c>
      <c r="C138" s="51" t="s">
        <v>242</v>
      </c>
      <c r="D138" s="9">
        <v>82745000</v>
      </c>
      <c r="E138" s="9"/>
      <c r="F138" s="9"/>
      <c r="G138" s="9"/>
      <c r="H138" s="9">
        <f t="shared" si="23"/>
        <v>82745000</v>
      </c>
      <c r="I138" s="9">
        <v>81448795</v>
      </c>
      <c r="J138" s="9"/>
      <c r="K138" s="9"/>
      <c r="L138" s="9"/>
      <c r="M138" s="9">
        <f t="shared" si="24"/>
        <v>81448795</v>
      </c>
      <c r="N138" s="10">
        <f aca="true" t="shared" si="25" ref="N138:N149">M138/H138</f>
        <v>0.9843349447096501</v>
      </c>
    </row>
    <row r="139" spans="1:14" ht="9.75">
      <c r="A139" s="48"/>
      <c r="B139" s="144"/>
      <c r="C139" s="51" t="s">
        <v>243</v>
      </c>
      <c r="D139" s="9">
        <v>28900</v>
      </c>
      <c r="E139" s="9"/>
      <c r="F139" s="9"/>
      <c r="G139" s="9"/>
      <c r="H139" s="9">
        <f t="shared" si="23"/>
        <v>28900</v>
      </c>
      <c r="I139" s="9">
        <v>35341</v>
      </c>
      <c r="J139" s="9"/>
      <c r="K139" s="9"/>
      <c r="L139" s="9"/>
      <c r="M139" s="9">
        <f t="shared" si="24"/>
        <v>35341</v>
      </c>
      <c r="N139" s="10">
        <f t="shared" si="25"/>
        <v>1.222871972318339</v>
      </c>
    </row>
    <row r="140" spans="1:14" ht="9.75">
      <c r="A140" s="48"/>
      <c r="B140" s="144"/>
      <c r="C140" s="51" t="s">
        <v>244</v>
      </c>
      <c r="D140" s="9">
        <v>65700</v>
      </c>
      <c r="E140" s="9"/>
      <c r="F140" s="9"/>
      <c r="G140" s="9"/>
      <c r="H140" s="9">
        <f t="shared" si="23"/>
        <v>65700</v>
      </c>
      <c r="I140" s="9">
        <v>63615</v>
      </c>
      <c r="J140" s="9"/>
      <c r="K140" s="9"/>
      <c r="L140" s="9"/>
      <c r="M140" s="9">
        <f t="shared" si="24"/>
        <v>63615</v>
      </c>
      <c r="N140" s="10">
        <f t="shared" si="25"/>
        <v>0.9682648401826484</v>
      </c>
    </row>
    <row r="141" spans="1:14" ht="9.75">
      <c r="A141" s="48"/>
      <c r="B141" s="144"/>
      <c r="C141" s="51" t="s">
        <v>245</v>
      </c>
      <c r="D141" s="9">
        <v>4200000</v>
      </c>
      <c r="E141" s="9"/>
      <c r="F141" s="9"/>
      <c r="G141" s="9"/>
      <c r="H141" s="9">
        <f t="shared" si="23"/>
        <v>4200000</v>
      </c>
      <c r="I141" s="9">
        <v>4593692</v>
      </c>
      <c r="J141" s="9"/>
      <c r="K141" s="9"/>
      <c r="L141" s="9"/>
      <c r="M141" s="9">
        <f t="shared" si="24"/>
        <v>4593692</v>
      </c>
      <c r="N141" s="10">
        <f t="shared" si="25"/>
        <v>1.0937361904761904</v>
      </c>
    </row>
    <row r="142" spans="1:14" ht="9.75">
      <c r="A142" s="48"/>
      <c r="B142" s="144"/>
      <c r="C142" s="51" t="s">
        <v>249</v>
      </c>
      <c r="D142" s="9">
        <v>3160000</v>
      </c>
      <c r="E142" s="9"/>
      <c r="F142" s="9"/>
      <c r="G142" s="9"/>
      <c r="H142" s="9">
        <f t="shared" si="23"/>
        <v>3160000</v>
      </c>
      <c r="I142" s="9">
        <f>3297318-185268</f>
        <v>3112050</v>
      </c>
      <c r="J142" s="9"/>
      <c r="K142" s="9"/>
      <c r="L142" s="9"/>
      <c r="M142" s="9">
        <f t="shared" si="24"/>
        <v>3112050</v>
      </c>
      <c r="N142" s="10">
        <f t="shared" si="25"/>
        <v>0.9848259493670886</v>
      </c>
    </row>
    <row r="143" spans="1:14" ht="9.75">
      <c r="A143" s="48"/>
      <c r="B143" s="144"/>
      <c r="C143" s="51" t="s">
        <v>250</v>
      </c>
      <c r="D143" s="9">
        <v>100000</v>
      </c>
      <c r="E143" s="9"/>
      <c r="F143" s="9"/>
      <c r="G143" s="9"/>
      <c r="H143" s="9">
        <f t="shared" si="23"/>
        <v>100000</v>
      </c>
      <c r="I143" s="9">
        <v>94827</v>
      </c>
      <c r="J143" s="9"/>
      <c r="K143" s="9"/>
      <c r="L143" s="9"/>
      <c r="M143" s="9">
        <f t="shared" si="24"/>
        <v>94827</v>
      </c>
      <c r="N143" s="10">
        <f t="shared" si="25"/>
        <v>0.94827</v>
      </c>
    </row>
    <row r="144" spans="1:14" ht="9.75">
      <c r="A144" s="48"/>
      <c r="B144" s="144"/>
      <c r="C144" s="51" t="s">
        <v>251</v>
      </c>
      <c r="D144" s="9">
        <v>1450000</v>
      </c>
      <c r="E144" s="9"/>
      <c r="F144" s="9"/>
      <c r="G144" s="9"/>
      <c r="H144" s="9">
        <f t="shared" si="23"/>
        <v>1450000</v>
      </c>
      <c r="I144" s="9">
        <v>1345013</v>
      </c>
      <c r="J144" s="9"/>
      <c r="K144" s="9"/>
      <c r="L144" s="9"/>
      <c r="M144" s="9">
        <f t="shared" si="24"/>
        <v>1345013</v>
      </c>
      <c r="N144" s="10">
        <f t="shared" si="25"/>
        <v>0.9275951724137931</v>
      </c>
    </row>
    <row r="145" spans="1:14" ht="9.75">
      <c r="A145" s="48"/>
      <c r="B145" s="144"/>
      <c r="C145" s="51" t="s">
        <v>252</v>
      </c>
      <c r="D145" s="9">
        <v>121200</v>
      </c>
      <c r="E145" s="9"/>
      <c r="F145" s="9"/>
      <c r="G145" s="9"/>
      <c r="H145" s="9">
        <f t="shared" si="23"/>
        <v>121200</v>
      </c>
      <c r="I145" s="9">
        <v>156667</v>
      </c>
      <c r="J145" s="9"/>
      <c r="K145" s="9"/>
      <c r="L145" s="9"/>
      <c r="M145" s="9">
        <f t="shared" si="24"/>
        <v>156667</v>
      </c>
      <c r="N145" s="10">
        <f t="shared" si="25"/>
        <v>1.29263201320132</v>
      </c>
    </row>
    <row r="146" spans="1:14" ht="18" customHeight="1">
      <c r="A146" s="48"/>
      <c r="B146" s="144"/>
      <c r="C146" s="51" t="s">
        <v>253</v>
      </c>
      <c r="D146" s="9">
        <v>10000</v>
      </c>
      <c r="E146" s="9"/>
      <c r="F146" s="9"/>
      <c r="G146" s="9"/>
      <c r="H146" s="9">
        <f t="shared" si="23"/>
        <v>10000</v>
      </c>
      <c r="I146" s="9">
        <v>4949</v>
      </c>
      <c r="J146" s="9"/>
      <c r="K146" s="9"/>
      <c r="L146" s="9"/>
      <c r="M146" s="9">
        <f t="shared" si="24"/>
        <v>4949</v>
      </c>
      <c r="N146" s="10">
        <f t="shared" si="25"/>
        <v>0.4949</v>
      </c>
    </row>
    <row r="147" spans="1:14" ht="9.75">
      <c r="A147" s="48"/>
      <c r="B147" s="26"/>
      <c r="C147" s="51" t="s">
        <v>246</v>
      </c>
      <c r="D147" s="9">
        <v>13200000</v>
      </c>
      <c r="E147" s="9"/>
      <c r="F147" s="9"/>
      <c r="G147" s="9"/>
      <c r="H147" s="9">
        <f t="shared" si="23"/>
        <v>13200000</v>
      </c>
      <c r="I147" s="9">
        <f>12790895-23866</f>
        <v>12767029</v>
      </c>
      <c r="J147" s="9"/>
      <c r="K147" s="9"/>
      <c r="L147" s="9"/>
      <c r="M147" s="9">
        <f t="shared" si="24"/>
        <v>12767029</v>
      </c>
      <c r="N147" s="10">
        <f t="shared" si="25"/>
        <v>0.9671991666666667</v>
      </c>
    </row>
    <row r="148" spans="1:14" ht="9.75">
      <c r="A148" s="48"/>
      <c r="B148" s="26"/>
      <c r="C148" s="51" t="s">
        <v>247</v>
      </c>
      <c r="D148" s="9">
        <v>2000</v>
      </c>
      <c r="E148" s="9"/>
      <c r="F148" s="9"/>
      <c r="G148" s="9"/>
      <c r="H148" s="9">
        <f t="shared" si="23"/>
        <v>2000</v>
      </c>
      <c r="I148" s="9">
        <v>9084</v>
      </c>
      <c r="J148" s="9"/>
      <c r="K148" s="9"/>
      <c r="L148" s="9"/>
      <c r="M148" s="9">
        <f t="shared" si="24"/>
        <v>9084</v>
      </c>
      <c r="N148" s="10">
        <f t="shared" si="25"/>
        <v>4.542</v>
      </c>
    </row>
    <row r="149" spans="1:14" ht="9.75" customHeight="1" hidden="1">
      <c r="A149" s="48"/>
      <c r="B149" s="26"/>
      <c r="C149" s="51" t="s">
        <v>218</v>
      </c>
      <c r="D149" s="9"/>
      <c r="E149" s="9"/>
      <c r="F149" s="9"/>
      <c r="G149" s="9"/>
      <c r="H149" s="9">
        <f t="shared" si="23"/>
        <v>0</v>
      </c>
      <c r="I149" s="9"/>
      <c r="J149" s="9"/>
      <c r="K149" s="9"/>
      <c r="L149" s="9"/>
      <c r="M149" s="9">
        <f t="shared" si="24"/>
        <v>0</v>
      </c>
      <c r="N149" s="10" t="e">
        <f t="shared" si="25"/>
        <v>#DIV/0!</v>
      </c>
    </row>
    <row r="150" spans="1:14" ht="18" customHeight="1">
      <c r="A150" s="48"/>
      <c r="B150" s="26"/>
      <c r="C150" s="51" t="s">
        <v>255</v>
      </c>
      <c r="D150" s="9"/>
      <c r="E150" s="9"/>
      <c r="F150" s="9"/>
      <c r="G150" s="9"/>
      <c r="H150" s="9">
        <f t="shared" si="23"/>
        <v>0</v>
      </c>
      <c r="I150" s="9">
        <v>-4585</v>
      </c>
      <c r="J150" s="9"/>
      <c r="K150" s="9"/>
      <c r="L150" s="9"/>
      <c r="M150" s="9">
        <f t="shared" si="24"/>
        <v>-4585</v>
      </c>
      <c r="N150" s="10"/>
    </row>
    <row r="151" spans="1:14" ht="18" customHeight="1">
      <c r="A151" s="48"/>
      <c r="B151" s="26"/>
      <c r="C151" s="51" t="s">
        <v>241</v>
      </c>
      <c r="D151" s="9">
        <v>1270000</v>
      </c>
      <c r="E151" s="9"/>
      <c r="F151" s="9"/>
      <c r="G151" s="9"/>
      <c r="H151" s="9">
        <f t="shared" si="23"/>
        <v>1270000</v>
      </c>
      <c r="I151" s="9">
        <f>1100567-6409</f>
        <v>1094158</v>
      </c>
      <c r="J151" s="9"/>
      <c r="K151" s="9"/>
      <c r="L151" s="9"/>
      <c r="M151" s="9">
        <f t="shared" si="24"/>
        <v>1094158</v>
      </c>
      <c r="N151" s="10">
        <f aca="true" t="shared" si="26" ref="N151:N157">M151/H151</f>
        <v>0.8615417322834645</v>
      </c>
    </row>
    <row r="152" spans="1:14" ht="9.75" customHeight="1" hidden="1">
      <c r="A152" s="48"/>
      <c r="B152" s="27"/>
      <c r="C152" s="51" t="s">
        <v>248</v>
      </c>
      <c r="D152" s="9"/>
      <c r="E152" s="9"/>
      <c r="F152" s="9"/>
      <c r="G152" s="9"/>
      <c r="H152" s="9">
        <f t="shared" si="23"/>
        <v>0</v>
      </c>
      <c r="I152" s="9"/>
      <c r="J152" s="9"/>
      <c r="K152" s="9"/>
      <c r="L152" s="9"/>
      <c r="M152" s="9">
        <f t="shared" si="24"/>
        <v>0</v>
      </c>
      <c r="N152" s="10" t="e">
        <f t="shared" si="26"/>
        <v>#DIV/0!</v>
      </c>
    </row>
    <row r="153" spans="1:14" ht="27.75" customHeight="1">
      <c r="A153" s="48"/>
      <c r="B153" s="46"/>
      <c r="C153" s="51" t="s">
        <v>237</v>
      </c>
      <c r="D153" s="9"/>
      <c r="E153" s="9"/>
      <c r="F153" s="9"/>
      <c r="G153" s="9"/>
      <c r="H153" s="9">
        <f t="shared" si="23"/>
        <v>0</v>
      </c>
      <c r="I153" s="9">
        <v>415959</v>
      </c>
      <c r="J153" s="9"/>
      <c r="K153" s="9"/>
      <c r="L153" s="9"/>
      <c r="M153" s="9">
        <f t="shared" si="24"/>
        <v>415959</v>
      </c>
      <c r="N153" s="10"/>
    </row>
    <row r="154" spans="1:14" ht="9.75">
      <c r="A154" s="48"/>
      <c r="B154" s="52" t="s">
        <v>277</v>
      </c>
      <c r="C154" s="53"/>
      <c r="D154" s="11">
        <f>SUM(D137:D152)</f>
        <v>106352800</v>
      </c>
      <c r="E154" s="11">
        <f>SUM(E137:E152)</f>
        <v>0</v>
      </c>
      <c r="F154" s="11">
        <f>SUM(F137:F152)</f>
        <v>0</v>
      </c>
      <c r="G154" s="11">
        <f>SUM(G137:G152)</f>
        <v>0</v>
      </c>
      <c r="H154" s="11">
        <f t="shared" si="23"/>
        <v>106352800</v>
      </c>
      <c r="I154" s="11">
        <f>SUM(I137:I153)</f>
        <v>105136594</v>
      </c>
      <c r="J154" s="11">
        <f>SUM(J137:J153)</f>
        <v>0</v>
      </c>
      <c r="K154" s="11">
        <f>SUM(K137:K153)</f>
        <v>0</v>
      </c>
      <c r="L154" s="11">
        <f>SUM(L137:L153)</f>
        <v>0</v>
      </c>
      <c r="M154" s="11">
        <f t="shared" si="24"/>
        <v>105136594</v>
      </c>
      <c r="N154" s="39">
        <f t="shared" si="26"/>
        <v>0.9885644195545392</v>
      </c>
    </row>
    <row r="155" spans="1:14" ht="9.75">
      <c r="A155" s="48"/>
      <c r="B155" s="142" t="s">
        <v>198</v>
      </c>
      <c r="C155" s="51" t="s">
        <v>254</v>
      </c>
      <c r="D155" s="9">
        <f>4150000+400000</f>
        <v>4550000</v>
      </c>
      <c r="E155" s="9"/>
      <c r="F155" s="9"/>
      <c r="G155" s="9"/>
      <c r="H155" s="9">
        <f t="shared" si="23"/>
        <v>4550000</v>
      </c>
      <c r="I155" s="9">
        <f>4684384-2401</f>
        <v>4681983</v>
      </c>
      <c r="J155" s="9"/>
      <c r="K155" s="9"/>
      <c r="L155" s="9"/>
      <c r="M155" s="9">
        <f t="shared" si="24"/>
        <v>4681983</v>
      </c>
      <c r="N155" s="10">
        <f t="shared" si="26"/>
        <v>1.0290072527472527</v>
      </c>
    </row>
    <row r="156" spans="1:14" ht="9.75">
      <c r="A156" s="48"/>
      <c r="B156" s="143"/>
      <c r="C156" s="51" t="s">
        <v>233</v>
      </c>
      <c r="D156" s="9"/>
      <c r="E156" s="9">
        <v>4300000</v>
      </c>
      <c r="F156" s="9"/>
      <c r="G156" s="9"/>
      <c r="H156" s="9">
        <f t="shared" si="23"/>
        <v>4300000</v>
      </c>
      <c r="I156" s="9"/>
      <c r="J156" s="9">
        <v>5992484</v>
      </c>
      <c r="K156" s="9"/>
      <c r="L156" s="9"/>
      <c r="M156" s="9">
        <f t="shared" si="24"/>
        <v>5992484</v>
      </c>
      <c r="N156" s="10">
        <f t="shared" si="26"/>
        <v>1.393600930232558</v>
      </c>
    </row>
    <row r="157" spans="1:14" ht="18" customHeight="1">
      <c r="A157" s="48"/>
      <c r="B157" s="143"/>
      <c r="C157" s="51" t="s">
        <v>238</v>
      </c>
      <c r="D157" s="9">
        <v>3300000</v>
      </c>
      <c r="E157" s="9"/>
      <c r="F157" s="9"/>
      <c r="G157" s="9"/>
      <c r="H157" s="9">
        <f t="shared" si="23"/>
        <v>3300000</v>
      </c>
      <c r="I157" s="9">
        <v>3917740</v>
      </c>
      <c r="J157" s="9"/>
      <c r="K157" s="9"/>
      <c r="L157" s="9"/>
      <c r="M157" s="9">
        <f t="shared" si="24"/>
        <v>3917740</v>
      </c>
      <c r="N157" s="10">
        <f t="shared" si="26"/>
        <v>1.1871939393939395</v>
      </c>
    </row>
    <row r="158" spans="1:14" ht="18.75" customHeight="1">
      <c r="A158" s="48"/>
      <c r="B158" s="143"/>
      <c r="C158" s="66" t="s">
        <v>255</v>
      </c>
      <c r="D158" s="9"/>
      <c r="E158" s="9"/>
      <c r="F158" s="9"/>
      <c r="G158" s="9"/>
      <c r="H158" s="9">
        <f t="shared" si="23"/>
        <v>0</v>
      </c>
      <c r="I158" s="9">
        <v>-3670</v>
      </c>
      <c r="J158" s="9"/>
      <c r="K158" s="9"/>
      <c r="L158" s="9"/>
      <c r="M158" s="9">
        <f t="shared" si="24"/>
        <v>-3670</v>
      </c>
      <c r="N158" s="10"/>
    </row>
    <row r="159" spans="1:14" ht="17.25" customHeight="1">
      <c r="A159" s="48"/>
      <c r="B159" s="143"/>
      <c r="C159" s="51" t="s">
        <v>241</v>
      </c>
      <c r="D159" s="9"/>
      <c r="E159" s="9"/>
      <c r="F159" s="9"/>
      <c r="G159" s="9"/>
      <c r="H159" s="9">
        <f t="shared" si="23"/>
        <v>0</v>
      </c>
      <c r="I159" s="9">
        <f>58933-4618</f>
        <v>54315</v>
      </c>
      <c r="J159" s="9"/>
      <c r="K159" s="9"/>
      <c r="L159" s="9"/>
      <c r="M159" s="9">
        <f t="shared" si="24"/>
        <v>54315</v>
      </c>
      <c r="N159" s="10"/>
    </row>
    <row r="160" spans="1:14" ht="9.75" customHeight="1" hidden="1">
      <c r="A160" s="48"/>
      <c r="B160" s="146"/>
      <c r="C160" s="51" t="s">
        <v>248</v>
      </c>
      <c r="D160" s="9"/>
      <c r="E160" s="9"/>
      <c r="F160" s="9"/>
      <c r="G160" s="9"/>
      <c r="H160" s="9">
        <f t="shared" si="23"/>
        <v>0</v>
      </c>
      <c r="I160" s="9"/>
      <c r="J160" s="9"/>
      <c r="K160" s="9"/>
      <c r="L160" s="9"/>
      <c r="M160" s="9">
        <f t="shared" si="24"/>
        <v>0</v>
      </c>
      <c r="N160" s="10" t="e">
        <f aca="true" t="shared" si="27" ref="N160:N172">M160/H160</f>
        <v>#DIV/0!</v>
      </c>
    </row>
    <row r="161" spans="1:14" ht="9.75">
      <c r="A161" s="48"/>
      <c r="B161" s="52" t="s">
        <v>199</v>
      </c>
      <c r="C161" s="53"/>
      <c r="D161" s="11">
        <f>SUM(D155:D160)</f>
        <v>7850000</v>
      </c>
      <c r="E161" s="11">
        <f>SUM(E155:E160)</f>
        <v>4300000</v>
      </c>
      <c r="F161" s="11">
        <f>SUM(F155:F160)</f>
        <v>0</v>
      </c>
      <c r="G161" s="11">
        <f>SUM(G155:G160)</f>
        <v>0</v>
      </c>
      <c r="H161" s="11">
        <f t="shared" si="23"/>
        <v>12150000</v>
      </c>
      <c r="I161" s="11">
        <f>SUM(I155:I160)</f>
        <v>8650368</v>
      </c>
      <c r="J161" s="11">
        <f>SUM(J155:J160)</f>
        <v>5992484</v>
      </c>
      <c r="K161" s="11">
        <f>SUM(K155:K160)</f>
        <v>0</v>
      </c>
      <c r="L161" s="11">
        <f>SUM(L155:L160)</f>
        <v>0</v>
      </c>
      <c r="M161" s="11">
        <f t="shared" si="24"/>
        <v>14642852</v>
      </c>
      <c r="N161" s="39">
        <f t="shared" si="27"/>
        <v>1.2051730041152264</v>
      </c>
    </row>
    <row r="162" spans="1:14" ht="9.75">
      <c r="A162" s="48"/>
      <c r="B162" s="142" t="s">
        <v>59</v>
      </c>
      <c r="C162" s="51" t="s">
        <v>256</v>
      </c>
      <c r="D162" s="9">
        <v>127089626</v>
      </c>
      <c r="E162" s="9"/>
      <c r="F162" s="9"/>
      <c r="G162" s="9"/>
      <c r="H162" s="9">
        <f t="shared" si="23"/>
        <v>127089626</v>
      </c>
      <c r="I162" s="9">
        <v>124113805</v>
      </c>
      <c r="J162" s="9"/>
      <c r="K162" s="9"/>
      <c r="L162" s="9"/>
      <c r="M162" s="9">
        <f aca="true" t="shared" si="28" ref="M162:M194">SUM(I162:L162)</f>
        <v>124113805</v>
      </c>
      <c r="N162" s="10">
        <f t="shared" si="27"/>
        <v>0.9765848630320149</v>
      </c>
    </row>
    <row r="163" spans="1:14" ht="9.75">
      <c r="A163" s="48"/>
      <c r="B163" s="146"/>
      <c r="C163" s="51" t="s">
        <v>257</v>
      </c>
      <c r="D163" s="9">
        <f>8850000+2068459</f>
        <v>10918459</v>
      </c>
      <c r="E163" s="9"/>
      <c r="F163" s="9"/>
      <c r="G163" s="9"/>
      <c r="H163" s="9">
        <f t="shared" si="23"/>
        <v>10918459</v>
      </c>
      <c r="I163" s="9">
        <v>10875628</v>
      </c>
      <c r="J163" s="9"/>
      <c r="K163" s="9"/>
      <c r="L163" s="9"/>
      <c r="M163" s="9">
        <f t="shared" si="28"/>
        <v>10875628</v>
      </c>
      <c r="N163" s="10">
        <f t="shared" si="27"/>
        <v>0.9960771936772396</v>
      </c>
    </row>
    <row r="164" spans="1:14" ht="9.75">
      <c r="A164" s="48"/>
      <c r="B164" s="52" t="s">
        <v>60</v>
      </c>
      <c r="C164" s="53"/>
      <c r="D164" s="11">
        <f>SUM(D162:D163)</f>
        <v>138008085</v>
      </c>
      <c r="E164" s="11">
        <f>SUM(E162:E163)</f>
        <v>0</v>
      </c>
      <c r="F164" s="11">
        <f>SUM(F162:F163)</f>
        <v>0</v>
      </c>
      <c r="G164" s="11">
        <f>SUM(G162:G163)</f>
        <v>0</v>
      </c>
      <c r="H164" s="11">
        <f t="shared" si="23"/>
        <v>138008085</v>
      </c>
      <c r="I164" s="11">
        <f>SUM(I162:I163)</f>
        <v>134989433</v>
      </c>
      <c r="J164" s="11">
        <f>SUM(J162:J163)</f>
        <v>0</v>
      </c>
      <c r="K164" s="11">
        <f>SUM(K162:K163)</f>
        <v>0</v>
      </c>
      <c r="L164" s="11">
        <f>SUM(L162:L163)</f>
        <v>0</v>
      </c>
      <c r="M164" s="11">
        <f t="shared" si="28"/>
        <v>134989433</v>
      </c>
      <c r="N164" s="39">
        <f t="shared" si="27"/>
        <v>0.9781269916179186</v>
      </c>
    </row>
    <row r="165" spans="1:14" ht="9.75">
      <c r="A165" s="48"/>
      <c r="B165" s="132" t="s">
        <v>61</v>
      </c>
      <c r="C165" s="51" t="s">
        <v>256</v>
      </c>
      <c r="D165" s="9"/>
      <c r="E165" s="9">
        <v>29957857</v>
      </c>
      <c r="F165" s="9"/>
      <c r="G165" s="9"/>
      <c r="H165" s="9">
        <f t="shared" si="23"/>
        <v>29957857</v>
      </c>
      <c r="I165" s="9"/>
      <c r="J165" s="9">
        <v>29256385</v>
      </c>
      <c r="K165" s="9"/>
      <c r="L165" s="9"/>
      <c r="M165" s="9">
        <f t="shared" si="28"/>
        <v>29256385</v>
      </c>
      <c r="N165" s="10">
        <f t="shared" si="27"/>
        <v>0.9765847069768708</v>
      </c>
    </row>
    <row r="166" spans="1:14" ht="9.75">
      <c r="A166" s="48"/>
      <c r="B166" s="145"/>
      <c r="C166" s="51" t="s">
        <v>257</v>
      </c>
      <c r="D166" s="9"/>
      <c r="E166" s="9">
        <f>1848000+435000</f>
        <v>2283000</v>
      </c>
      <c r="F166" s="9"/>
      <c r="G166" s="9"/>
      <c r="H166" s="9">
        <f t="shared" si="23"/>
        <v>2283000</v>
      </c>
      <c r="I166" s="9"/>
      <c r="J166" s="9">
        <v>2588421</v>
      </c>
      <c r="K166" s="9"/>
      <c r="L166" s="9"/>
      <c r="M166" s="9">
        <f t="shared" si="28"/>
        <v>2588421</v>
      </c>
      <c r="N166" s="10">
        <f t="shared" si="27"/>
        <v>1.1337805519053876</v>
      </c>
    </row>
    <row r="167" spans="1:14" ht="9.75">
      <c r="A167" s="126"/>
      <c r="B167" s="52" t="s">
        <v>62</v>
      </c>
      <c r="C167" s="53"/>
      <c r="D167" s="11">
        <f>SUM(D165:D166)</f>
        <v>0</v>
      </c>
      <c r="E167" s="11">
        <f>SUM(E165:E166)</f>
        <v>32240857</v>
      </c>
      <c r="F167" s="11">
        <f>SUM(F165:F166)</f>
        <v>0</v>
      </c>
      <c r="G167" s="11">
        <f>SUM(G165:G166)</f>
        <v>0</v>
      </c>
      <c r="H167" s="11">
        <f t="shared" si="23"/>
        <v>32240857</v>
      </c>
      <c r="I167" s="11">
        <f>SUM(I165:I166)</f>
        <v>0</v>
      </c>
      <c r="J167" s="11">
        <f>SUM(J165:J166)</f>
        <v>31844806</v>
      </c>
      <c r="K167" s="11">
        <f>SUM(K165:K166)</f>
        <v>0</v>
      </c>
      <c r="L167" s="11">
        <f>SUM(L165:L166)</f>
        <v>0</v>
      </c>
      <c r="M167" s="11">
        <f t="shared" si="28"/>
        <v>31844806</v>
      </c>
      <c r="N167" s="39">
        <f t="shared" si="27"/>
        <v>0.9877158662376747</v>
      </c>
    </row>
    <row r="168" spans="1:14" ht="9.75">
      <c r="A168" s="58" t="s">
        <v>63</v>
      </c>
      <c r="B168" s="55"/>
      <c r="C168" s="55"/>
      <c r="D168" s="13">
        <f aca="true" t="shared" si="29" ref="D168:L168">SUM(D167,D164,D161,D154,D136)</f>
        <v>253710885</v>
      </c>
      <c r="E168" s="13">
        <f t="shared" si="29"/>
        <v>36540857</v>
      </c>
      <c r="F168" s="13">
        <f t="shared" si="29"/>
        <v>0</v>
      </c>
      <c r="G168" s="13">
        <f t="shared" si="29"/>
        <v>0</v>
      </c>
      <c r="H168" s="13">
        <f t="shared" si="29"/>
        <v>290251742</v>
      </c>
      <c r="I168" s="13">
        <f t="shared" si="29"/>
        <v>250032208</v>
      </c>
      <c r="J168" s="13">
        <f t="shared" si="29"/>
        <v>37837290</v>
      </c>
      <c r="K168" s="13">
        <f t="shared" si="29"/>
        <v>0</v>
      </c>
      <c r="L168" s="13">
        <f t="shared" si="29"/>
        <v>0</v>
      </c>
      <c r="M168" s="13">
        <f t="shared" si="28"/>
        <v>287869498</v>
      </c>
      <c r="N168" s="124">
        <f t="shared" si="27"/>
        <v>0.9917924902583358</v>
      </c>
    </row>
    <row r="169" spans="1:14" ht="39">
      <c r="A169" s="153" t="s">
        <v>64</v>
      </c>
      <c r="B169" s="20" t="s">
        <v>65</v>
      </c>
      <c r="C169" s="51" t="s">
        <v>258</v>
      </c>
      <c r="D169" s="9">
        <f>66960893+461747+366325+84050</f>
        <v>67873015</v>
      </c>
      <c r="E169" s="9">
        <f>62338035-4186387+93975+81300</f>
        <v>58326923</v>
      </c>
      <c r="F169" s="9"/>
      <c r="G169" s="9"/>
      <c r="H169" s="9">
        <f>SUM(D169:G169)</f>
        <v>126199938</v>
      </c>
      <c r="I169" s="9">
        <v>67873015</v>
      </c>
      <c r="J169" s="9">
        <v>58326923</v>
      </c>
      <c r="K169" s="9"/>
      <c r="L169" s="9"/>
      <c r="M169" s="9">
        <f t="shared" si="28"/>
        <v>126199938</v>
      </c>
      <c r="N169" s="10">
        <f t="shared" si="27"/>
        <v>1</v>
      </c>
    </row>
    <row r="170" spans="1:14" ht="9.75">
      <c r="A170" s="154"/>
      <c r="B170" s="52" t="s">
        <v>66</v>
      </c>
      <c r="C170" s="53"/>
      <c r="D170" s="11">
        <f>SUM(D169)</f>
        <v>67873015</v>
      </c>
      <c r="E170" s="11">
        <f>SUM(E169)</f>
        <v>58326923</v>
      </c>
      <c r="F170" s="11">
        <f>SUM(F169)</f>
        <v>0</v>
      </c>
      <c r="G170" s="11">
        <f>SUM(G169)</f>
        <v>0</v>
      </c>
      <c r="H170" s="11">
        <f>SUM(D170:G170)</f>
        <v>126199938</v>
      </c>
      <c r="I170" s="11">
        <f>SUM(I169)</f>
        <v>67873015</v>
      </c>
      <c r="J170" s="11">
        <f>SUM(J169)</f>
        <v>58326923</v>
      </c>
      <c r="K170" s="11">
        <f>SUM(K169)</f>
        <v>0</v>
      </c>
      <c r="L170" s="11">
        <f>SUM(L169)</f>
        <v>0</v>
      </c>
      <c r="M170" s="11">
        <f t="shared" si="28"/>
        <v>126199938</v>
      </c>
      <c r="N170" s="39">
        <f t="shared" si="27"/>
        <v>1</v>
      </c>
    </row>
    <row r="171" spans="1:14" s="17" customFormat="1" ht="11.25" customHeight="1">
      <c r="A171" s="154"/>
      <c r="B171" s="142" t="s">
        <v>67</v>
      </c>
      <c r="C171" s="63" t="s">
        <v>335</v>
      </c>
      <c r="D171" s="29">
        <v>1010963</v>
      </c>
      <c r="E171" s="16"/>
      <c r="F171" s="16"/>
      <c r="G171" s="16"/>
      <c r="H171" s="9">
        <f aca="true" t="shared" si="30" ref="H171:H208">SUM(D171:G171)</f>
        <v>1010963</v>
      </c>
      <c r="I171" s="15">
        <v>1010963</v>
      </c>
      <c r="J171" s="16"/>
      <c r="K171" s="16"/>
      <c r="L171" s="16"/>
      <c r="M171" s="9">
        <f t="shared" si="28"/>
        <v>1010963</v>
      </c>
      <c r="N171" s="10">
        <f t="shared" si="27"/>
        <v>1</v>
      </c>
    </row>
    <row r="172" spans="1:14" s="17" customFormat="1" ht="11.25" customHeight="1">
      <c r="A172" s="154"/>
      <c r="B172" s="143"/>
      <c r="C172" s="63" t="s">
        <v>334</v>
      </c>
      <c r="D172" s="16"/>
      <c r="E172" s="29">
        <v>43698</v>
      </c>
      <c r="F172" s="16"/>
      <c r="G172" s="16"/>
      <c r="H172" s="9">
        <f t="shared" si="30"/>
        <v>43698</v>
      </c>
      <c r="I172" s="16"/>
      <c r="J172" s="16">
        <v>43698</v>
      </c>
      <c r="K172" s="16"/>
      <c r="L172" s="16"/>
      <c r="M172" s="9">
        <f t="shared" si="28"/>
        <v>43698</v>
      </c>
      <c r="N172" s="10">
        <f t="shared" si="27"/>
        <v>1</v>
      </c>
    </row>
    <row r="173" spans="1:14" s="17" customFormat="1" ht="19.5">
      <c r="A173" s="154"/>
      <c r="B173" s="143"/>
      <c r="C173" s="63" t="s">
        <v>328</v>
      </c>
      <c r="D173" s="29"/>
      <c r="E173" s="29">
        <v>2000000</v>
      </c>
      <c r="F173" s="29"/>
      <c r="G173" s="29"/>
      <c r="H173" s="9">
        <f t="shared" si="30"/>
        <v>2000000</v>
      </c>
      <c r="I173" s="29"/>
      <c r="J173" s="29">
        <v>2000000</v>
      </c>
      <c r="K173" s="29"/>
      <c r="L173" s="29"/>
      <c r="M173" s="9">
        <f t="shared" si="28"/>
        <v>2000000</v>
      </c>
      <c r="N173" s="10">
        <f>M173/H173</f>
        <v>1</v>
      </c>
    </row>
    <row r="174" spans="1:14" ht="9.75" customHeight="1" hidden="1">
      <c r="A174" s="154"/>
      <c r="B174" s="27"/>
      <c r="C174" s="51" t="s">
        <v>258</v>
      </c>
      <c r="D174" s="9"/>
      <c r="E174" s="9"/>
      <c r="F174" s="9"/>
      <c r="G174" s="9"/>
      <c r="H174" s="9">
        <f t="shared" si="30"/>
        <v>0</v>
      </c>
      <c r="I174" s="9"/>
      <c r="J174" s="9"/>
      <c r="K174" s="9"/>
      <c r="L174" s="9"/>
      <c r="M174" s="9">
        <f t="shared" si="28"/>
        <v>0</v>
      </c>
      <c r="N174" s="10"/>
    </row>
    <row r="175" spans="1:14" ht="9.75">
      <c r="A175" s="154"/>
      <c r="B175" s="52" t="s">
        <v>68</v>
      </c>
      <c r="C175" s="53"/>
      <c r="D175" s="11">
        <f>SUM(D171:D174:D173)</f>
        <v>1010963</v>
      </c>
      <c r="E175" s="11">
        <f>SUM(E171:E174:E173)</f>
        <v>2043698</v>
      </c>
      <c r="F175" s="11">
        <f>SUM(F171:F174:F173)</f>
        <v>0</v>
      </c>
      <c r="G175" s="11">
        <f>SUM(G171:G174:G173)</f>
        <v>0</v>
      </c>
      <c r="H175" s="11">
        <f t="shared" si="30"/>
        <v>3054661</v>
      </c>
      <c r="I175" s="11">
        <f>SUM(I171:I174)</f>
        <v>1010963</v>
      </c>
      <c r="J175" s="11">
        <f>SUM(J171:J174)</f>
        <v>2043698</v>
      </c>
      <c r="K175" s="11">
        <f>SUM(K171:K174)</f>
        <v>0</v>
      </c>
      <c r="L175" s="11">
        <f>SUM(L171:L174)</f>
        <v>0</v>
      </c>
      <c r="M175" s="11">
        <f t="shared" si="28"/>
        <v>3054661</v>
      </c>
      <c r="N175" s="39">
        <f aca="true" t="shared" si="31" ref="N175:N187">M175/H175</f>
        <v>1</v>
      </c>
    </row>
    <row r="176" spans="1:14" ht="29.25" customHeight="1" hidden="1">
      <c r="A176" s="154"/>
      <c r="B176" s="20" t="s">
        <v>69</v>
      </c>
      <c r="C176" s="51" t="s">
        <v>258</v>
      </c>
      <c r="D176" s="9"/>
      <c r="E176" s="9"/>
      <c r="F176" s="9"/>
      <c r="G176" s="9"/>
      <c r="H176" s="9">
        <f t="shared" si="30"/>
        <v>0</v>
      </c>
      <c r="I176" s="9"/>
      <c r="J176" s="9"/>
      <c r="K176" s="9"/>
      <c r="L176" s="9"/>
      <c r="M176" s="9">
        <f t="shared" si="28"/>
        <v>0</v>
      </c>
      <c r="N176" s="10" t="e">
        <f t="shared" si="31"/>
        <v>#DIV/0!</v>
      </c>
    </row>
    <row r="177" spans="1:14" ht="9.75" customHeight="1" hidden="1">
      <c r="A177" s="154"/>
      <c r="B177" s="52" t="s">
        <v>70</v>
      </c>
      <c r="C177" s="53"/>
      <c r="D177" s="11">
        <f>SUM(D176)</f>
        <v>0</v>
      </c>
      <c r="E177" s="11">
        <f>SUM(E176)</f>
        <v>0</v>
      </c>
      <c r="F177" s="11">
        <f>SUM(F176)</f>
        <v>0</v>
      </c>
      <c r="G177" s="11">
        <f>SUM(G176)</f>
        <v>0</v>
      </c>
      <c r="H177" s="11">
        <f t="shared" si="30"/>
        <v>0</v>
      </c>
      <c r="I177" s="11">
        <f>SUM(I176)</f>
        <v>0</v>
      </c>
      <c r="J177" s="11">
        <f>SUM(J176)</f>
        <v>0</v>
      </c>
      <c r="K177" s="11">
        <f>SUM(K176)</f>
        <v>0</v>
      </c>
      <c r="L177" s="11">
        <f>SUM(L176)</f>
        <v>0</v>
      </c>
      <c r="M177" s="11">
        <f t="shared" si="28"/>
        <v>0</v>
      </c>
      <c r="N177" s="10" t="e">
        <f t="shared" si="31"/>
        <v>#DIV/0!</v>
      </c>
    </row>
    <row r="178" spans="1:14" ht="29.25">
      <c r="A178" s="154"/>
      <c r="B178" s="20" t="s">
        <v>71</v>
      </c>
      <c r="C178" s="51" t="s">
        <v>258</v>
      </c>
      <c r="D178" s="9">
        <v>112686</v>
      </c>
      <c r="E178" s="9"/>
      <c r="F178" s="9"/>
      <c r="G178" s="9"/>
      <c r="H178" s="9">
        <f t="shared" si="30"/>
        <v>112686</v>
      </c>
      <c r="I178" s="9">
        <v>112686</v>
      </c>
      <c r="J178" s="9"/>
      <c r="K178" s="9"/>
      <c r="L178" s="9"/>
      <c r="M178" s="9">
        <f t="shared" si="28"/>
        <v>112686</v>
      </c>
      <c r="N178" s="10">
        <f t="shared" si="31"/>
        <v>1</v>
      </c>
    </row>
    <row r="179" spans="1:14" ht="9.75">
      <c r="A179" s="154"/>
      <c r="B179" s="116" t="s">
        <v>72</v>
      </c>
      <c r="C179" s="53"/>
      <c r="D179" s="11">
        <f>SUM(D178)</f>
        <v>112686</v>
      </c>
      <c r="E179" s="11">
        <f>SUM(E178)</f>
        <v>0</v>
      </c>
      <c r="F179" s="11">
        <f>SUM(F178)</f>
        <v>0</v>
      </c>
      <c r="G179" s="11">
        <f>SUM(G178)</f>
        <v>0</v>
      </c>
      <c r="H179" s="11">
        <f t="shared" si="30"/>
        <v>112686</v>
      </c>
      <c r="I179" s="11">
        <f>SUM(I178)</f>
        <v>112686</v>
      </c>
      <c r="J179" s="11">
        <f>SUM(J178)</f>
        <v>0</v>
      </c>
      <c r="K179" s="11">
        <f>SUM(K178)</f>
        <v>0</v>
      </c>
      <c r="L179" s="11">
        <f>SUM(L178)</f>
        <v>0</v>
      </c>
      <c r="M179" s="11">
        <f t="shared" si="28"/>
        <v>112686</v>
      </c>
      <c r="N179" s="39">
        <f t="shared" si="31"/>
        <v>1</v>
      </c>
    </row>
    <row r="180" spans="1:14" ht="29.25" customHeight="1" hidden="1">
      <c r="A180" s="154"/>
      <c r="B180" s="46" t="s">
        <v>73</v>
      </c>
      <c r="C180" s="51" t="s">
        <v>258</v>
      </c>
      <c r="D180" s="9"/>
      <c r="E180" s="9"/>
      <c r="F180" s="9"/>
      <c r="G180" s="9"/>
      <c r="H180" s="9">
        <f t="shared" si="30"/>
        <v>0</v>
      </c>
      <c r="I180" s="9"/>
      <c r="J180" s="9"/>
      <c r="K180" s="9"/>
      <c r="L180" s="9"/>
      <c r="M180" s="9">
        <f t="shared" si="28"/>
        <v>0</v>
      </c>
      <c r="N180" s="10" t="e">
        <f t="shared" si="31"/>
        <v>#DIV/0!</v>
      </c>
    </row>
    <row r="181" spans="1:14" ht="9.75" customHeight="1" hidden="1">
      <c r="A181" s="154"/>
      <c r="B181" s="67" t="s">
        <v>74</v>
      </c>
      <c r="C181" s="53"/>
      <c r="D181" s="11">
        <f>SUM(D180)</f>
        <v>0</v>
      </c>
      <c r="E181" s="11">
        <f>SUM(E180)</f>
        <v>0</v>
      </c>
      <c r="F181" s="11">
        <f>SUM(F180)</f>
        <v>0</v>
      </c>
      <c r="G181" s="11">
        <f>SUM(G180)</f>
        <v>0</v>
      </c>
      <c r="H181" s="11">
        <f t="shared" si="30"/>
        <v>0</v>
      </c>
      <c r="I181" s="11">
        <f>SUM(I180)</f>
        <v>0</v>
      </c>
      <c r="J181" s="11">
        <f>SUM(J180)</f>
        <v>0</v>
      </c>
      <c r="K181" s="11">
        <f>SUM(K180)</f>
        <v>0</v>
      </c>
      <c r="L181" s="11">
        <f>SUM(L180)</f>
        <v>0</v>
      </c>
      <c r="M181" s="11">
        <f t="shared" si="28"/>
        <v>0</v>
      </c>
      <c r="N181" s="10" t="e">
        <f t="shared" si="31"/>
        <v>#DIV/0!</v>
      </c>
    </row>
    <row r="182" spans="1:14" s="17" customFormat="1" ht="29.25" customHeight="1" hidden="1">
      <c r="A182" s="154"/>
      <c r="B182" s="113"/>
      <c r="C182" s="63" t="s">
        <v>240</v>
      </c>
      <c r="D182" s="16"/>
      <c r="E182" s="16"/>
      <c r="F182" s="16"/>
      <c r="G182" s="16"/>
      <c r="H182" s="15">
        <f t="shared" si="30"/>
        <v>0</v>
      </c>
      <c r="I182" s="15"/>
      <c r="J182" s="15"/>
      <c r="K182" s="15"/>
      <c r="L182" s="15"/>
      <c r="M182" s="15">
        <f t="shared" si="28"/>
        <v>0</v>
      </c>
      <c r="N182" s="10" t="e">
        <f t="shared" si="31"/>
        <v>#DIV/0!</v>
      </c>
    </row>
    <row r="183" spans="1:14" s="17" customFormat="1" ht="9.75" customHeight="1" hidden="1">
      <c r="A183" s="154"/>
      <c r="B183" s="114"/>
      <c r="C183" s="68" t="s">
        <v>249</v>
      </c>
      <c r="D183" s="16"/>
      <c r="E183" s="16"/>
      <c r="F183" s="16"/>
      <c r="G183" s="16"/>
      <c r="H183" s="15">
        <f t="shared" si="30"/>
        <v>0</v>
      </c>
      <c r="I183" s="15"/>
      <c r="J183" s="15"/>
      <c r="K183" s="15"/>
      <c r="L183" s="15"/>
      <c r="M183" s="15">
        <f t="shared" si="28"/>
        <v>0</v>
      </c>
      <c r="N183" s="10" t="e">
        <f t="shared" si="31"/>
        <v>#DIV/0!</v>
      </c>
    </row>
    <row r="184" spans="1:14" s="17" customFormat="1" ht="9.75" customHeight="1" hidden="1">
      <c r="A184" s="154"/>
      <c r="B184" s="114"/>
      <c r="C184" s="68" t="s">
        <v>254</v>
      </c>
      <c r="D184" s="16"/>
      <c r="E184" s="16"/>
      <c r="F184" s="16"/>
      <c r="G184" s="16"/>
      <c r="H184" s="15">
        <f t="shared" si="30"/>
        <v>0</v>
      </c>
      <c r="I184" s="15"/>
      <c r="J184" s="15"/>
      <c r="K184" s="15"/>
      <c r="L184" s="15"/>
      <c r="M184" s="15">
        <f t="shared" si="28"/>
        <v>0</v>
      </c>
      <c r="N184" s="10" t="e">
        <f t="shared" si="31"/>
        <v>#DIV/0!</v>
      </c>
    </row>
    <row r="185" spans="1:14" s="17" customFormat="1" ht="9.75" customHeight="1" hidden="1">
      <c r="A185" s="154"/>
      <c r="B185" s="114"/>
      <c r="C185" s="68" t="s">
        <v>246</v>
      </c>
      <c r="D185" s="16"/>
      <c r="E185" s="16"/>
      <c r="F185" s="16"/>
      <c r="G185" s="16"/>
      <c r="H185" s="15">
        <f t="shared" si="30"/>
        <v>0</v>
      </c>
      <c r="I185" s="15"/>
      <c r="J185" s="15"/>
      <c r="K185" s="15"/>
      <c r="L185" s="15"/>
      <c r="M185" s="15">
        <f t="shared" si="28"/>
        <v>0</v>
      </c>
      <c r="N185" s="10" t="e">
        <f t="shared" si="31"/>
        <v>#DIV/0!</v>
      </c>
    </row>
    <row r="186" spans="1:14" s="17" customFormat="1" ht="19.5">
      <c r="A186" s="154"/>
      <c r="B186" s="169" t="s">
        <v>75</v>
      </c>
      <c r="C186" s="63" t="s">
        <v>259</v>
      </c>
      <c r="D186" s="15"/>
      <c r="E186" s="15"/>
      <c r="F186" s="15"/>
      <c r="G186" s="15"/>
      <c r="H186" s="15">
        <f t="shared" si="30"/>
        <v>0</v>
      </c>
      <c r="I186" s="15">
        <v>3901</v>
      </c>
      <c r="J186" s="15"/>
      <c r="K186" s="15"/>
      <c r="L186" s="15"/>
      <c r="M186" s="15">
        <f t="shared" si="28"/>
        <v>3901</v>
      </c>
      <c r="N186" s="10"/>
    </row>
    <row r="187" spans="1:14" s="17" customFormat="1" ht="19.5" hidden="1">
      <c r="A187" s="154"/>
      <c r="B187" s="168"/>
      <c r="C187" s="63" t="s">
        <v>241</v>
      </c>
      <c r="D187" s="15"/>
      <c r="E187" s="15"/>
      <c r="F187" s="15"/>
      <c r="G187" s="15"/>
      <c r="H187" s="15">
        <f t="shared" si="30"/>
        <v>0</v>
      </c>
      <c r="I187" s="15"/>
      <c r="J187" s="15"/>
      <c r="K187" s="15"/>
      <c r="L187" s="15"/>
      <c r="M187" s="15">
        <f t="shared" si="28"/>
        <v>0</v>
      </c>
      <c r="N187" s="10" t="e">
        <f t="shared" si="31"/>
        <v>#DIV/0!</v>
      </c>
    </row>
    <row r="188" spans="1:14" s="17" customFormat="1" ht="9.75">
      <c r="A188" s="154"/>
      <c r="B188" s="162"/>
      <c r="C188" s="63" t="s">
        <v>219</v>
      </c>
      <c r="D188" s="15">
        <v>500000</v>
      </c>
      <c r="E188" s="15"/>
      <c r="F188" s="15"/>
      <c r="G188" s="15"/>
      <c r="H188" s="15">
        <f t="shared" si="30"/>
        <v>500000</v>
      </c>
      <c r="I188" s="15">
        <v>753873</v>
      </c>
      <c r="J188" s="15">
        <v>138</v>
      </c>
      <c r="K188" s="15"/>
      <c r="L188" s="15"/>
      <c r="M188" s="15">
        <f t="shared" si="28"/>
        <v>754011</v>
      </c>
      <c r="N188" s="10">
        <f>M188/H188</f>
        <v>1.508022</v>
      </c>
    </row>
    <row r="189" spans="1:14" ht="9.75">
      <c r="A189" s="154"/>
      <c r="B189" s="52" t="s">
        <v>76</v>
      </c>
      <c r="C189" s="53"/>
      <c r="D189" s="11">
        <f>SUM(D186:D188)</f>
        <v>500000</v>
      </c>
      <c r="E189" s="11">
        <f>SUM(E186:E188)</f>
        <v>0</v>
      </c>
      <c r="F189" s="11">
        <f>SUM(F186:F188)</f>
        <v>0</v>
      </c>
      <c r="G189" s="11">
        <f>SUM(G186:G188)</f>
        <v>0</v>
      </c>
      <c r="H189" s="11">
        <f t="shared" si="30"/>
        <v>500000</v>
      </c>
      <c r="I189" s="11">
        <f>SUM(I182:I188)</f>
        <v>757774</v>
      </c>
      <c r="J189" s="11">
        <f>SUM(J182:J188)</f>
        <v>138</v>
      </c>
      <c r="K189" s="11">
        <f>SUM(K182:K188)</f>
        <v>0</v>
      </c>
      <c r="L189" s="11">
        <f>SUM(L182:L188)</f>
        <v>0</v>
      </c>
      <c r="M189" s="11">
        <f t="shared" si="28"/>
        <v>757912</v>
      </c>
      <c r="N189" s="39">
        <f>M189/H189</f>
        <v>1.515824</v>
      </c>
    </row>
    <row r="190" spans="1:14" ht="19.5">
      <c r="A190" s="154"/>
      <c r="B190" s="20" t="s">
        <v>133</v>
      </c>
      <c r="C190" s="51" t="s">
        <v>248</v>
      </c>
      <c r="D190" s="9"/>
      <c r="E190" s="9"/>
      <c r="F190" s="9"/>
      <c r="G190" s="9"/>
      <c r="H190" s="9">
        <f t="shared" si="30"/>
        <v>0</v>
      </c>
      <c r="I190" s="9">
        <v>580</v>
      </c>
      <c r="J190" s="9"/>
      <c r="K190" s="9"/>
      <c r="L190" s="9"/>
      <c r="M190" s="9">
        <f t="shared" si="28"/>
        <v>580</v>
      </c>
      <c r="N190" s="10"/>
    </row>
    <row r="191" spans="1:14" ht="9.75">
      <c r="A191" s="156"/>
      <c r="B191" s="52" t="s">
        <v>134</v>
      </c>
      <c r="C191" s="53"/>
      <c r="D191" s="11">
        <f>SUM(D190)</f>
        <v>0</v>
      </c>
      <c r="E191" s="11">
        <f>SUM(E190)</f>
        <v>0</v>
      </c>
      <c r="F191" s="11">
        <f>SUM(F190)</f>
        <v>0</v>
      </c>
      <c r="G191" s="11">
        <f>SUM(G190)</f>
        <v>0</v>
      </c>
      <c r="H191" s="11">
        <f t="shared" si="30"/>
        <v>0</v>
      </c>
      <c r="I191" s="11">
        <f>SUM(I190)</f>
        <v>580</v>
      </c>
      <c r="J191" s="11">
        <f>SUM(J190)</f>
        <v>0</v>
      </c>
      <c r="K191" s="11">
        <f>SUM(K190)</f>
        <v>0</v>
      </c>
      <c r="L191" s="11">
        <f>SUM(L190)</f>
        <v>0</v>
      </c>
      <c r="M191" s="11">
        <f t="shared" si="28"/>
        <v>580</v>
      </c>
      <c r="N191" s="39"/>
    </row>
    <row r="192" spans="1:14" ht="9.75">
      <c r="A192" s="58" t="s">
        <v>77</v>
      </c>
      <c r="B192" s="55"/>
      <c r="C192" s="55"/>
      <c r="D192" s="13">
        <f>SUM(D191,D189,D181,D179,D177,D175,D170)</f>
        <v>69496664</v>
      </c>
      <c r="E192" s="13">
        <f>SUM(E191,E189,E181,E179,E177,E175,E170)</f>
        <v>60370621</v>
      </c>
      <c r="F192" s="13">
        <f>SUM(F191,F189,F181,F179,F177,F175,F170)</f>
        <v>0</v>
      </c>
      <c r="G192" s="13">
        <f>SUM(G191,G189,G181,G179,G177,G175,G170)</f>
        <v>0</v>
      </c>
      <c r="H192" s="13">
        <f t="shared" si="30"/>
        <v>129867285</v>
      </c>
      <c r="I192" s="13">
        <f>SUM(I191,I189,I181,I179,I177,I175,I170)</f>
        <v>69755018</v>
      </c>
      <c r="J192" s="13">
        <f>SUM(J191,J189,J181,J179,J177,J175,J170)</f>
        <v>60370759</v>
      </c>
      <c r="K192" s="13">
        <f>SUM(K191,K189,K181,K179,K177,K175,K170)</f>
        <v>0</v>
      </c>
      <c r="L192" s="13">
        <f>SUM(L191,L189,L181,L179,L177,L175,L170)</f>
        <v>0</v>
      </c>
      <c r="M192" s="13">
        <f t="shared" si="28"/>
        <v>130125777</v>
      </c>
      <c r="N192" s="124">
        <f aca="true" t="shared" si="32" ref="N192:N223">M192/H192</f>
        <v>1.0019904320014081</v>
      </c>
    </row>
    <row r="193" spans="1:14" ht="9.75">
      <c r="A193" s="150" t="s">
        <v>78</v>
      </c>
      <c r="B193" s="142" t="s">
        <v>79</v>
      </c>
      <c r="C193" s="51" t="s">
        <v>218</v>
      </c>
      <c r="D193" s="9"/>
      <c r="E193" s="9"/>
      <c r="F193" s="9"/>
      <c r="G193" s="9"/>
      <c r="H193" s="9">
        <f t="shared" si="30"/>
        <v>0</v>
      </c>
      <c r="I193" s="9">
        <v>40</v>
      </c>
      <c r="J193" s="9"/>
      <c r="K193" s="9"/>
      <c r="L193" s="9"/>
      <c r="M193" s="9">
        <f t="shared" si="28"/>
        <v>40</v>
      </c>
      <c r="N193" s="10"/>
    </row>
    <row r="194" spans="1:14" ht="47.25" customHeight="1">
      <c r="A194" s="151"/>
      <c r="B194" s="143"/>
      <c r="C194" s="51" t="s">
        <v>278</v>
      </c>
      <c r="D194" s="9">
        <f>1035306+40000+32000+67960+9100</f>
        <v>1184366</v>
      </c>
      <c r="E194" s="9"/>
      <c r="F194" s="9"/>
      <c r="G194" s="9"/>
      <c r="H194" s="9">
        <f t="shared" si="30"/>
        <v>1184366</v>
      </c>
      <c r="I194" s="9">
        <v>1259658</v>
      </c>
      <c r="J194" s="9"/>
      <c r="K194" s="9"/>
      <c r="L194" s="9"/>
      <c r="M194" s="9">
        <f t="shared" si="28"/>
        <v>1259658</v>
      </c>
      <c r="N194" s="10">
        <f t="shared" si="32"/>
        <v>1.0635715648709942</v>
      </c>
    </row>
    <row r="195" spans="1:14" ht="9.75">
      <c r="A195" s="151"/>
      <c r="B195" s="143"/>
      <c r="C195" s="51" t="s">
        <v>219</v>
      </c>
      <c r="D195" s="9"/>
      <c r="E195" s="9"/>
      <c r="F195" s="9"/>
      <c r="G195" s="9"/>
      <c r="H195" s="9">
        <f t="shared" si="30"/>
        <v>0</v>
      </c>
      <c r="I195" s="9">
        <v>73311</v>
      </c>
      <c r="J195" s="9"/>
      <c r="K195" s="9"/>
      <c r="L195" s="9"/>
      <c r="M195" s="9">
        <f aca="true" t="shared" si="33" ref="M195:M226">SUM(I195:L195)</f>
        <v>73311</v>
      </c>
      <c r="N195" s="10"/>
    </row>
    <row r="196" spans="1:14" ht="9.75">
      <c r="A196" s="151"/>
      <c r="B196" s="143"/>
      <c r="C196" s="51" t="s">
        <v>221</v>
      </c>
      <c r="D196" s="9"/>
      <c r="E196" s="9"/>
      <c r="F196" s="9"/>
      <c r="G196" s="9"/>
      <c r="H196" s="9">
        <f t="shared" si="30"/>
        <v>0</v>
      </c>
      <c r="I196" s="9">
        <v>3615</v>
      </c>
      <c r="J196" s="9"/>
      <c r="K196" s="9"/>
      <c r="L196" s="9"/>
      <c r="M196" s="9">
        <f t="shared" si="33"/>
        <v>3615</v>
      </c>
      <c r="N196" s="10"/>
    </row>
    <row r="197" spans="1:14" ht="27.75" customHeight="1">
      <c r="A197" s="151"/>
      <c r="B197" s="143"/>
      <c r="C197" s="51" t="s">
        <v>260</v>
      </c>
      <c r="D197" s="9">
        <v>16840</v>
      </c>
      <c r="E197" s="9"/>
      <c r="F197" s="9"/>
      <c r="G197" s="9"/>
      <c r="H197" s="9">
        <f t="shared" si="30"/>
        <v>16840</v>
      </c>
      <c r="I197" s="9">
        <v>16703</v>
      </c>
      <c r="J197" s="9"/>
      <c r="K197" s="9"/>
      <c r="L197" s="9"/>
      <c r="M197" s="9">
        <f t="shared" si="33"/>
        <v>16703</v>
      </c>
      <c r="N197" s="10">
        <f t="shared" si="32"/>
        <v>0.9918646080760095</v>
      </c>
    </row>
    <row r="198" spans="1:14" ht="39" hidden="1">
      <c r="A198" s="151"/>
      <c r="B198" s="143"/>
      <c r="C198" s="51" t="s">
        <v>232</v>
      </c>
      <c r="D198" s="9"/>
      <c r="E198" s="9"/>
      <c r="F198" s="9"/>
      <c r="G198" s="9"/>
      <c r="H198" s="9">
        <f t="shared" si="30"/>
        <v>0</v>
      </c>
      <c r="I198" s="9"/>
      <c r="J198" s="9"/>
      <c r="K198" s="9"/>
      <c r="L198" s="9"/>
      <c r="M198" s="9">
        <f t="shared" si="33"/>
        <v>0</v>
      </c>
      <c r="N198" s="10" t="e">
        <f t="shared" si="32"/>
        <v>#DIV/0!</v>
      </c>
    </row>
    <row r="199" spans="1:14" ht="19.5" hidden="1">
      <c r="A199" s="151"/>
      <c r="B199" s="146"/>
      <c r="C199" s="51" t="s">
        <v>261</v>
      </c>
      <c r="D199" s="9"/>
      <c r="E199" s="9"/>
      <c r="F199" s="9"/>
      <c r="G199" s="9"/>
      <c r="H199" s="9">
        <f t="shared" si="30"/>
        <v>0</v>
      </c>
      <c r="I199" s="9"/>
      <c r="J199" s="9"/>
      <c r="K199" s="9"/>
      <c r="L199" s="9"/>
      <c r="M199" s="9">
        <f t="shared" si="33"/>
        <v>0</v>
      </c>
      <c r="N199" s="10" t="e">
        <f t="shared" si="32"/>
        <v>#DIV/0!</v>
      </c>
    </row>
    <row r="200" spans="1:14" ht="9.75">
      <c r="A200" s="151"/>
      <c r="B200" s="52" t="s">
        <v>80</v>
      </c>
      <c r="C200" s="53"/>
      <c r="D200" s="11">
        <f>SUM(D193:D199)</f>
        <v>1201206</v>
      </c>
      <c r="E200" s="11">
        <f>SUM(E193:E199)</f>
        <v>0</v>
      </c>
      <c r="F200" s="11">
        <f>SUM(F193:F199)</f>
        <v>0</v>
      </c>
      <c r="G200" s="11">
        <f>SUM(G193:G199)</f>
        <v>0</v>
      </c>
      <c r="H200" s="11">
        <f t="shared" si="30"/>
        <v>1201206</v>
      </c>
      <c r="I200" s="11">
        <f>SUM(I193:I199)</f>
        <v>1353327</v>
      </c>
      <c r="J200" s="11">
        <f>SUM(J193:J199)</f>
        <v>0</v>
      </c>
      <c r="K200" s="11">
        <f>SUM(K193:K199)</f>
        <v>0</v>
      </c>
      <c r="L200" s="11">
        <f>SUM(L193:L199)</f>
        <v>0</v>
      </c>
      <c r="M200" s="11">
        <f t="shared" si="33"/>
        <v>1353327</v>
      </c>
      <c r="N200" s="39">
        <f t="shared" si="32"/>
        <v>1.1266402265722948</v>
      </c>
    </row>
    <row r="201" spans="1:14" ht="45.75" customHeight="1">
      <c r="A201" s="151"/>
      <c r="B201" s="142" t="s">
        <v>81</v>
      </c>
      <c r="C201" s="51" t="s">
        <v>278</v>
      </c>
      <c r="D201" s="9"/>
      <c r="E201" s="9">
        <v>44000</v>
      </c>
      <c r="F201" s="9"/>
      <c r="G201" s="9"/>
      <c r="H201" s="9">
        <f t="shared" si="30"/>
        <v>44000</v>
      </c>
      <c r="I201" s="9"/>
      <c r="J201" s="9">
        <v>32213</v>
      </c>
      <c r="K201" s="9"/>
      <c r="L201" s="9"/>
      <c r="M201" s="9">
        <f t="shared" si="33"/>
        <v>32213</v>
      </c>
      <c r="N201" s="10">
        <f t="shared" si="32"/>
        <v>0.7321136363636364</v>
      </c>
    </row>
    <row r="202" spans="1:14" ht="9" customHeight="1">
      <c r="A202" s="151"/>
      <c r="B202" s="143"/>
      <c r="C202" s="51" t="s">
        <v>219</v>
      </c>
      <c r="D202" s="9"/>
      <c r="E202" s="9"/>
      <c r="F202" s="9"/>
      <c r="G202" s="9"/>
      <c r="H202" s="9">
        <f t="shared" si="30"/>
        <v>0</v>
      </c>
      <c r="I202" s="9"/>
      <c r="J202" s="9">
        <v>2104</v>
      </c>
      <c r="K202" s="9"/>
      <c r="L202" s="9"/>
      <c r="M202" s="9">
        <f t="shared" si="33"/>
        <v>2104</v>
      </c>
      <c r="N202" s="10"/>
    </row>
    <row r="203" spans="1:14" ht="9.75" hidden="1">
      <c r="A203" s="151"/>
      <c r="B203" s="143"/>
      <c r="C203" s="51" t="s">
        <v>221</v>
      </c>
      <c r="D203" s="9"/>
      <c r="E203" s="9"/>
      <c r="F203" s="9"/>
      <c r="G203" s="9"/>
      <c r="H203" s="9">
        <f t="shared" si="30"/>
        <v>0</v>
      </c>
      <c r="I203" s="9"/>
      <c r="J203" s="9"/>
      <c r="K203" s="9"/>
      <c r="L203" s="9"/>
      <c r="M203" s="9">
        <f t="shared" si="33"/>
        <v>0</v>
      </c>
      <c r="N203" s="10" t="e">
        <f t="shared" si="32"/>
        <v>#DIV/0!</v>
      </c>
    </row>
    <row r="204" spans="1:14" ht="9.75" hidden="1">
      <c r="A204" s="151"/>
      <c r="B204" s="146"/>
      <c r="C204" s="51" t="s">
        <v>219</v>
      </c>
      <c r="D204" s="98"/>
      <c r="E204" s="98"/>
      <c r="F204" s="98"/>
      <c r="G204" s="98"/>
      <c r="H204" s="98">
        <f t="shared" si="30"/>
        <v>0</v>
      </c>
      <c r="I204" s="98"/>
      <c r="J204" s="98"/>
      <c r="K204" s="98"/>
      <c r="L204" s="98"/>
      <c r="M204" s="9">
        <f t="shared" si="33"/>
        <v>0</v>
      </c>
      <c r="N204" s="10" t="e">
        <f t="shared" si="32"/>
        <v>#DIV/0!</v>
      </c>
    </row>
    <row r="205" spans="1:14" ht="9.75">
      <c r="A205" s="151"/>
      <c r="B205" s="52" t="s">
        <v>82</v>
      </c>
      <c r="C205" s="53"/>
      <c r="D205" s="30">
        <f>SUM(D201:D202)</f>
        <v>0</v>
      </c>
      <c r="E205" s="30">
        <f>SUM(E201:E202)</f>
        <v>44000</v>
      </c>
      <c r="F205" s="30">
        <f>SUM(F201:F202)</f>
        <v>0</v>
      </c>
      <c r="G205" s="30">
        <f>SUM(G201:G202)</f>
        <v>0</v>
      </c>
      <c r="H205" s="30">
        <f t="shared" si="30"/>
        <v>44000</v>
      </c>
      <c r="I205" s="30">
        <f>SUM(I201:I202)</f>
        <v>0</v>
      </c>
      <c r="J205" s="30">
        <f>SUM(J201:J204)</f>
        <v>34317</v>
      </c>
      <c r="K205" s="30">
        <f>SUM(K201:K204)</f>
        <v>0</v>
      </c>
      <c r="L205" s="30">
        <f>SUM(L201:L204)</f>
        <v>0</v>
      </c>
      <c r="M205" s="30">
        <f t="shared" si="33"/>
        <v>34317</v>
      </c>
      <c r="N205" s="39">
        <f t="shared" si="32"/>
        <v>0.7799318181818182</v>
      </c>
    </row>
    <row r="206" spans="1:14" s="17" customFormat="1" ht="47.25" customHeight="1">
      <c r="A206" s="151"/>
      <c r="B206" s="176" t="s">
        <v>311</v>
      </c>
      <c r="C206" s="63" t="s">
        <v>278</v>
      </c>
      <c r="D206" s="15">
        <f>14760+24749</f>
        <v>39509</v>
      </c>
      <c r="E206" s="15"/>
      <c r="F206" s="15"/>
      <c r="G206" s="15"/>
      <c r="H206" s="15">
        <f t="shared" si="30"/>
        <v>39509</v>
      </c>
      <c r="I206" s="15">
        <v>79443</v>
      </c>
      <c r="J206" s="15"/>
      <c r="K206" s="15"/>
      <c r="L206" s="15"/>
      <c r="M206" s="15">
        <f t="shared" si="33"/>
        <v>79443</v>
      </c>
      <c r="N206" s="10">
        <f t="shared" si="32"/>
        <v>2.0107570426991317</v>
      </c>
    </row>
    <row r="207" spans="1:14" s="17" customFormat="1" ht="9.75">
      <c r="A207" s="151"/>
      <c r="B207" s="177"/>
      <c r="C207" s="68" t="s">
        <v>219</v>
      </c>
      <c r="D207" s="15"/>
      <c r="E207" s="15"/>
      <c r="F207" s="15"/>
      <c r="G207" s="15"/>
      <c r="H207" s="15">
        <f t="shared" si="30"/>
        <v>0</v>
      </c>
      <c r="I207" s="15">
        <v>17718</v>
      </c>
      <c r="J207" s="15"/>
      <c r="K207" s="15"/>
      <c r="L207" s="15"/>
      <c r="M207" s="15">
        <f t="shared" si="33"/>
        <v>17718</v>
      </c>
      <c r="N207" s="10"/>
    </row>
    <row r="208" spans="1:14" ht="39">
      <c r="A208" s="151"/>
      <c r="B208" s="177"/>
      <c r="C208" s="63" t="s">
        <v>262</v>
      </c>
      <c r="D208" s="15">
        <v>71520</v>
      </c>
      <c r="E208" s="15"/>
      <c r="F208" s="15"/>
      <c r="G208" s="15"/>
      <c r="H208" s="15">
        <f t="shared" si="30"/>
        <v>71520</v>
      </c>
      <c r="I208" s="15">
        <v>66011</v>
      </c>
      <c r="J208" s="15"/>
      <c r="K208" s="15"/>
      <c r="L208" s="15"/>
      <c r="M208" s="15">
        <f t="shared" si="33"/>
        <v>66011</v>
      </c>
      <c r="N208" s="10">
        <f t="shared" si="32"/>
        <v>0.9229725950782998</v>
      </c>
    </row>
    <row r="209" spans="1:14" ht="19.5">
      <c r="A209" s="151"/>
      <c r="B209" s="130"/>
      <c r="C209" s="63" t="s">
        <v>316</v>
      </c>
      <c r="D209" s="15"/>
      <c r="E209" s="15"/>
      <c r="F209" s="15"/>
      <c r="G209" s="15"/>
      <c r="H209" s="15"/>
      <c r="I209" s="15">
        <v>10770</v>
      </c>
      <c r="J209" s="15"/>
      <c r="K209" s="15"/>
      <c r="L209" s="15"/>
      <c r="M209" s="15">
        <f t="shared" si="33"/>
        <v>10770</v>
      </c>
      <c r="N209" s="10"/>
    </row>
    <row r="210" spans="1:14" ht="9.75">
      <c r="A210" s="151"/>
      <c r="B210" s="160" t="s">
        <v>310</v>
      </c>
      <c r="C210" s="161"/>
      <c r="D210" s="11">
        <f>SUM(D206:D208)</f>
        <v>111029</v>
      </c>
      <c r="E210" s="11">
        <f>SUM(E208)</f>
        <v>0</v>
      </c>
      <c r="F210" s="11">
        <f>SUM(F208)</f>
        <v>0</v>
      </c>
      <c r="G210" s="11">
        <f>SUM(G208)</f>
        <v>0</v>
      </c>
      <c r="H210" s="11">
        <f aca="true" t="shared" si="34" ref="H210:H216">SUM(D210:G210)</f>
        <v>111029</v>
      </c>
      <c r="I210" s="11">
        <f>SUM(I206:I209)</f>
        <v>173942</v>
      </c>
      <c r="J210" s="11">
        <f>SUM(J208)</f>
        <v>0</v>
      </c>
      <c r="K210" s="11">
        <f>SUM(K208)</f>
        <v>0</v>
      </c>
      <c r="L210" s="11">
        <f>SUM(L208)</f>
        <v>0</v>
      </c>
      <c r="M210" s="11">
        <f t="shared" si="33"/>
        <v>173942</v>
      </c>
      <c r="N210" s="39">
        <f t="shared" si="32"/>
        <v>1.566635743814679</v>
      </c>
    </row>
    <row r="211" spans="1:14" ht="48" customHeight="1">
      <c r="A211" s="151"/>
      <c r="B211" s="143" t="s">
        <v>83</v>
      </c>
      <c r="C211" s="44" t="s">
        <v>278</v>
      </c>
      <c r="D211" s="31">
        <f>211075+15100+25000+5060</f>
        <v>256235</v>
      </c>
      <c r="E211" s="31"/>
      <c r="F211" s="31"/>
      <c r="G211" s="31"/>
      <c r="H211" s="31">
        <f t="shared" si="34"/>
        <v>256235</v>
      </c>
      <c r="I211" s="31">
        <v>258027</v>
      </c>
      <c r="J211" s="31"/>
      <c r="K211" s="31"/>
      <c r="L211" s="31"/>
      <c r="M211" s="31">
        <f t="shared" si="33"/>
        <v>258027</v>
      </c>
      <c r="N211" s="10">
        <f t="shared" si="32"/>
        <v>1.0069935801120065</v>
      </c>
    </row>
    <row r="212" spans="1:14" ht="9.75">
      <c r="A212" s="151"/>
      <c r="B212" s="143"/>
      <c r="C212" s="51" t="s">
        <v>219</v>
      </c>
      <c r="D212" s="9"/>
      <c r="E212" s="9"/>
      <c r="F212" s="9"/>
      <c r="G212" s="9"/>
      <c r="H212" s="9">
        <f t="shared" si="34"/>
        <v>0</v>
      </c>
      <c r="I212" s="9">
        <v>17491</v>
      </c>
      <c r="J212" s="9"/>
      <c r="K212" s="9"/>
      <c r="L212" s="9"/>
      <c r="M212" s="9">
        <f t="shared" si="33"/>
        <v>17491</v>
      </c>
      <c r="N212" s="10"/>
    </row>
    <row r="213" spans="1:14" ht="9.75">
      <c r="A213" s="151"/>
      <c r="B213" s="143"/>
      <c r="C213" s="51" t="s">
        <v>221</v>
      </c>
      <c r="D213" s="9"/>
      <c r="E213" s="9"/>
      <c r="F213" s="9"/>
      <c r="G213" s="9"/>
      <c r="H213" s="9">
        <f t="shared" si="34"/>
        <v>0</v>
      </c>
      <c r="I213" s="9">
        <v>1111</v>
      </c>
      <c r="J213" s="9"/>
      <c r="K213" s="9"/>
      <c r="L213" s="9"/>
      <c r="M213" s="9">
        <f t="shared" si="33"/>
        <v>1111</v>
      </c>
      <c r="N213" s="10"/>
    </row>
    <row r="214" spans="1:14" ht="39" hidden="1">
      <c r="A214" s="151"/>
      <c r="B214" s="146"/>
      <c r="C214" s="51" t="s">
        <v>262</v>
      </c>
      <c r="D214" s="9"/>
      <c r="E214" s="9"/>
      <c r="F214" s="9"/>
      <c r="G214" s="9"/>
      <c r="H214" s="9">
        <f t="shared" si="34"/>
        <v>0</v>
      </c>
      <c r="I214" s="9"/>
      <c r="J214" s="9"/>
      <c r="K214" s="9"/>
      <c r="L214" s="9"/>
      <c r="M214" s="9">
        <f t="shared" si="33"/>
        <v>0</v>
      </c>
      <c r="N214" s="10" t="e">
        <f t="shared" si="32"/>
        <v>#DIV/0!</v>
      </c>
    </row>
    <row r="215" spans="1:14" ht="9.75">
      <c r="A215" s="151"/>
      <c r="B215" s="52" t="s">
        <v>84</v>
      </c>
      <c r="C215" s="53"/>
      <c r="D215" s="11">
        <f>SUM(D211:D214)</f>
        <v>256235</v>
      </c>
      <c r="E215" s="11">
        <f>SUM(E211:E214)</f>
        <v>0</v>
      </c>
      <c r="F215" s="11">
        <f>SUM(F211:F214)</f>
        <v>0</v>
      </c>
      <c r="G215" s="11">
        <f>SUM(G211:G214)</f>
        <v>0</v>
      </c>
      <c r="H215" s="11">
        <f t="shared" si="34"/>
        <v>256235</v>
      </c>
      <c r="I215" s="11">
        <f>SUM(I211:I214)</f>
        <v>276629</v>
      </c>
      <c r="J215" s="11">
        <f>SUM(J211:J214)</f>
        <v>0</v>
      </c>
      <c r="K215" s="11">
        <f>SUM(K211:K214)</f>
        <v>0</v>
      </c>
      <c r="L215" s="11">
        <f>SUM(L211:L214)</f>
        <v>0</v>
      </c>
      <c r="M215" s="11">
        <f t="shared" si="33"/>
        <v>276629</v>
      </c>
      <c r="N215" s="39">
        <f t="shared" si="32"/>
        <v>1.0795910004488067</v>
      </c>
    </row>
    <row r="216" spans="1:14" ht="47.25" customHeight="1">
      <c r="A216" s="151"/>
      <c r="B216" s="142" t="s">
        <v>85</v>
      </c>
      <c r="C216" s="51" t="s">
        <v>278</v>
      </c>
      <c r="D216" s="9"/>
      <c r="E216" s="9">
        <f>192500+13100-1400</f>
        <v>204200</v>
      </c>
      <c r="F216" s="9"/>
      <c r="G216" s="9"/>
      <c r="H216" s="9">
        <f t="shared" si="34"/>
        <v>204200</v>
      </c>
      <c r="I216" s="9"/>
      <c r="J216" s="9">
        <v>225330</v>
      </c>
      <c r="K216" s="9"/>
      <c r="L216" s="9"/>
      <c r="M216" s="9">
        <f t="shared" si="33"/>
        <v>225330</v>
      </c>
      <c r="N216" s="10">
        <f t="shared" si="32"/>
        <v>1.1034769833496572</v>
      </c>
    </row>
    <row r="217" spans="1:14" ht="19.5" customHeight="1">
      <c r="A217" s="151"/>
      <c r="B217" s="143"/>
      <c r="C217" s="51" t="s">
        <v>222</v>
      </c>
      <c r="D217" s="9"/>
      <c r="E217" s="9"/>
      <c r="F217" s="9"/>
      <c r="G217" s="9"/>
      <c r="H217" s="9"/>
      <c r="I217" s="9"/>
      <c r="J217" s="9">
        <v>1000</v>
      </c>
      <c r="K217" s="9"/>
      <c r="L217" s="9"/>
      <c r="M217" s="9">
        <f t="shared" si="33"/>
        <v>1000</v>
      </c>
      <c r="N217" s="10"/>
    </row>
    <row r="218" spans="1:14" ht="10.5" customHeight="1">
      <c r="A218" s="151"/>
      <c r="B218" s="143"/>
      <c r="C218" s="51" t="s">
        <v>219</v>
      </c>
      <c r="D218" s="9"/>
      <c r="E218" s="9"/>
      <c r="F218" s="9"/>
      <c r="G218" s="9"/>
      <c r="H218" s="9">
        <f aca="true" t="shared" si="35" ref="H218:H236">SUM(D218:G218)</f>
        <v>0</v>
      </c>
      <c r="I218" s="9"/>
      <c r="J218" s="9">
        <v>24206</v>
      </c>
      <c r="K218" s="9"/>
      <c r="L218" s="9"/>
      <c r="M218" s="9">
        <f t="shared" si="33"/>
        <v>24206</v>
      </c>
      <c r="N218" s="10"/>
    </row>
    <row r="219" spans="1:14" ht="9.75">
      <c r="A219" s="151"/>
      <c r="B219" s="146"/>
      <c r="C219" s="51" t="s">
        <v>221</v>
      </c>
      <c r="D219" s="9"/>
      <c r="E219" s="9"/>
      <c r="F219" s="9"/>
      <c r="G219" s="9"/>
      <c r="H219" s="9">
        <f t="shared" si="35"/>
        <v>0</v>
      </c>
      <c r="I219" s="9"/>
      <c r="J219" s="9">
        <v>4341</v>
      </c>
      <c r="K219" s="9"/>
      <c r="L219" s="9"/>
      <c r="M219" s="9">
        <f t="shared" si="33"/>
        <v>4341</v>
      </c>
      <c r="N219" s="10"/>
    </row>
    <row r="220" spans="1:14" ht="9.75">
      <c r="A220" s="151"/>
      <c r="B220" s="52" t="s">
        <v>86</v>
      </c>
      <c r="C220" s="53"/>
      <c r="D220" s="11">
        <f>SUM(D216:D219)</f>
        <v>0</v>
      </c>
      <c r="E220" s="11">
        <f>SUM(E216:E219)</f>
        <v>204200</v>
      </c>
      <c r="F220" s="11">
        <f>SUM(F216:F219)</f>
        <v>0</v>
      </c>
      <c r="G220" s="11">
        <f>SUM(G216:G219)</f>
        <v>0</v>
      </c>
      <c r="H220" s="11">
        <f t="shared" si="35"/>
        <v>204200</v>
      </c>
      <c r="I220" s="11">
        <f>SUM(I216:I219)</f>
        <v>0</v>
      </c>
      <c r="J220" s="11">
        <f>SUM(J216:J219)</f>
        <v>254877</v>
      </c>
      <c r="K220" s="11">
        <f>SUM(K216:K219)</f>
        <v>0</v>
      </c>
      <c r="L220" s="11">
        <f>SUM(L216:L219)</f>
        <v>0</v>
      </c>
      <c r="M220" s="11">
        <f t="shared" si="33"/>
        <v>254877</v>
      </c>
      <c r="N220" s="39">
        <f t="shared" si="32"/>
        <v>1.248173359451518</v>
      </c>
    </row>
    <row r="221" spans="1:14" ht="9.75">
      <c r="A221" s="151"/>
      <c r="B221" s="142" t="s">
        <v>87</v>
      </c>
      <c r="C221" s="68" t="s">
        <v>218</v>
      </c>
      <c r="D221" s="15"/>
      <c r="E221" s="15"/>
      <c r="F221" s="15"/>
      <c r="G221" s="15"/>
      <c r="H221" s="15">
        <f t="shared" si="35"/>
        <v>0</v>
      </c>
      <c r="I221" s="15"/>
      <c r="J221" s="15">
        <v>4</v>
      </c>
      <c r="K221" s="15"/>
      <c r="L221" s="15"/>
      <c r="M221" s="9">
        <f t="shared" si="33"/>
        <v>4</v>
      </c>
      <c r="N221" s="10"/>
    </row>
    <row r="222" spans="1:14" ht="48.75">
      <c r="A222" s="151"/>
      <c r="B222" s="181"/>
      <c r="C222" s="51" t="s">
        <v>278</v>
      </c>
      <c r="D222" s="9"/>
      <c r="E222" s="9">
        <f>145133+10000</f>
        <v>155133</v>
      </c>
      <c r="F222" s="9"/>
      <c r="G222" s="9"/>
      <c r="H222" s="9">
        <f t="shared" si="35"/>
        <v>155133</v>
      </c>
      <c r="I222" s="9"/>
      <c r="J222" s="9">
        <v>167552</v>
      </c>
      <c r="K222" s="9"/>
      <c r="L222" s="9"/>
      <c r="M222" s="9">
        <f t="shared" si="33"/>
        <v>167552</v>
      </c>
      <c r="N222" s="10">
        <f t="shared" si="32"/>
        <v>1.0800538892434235</v>
      </c>
    </row>
    <row r="223" spans="1:14" ht="19.5" hidden="1">
      <c r="A223" s="151"/>
      <c r="B223" s="181"/>
      <c r="C223" s="51" t="s">
        <v>222</v>
      </c>
      <c r="D223" s="9"/>
      <c r="E223" s="9"/>
      <c r="F223" s="9"/>
      <c r="G223" s="9"/>
      <c r="H223" s="9">
        <f t="shared" si="35"/>
        <v>0</v>
      </c>
      <c r="I223" s="9"/>
      <c r="J223" s="9"/>
      <c r="K223" s="9"/>
      <c r="L223" s="9"/>
      <c r="M223" s="9">
        <f t="shared" si="33"/>
        <v>0</v>
      </c>
      <c r="N223" s="10" t="e">
        <f t="shared" si="32"/>
        <v>#DIV/0!</v>
      </c>
    </row>
    <row r="224" spans="1:14" ht="9.75">
      <c r="A224" s="151"/>
      <c r="B224" s="181"/>
      <c r="C224" s="51" t="s">
        <v>219</v>
      </c>
      <c r="D224" s="9"/>
      <c r="E224" s="9"/>
      <c r="F224" s="9"/>
      <c r="G224" s="9"/>
      <c r="H224" s="9">
        <f t="shared" si="35"/>
        <v>0</v>
      </c>
      <c r="I224" s="9"/>
      <c r="J224" s="9">
        <v>25758</v>
      </c>
      <c r="K224" s="9"/>
      <c r="L224" s="9"/>
      <c r="M224" s="9">
        <f t="shared" si="33"/>
        <v>25758</v>
      </c>
      <c r="N224" s="10"/>
    </row>
    <row r="225" spans="1:14" ht="9.75">
      <c r="A225" s="151"/>
      <c r="B225" s="181"/>
      <c r="C225" s="51" t="s">
        <v>221</v>
      </c>
      <c r="D225" s="9"/>
      <c r="E225" s="9"/>
      <c r="F225" s="9"/>
      <c r="G225" s="9"/>
      <c r="H225" s="9">
        <f t="shared" si="35"/>
        <v>0</v>
      </c>
      <c r="I225" s="9"/>
      <c r="J225" s="9">
        <v>3336</v>
      </c>
      <c r="K225" s="9"/>
      <c r="L225" s="9"/>
      <c r="M225" s="9">
        <f t="shared" si="33"/>
        <v>3336</v>
      </c>
      <c r="N225" s="10"/>
    </row>
    <row r="226" spans="1:14" ht="29.25" hidden="1">
      <c r="A226" s="151"/>
      <c r="B226" s="181"/>
      <c r="C226" s="51" t="s">
        <v>220</v>
      </c>
      <c r="D226" s="9"/>
      <c r="E226" s="9"/>
      <c r="F226" s="9"/>
      <c r="G226" s="9"/>
      <c r="H226" s="9">
        <f t="shared" si="35"/>
        <v>0</v>
      </c>
      <c r="I226" s="9"/>
      <c r="J226" s="9"/>
      <c r="K226" s="9"/>
      <c r="L226" s="9"/>
      <c r="M226" s="9">
        <f t="shared" si="33"/>
        <v>0</v>
      </c>
      <c r="N226" s="10" t="e">
        <f aca="true" t="shared" si="36" ref="N226:N251">M226/H226</f>
        <v>#DIV/0!</v>
      </c>
    </row>
    <row r="227" spans="1:14" ht="19.5" hidden="1">
      <c r="A227" s="151"/>
      <c r="B227" s="182"/>
      <c r="C227" s="51" t="s">
        <v>261</v>
      </c>
      <c r="D227" s="9"/>
      <c r="E227" s="9"/>
      <c r="F227" s="9"/>
      <c r="G227" s="9"/>
      <c r="H227" s="9">
        <f t="shared" si="35"/>
        <v>0</v>
      </c>
      <c r="I227" s="9"/>
      <c r="J227" s="9"/>
      <c r="K227" s="9"/>
      <c r="L227" s="9"/>
      <c r="M227" s="9">
        <f aca="true" t="shared" si="37" ref="M227:M257">SUM(I227:L227)</f>
        <v>0</v>
      </c>
      <c r="N227" s="10" t="e">
        <f t="shared" si="36"/>
        <v>#DIV/0!</v>
      </c>
    </row>
    <row r="228" spans="1:14" ht="9.75">
      <c r="A228" s="151"/>
      <c r="B228" s="52" t="s">
        <v>88</v>
      </c>
      <c r="C228" s="53"/>
      <c r="D228" s="11">
        <f>SUM(D222:D227)</f>
        <v>0</v>
      </c>
      <c r="E228" s="11">
        <f>SUM(E222:E227)</f>
        <v>155133</v>
      </c>
      <c r="F228" s="11">
        <f>SUM(F222:F227)</f>
        <v>0</v>
      </c>
      <c r="G228" s="11">
        <f>SUM(G222:G227)</f>
        <v>0</v>
      </c>
      <c r="H228" s="11">
        <f t="shared" si="35"/>
        <v>155133</v>
      </c>
      <c r="I228" s="11">
        <f>SUM(I222:I227)</f>
        <v>0</v>
      </c>
      <c r="J228" s="11">
        <f>SUM(J221:J227)</f>
        <v>196650</v>
      </c>
      <c r="K228" s="11">
        <f>SUM(K221:K227)</f>
        <v>0</v>
      </c>
      <c r="L228" s="11">
        <f>SUM(L221:L227)</f>
        <v>0</v>
      </c>
      <c r="M228" s="11">
        <f t="shared" si="37"/>
        <v>196650</v>
      </c>
      <c r="N228" s="39">
        <f t="shared" si="36"/>
        <v>1.2676219759818994</v>
      </c>
    </row>
    <row r="229" spans="1:14" ht="48" customHeight="1">
      <c r="A229" s="151"/>
      <c r="B229" s="142" t="s">
        <v>89</v>
      </c>
      <c r="C229" s="51" t="s">
        <v>278</v>
      </c>
      <c r="D229" s="9"/>
      <c r="E229" s="9">
        <f>28000+4500</f>
        <v>32500</v>
      </c>
      <c r="F229" s="9"/>
      <c r="G229" s="9"/>
      <c r="H229" s="9">
        <f t="shared" si="35"/>
        <v>32500</v>
      </c>
      <c r="I229" s="9"/>
      <c r="J229" s="9">
        <v>34078</v>
      </c>
      <c r="K229" s="9"/>
      <c r="L229" s="9"/>
      <c r="M229" s="9">
        <f t="shared" si="37"/>
        <v>34078</v>
      </c>
      <c r="N229" s="10">
        <f t="shared" si="36"/>
        <v>1.0485538461538462</v>
      </c>
    </row>
    <row r="230" spans="1:14" ht="18.75" customHeight="1">
      <c r="A230" s="151"/>
      <c r="B230" s="143"/>
      <c r="C230" s="51" t="s">
        <v>222</v>
      </c>
      <c r="D230" s="9"/>
      <c r="E230" s="9">
        <v>350</v>
      </c>
      <c r="F230" s="9"/>
      <c r="G230" s="9"/>
      <c r="H230" s="9">
        <f t="shared" si="35"/>
        <v>350</v>
      </c>
      <c r="I230" s="9"/>
      <c r="J230" s="9">
        <v>350</v>
      </c>
      <c r="K230" s="9"/>
      <c r="L230" s="9"/>
      <c r="M230" s="9">
        <f t="shared" si="37"/>
        <v>350</v>
      </c>
      <c r="N230" s="10">
        <f t="shared" si="36"/>
        <v>1</v>
      </c>
    </row>
    <row r="231" spans="1:14" ht="9.75">
      <c r="A231" s="151"/>
      <c r="B231" s="143"/>
      <c r="C231" s="51" t="s">
        <v>219</v>
      </c>
      <c r="D231" s="9"/>
      <c r="E231" s="9"/>
      <c r="F231" s="9"/>
      <c r="G231" s="9"/>
      <c r="H231" s="9">
        <f t="shared" si="35"/>
        <v>0</v>
      </c>
      <c r="I231" s="9"/>
      <c r="J231" s="9">
        <v>1193</v>
      </c>
      <c r="K231" s="9"/>
      <c r="L231" s="9"/>
      <c r="M231" s="9">
        <f t="shared" si="37"/>
        <v>1193</v>
      </c>
      <c r="N231" s="10"/>
    </row>
    <row r="232" spans="1:14" ht="9.75">
      <c r="A232" s="151"/>
      <c r="B232" s="143"/>
      <c r="C232" s="51" t="s">
        <v>221</v>
      </c>
      <c r="D232" s="9"/>
      <c r="E232" s="9"/>
      <c r="F232" s="9"/>
      <c r="G232" s="9"/>
      <c r="H232" s="9">
        <f t="shared" si="35"/>
        <v>0</v>
      </c>
      <c r="I232" s="9"/>
      <c r="J232" s="9">
        <v>312</v>
      </c>
      <c r="K232" s="9"/>
      <c r="L232" s="9"/>
      <c r="M232" s="9">
        <f t="shared" si="37"/>
        <v>312</v>
      </c>
      <c r="N232" s="10"/>
    </row>
    <row r="233" spans="1:14" ht="39" hidden="1">
      <c r="A233" s="151"/>
      <c r="B233" s="146"/>
      <c r="C233" s="51" t="s">
        <v>263</v>
      </c>
      <c r="D233" s="9"/>
      <c r="E233" s="9"/>
      <c r="F233" s="9"/>
      <c r="G233" s="9"/>
      <c r="H233" s="9">
        <f t="shared" si="35"/>
        <v>0</v>
      </c>
      <c r="I233" s="9"/>
      <c r="J233" s="9"/>
      <c r="K233" s="9"/>
      <c r="L233" s="9"/>
      <c r="M233" s="9">
        <f t="shared" si="37"/>
        <v>0</v>
      </c>
      <c r="N233" s="10" t="e">
        <f t="shared" si="36"/>
        <v>#DIV/0!</v>
      </c>
    </row>
    <row r="234" spans="1:14" ht="9.75">
      <c r="A234" s="151"/>
      <c r="B234" s="52" t="s">
        <v>90</v>
      </c>
      <c r="C234" s="101"/>
      <c r="D234" s="11">
        <f>SUM(D229:D233)</f>
        <v>0</v>
      </c>
      <c r="E234" s="11">
        <f>SUM(E229:E233)</f>
        <v>32850</v>
      </c>
      <c r="F234" s="11">
        <f>SUM(F229:F233)</f>
        <v>0</v>
      </c>
      <c r="G234" s="11">
        <f>SUM(G229:G233)</f>
        <v>0</v>
      </c>
      <c r="H234" s="11">
        <f t="shared" si="35"/>
        <v>32850</v>
      </c>
      <c r="I234" s="11">
        <f>SUM(I229:I233)</f>
        <v>0</v>
      </c>
      <c r="J234" s="11">
        <f>SUM(J229:J233)</f>
        <v>35933</v>
      </c>
      <c r="K234" s="11">
        <f>SUM(K229:K233)</f>
        <v>0</v>
      </c>
      <c r="L234" s="11">
        <f>SUM(L229:L233)</f>
        <v>0</v>
      </c>
      <c r="M234" s="11">
        <f t="shared" si="37"/>
        <v>35933</v>
      </c>
      <c r="N234" s="39">
        <f t="shared" si="36"/>
        <v>1.0938508371385083</v>
      </c>
    </row>
    <row r="235" spans="1:14" ht="48.75" hidden="1">
      <c r="A235" s="151"/>
      <c r="B235" s="20" t="s">
        <v>91</v>
      </c>
      <c r="C235" s="51" t="s">
        <v>278</v>
      </c>
      <c r="D235" s="9"/>
      <c r="E235" s="9"/>
      <c r="F235" s="9"/>
      <c r="G235" s="9"/>
      <c r="H235" s="9">
        <f t="shared" si="35"/>
        <v>0</v>
      </c>
      <c r="I235" s="9"/>
      <c r="J235" s="9"/>
      <c r="K235" s="9"/>
      <c r="L235" s="9"/>
      <c r="M235" s="9">
        <f t="shared" si="37"/>
        <v>0</v>
      </c>
      <c r="N235" s="10" t="e">
        <f t="shared" si="36"/>
        <v>#DIV/0!</v>
      </c>
    </row>
    <row r="236" spans="1:14" ht="9.75" hidden="1">
      <c r="A236" s="151"/>
      <c r="B236" s="52" t="s">
        <v>92</v>
      </c>
      <c r="C236" s="53"/>
      <c r="D236" s="11">
        <f>SUM(D235:D235)</f>
        <v>0</v>
      </c>
      <c r="E236" s="11">
        <f>SUM(E235:E235)</f>
        <v>0</v>
      </c>
      <c r="F236" s="11">
        <f>SUM(F235:F235)</f>
        <v>0</v>
      </c>
      <c r="G236" s="11">
        <f>SUM(G235:G235)</f>
        <v>0</v>
      </c>
      <c r="H236" s="11">
        <f t="shared" si="35"/>
        <v>0</v>
      </c>
      <c r="I236" s="11">
        <f>SUM(I235:I235)</f>
        <v>0</v>
      </c>
      <c r="J236" s="11">
        <f>SUM(J235:J235)</f>
        <v>0</v>
      </c>
      <c r="K236" s="11">
        <f>SUM(K235:K235)</f>
        <v>0</v>
      </c>
      <c r="L236" s="11">
        <f>SUM(L235:L235)</f>
        <v>0</v>
      </c>
      <c r="M236" s="11">
        <f t="shared" si="37"/>
        <v>0</v>
      </c>
      <c r="N236" s="10" t="e">
        <f t="shared" si="36"/>
        <v>#DIV/0!</v>
      </c>
    </row>
    <row r="237" spans="1:14" s="17" customFormat="1" ht="9.75">
      <c r="A237" s="151"/>
      <c r="B237" s="142" t="s">
        <v>93</v>
      </c>
      <c r="C237" s="51" t="s">
        <v>332</v>
      </c>
      <c r="D237" s="16"/>
      <c r="E237" s="16"/>
      <c r="F237" s="16"/>
      <c r="G237" s="16"/>
      <c r="H237" s="16"/>
      <c r="I237" s="16"/>
      <c r="J237" s="29">
        <v>27</v>
      </c>
      <c r="K237" s="16"/>
      <c r="L237" s="16"/>
      <c r="M237" s="9">
        <f t="shared" si="37"/>
        <v>27</v>
      </c>
      <c r="N237" s="10"/>
    </row>
    <row r="238" spans="1:14" ht="28.5" customHeight="1">
      <c r="A238" s="151"/>
      <c r="B238" s="143"/>
      <c r="C238" s="51" t="s">
        <v>236</v>
      </c>
      <c r="D238" s="9"/>
      <c r="E238" s="9">
        <v>500000</v>
      </c>
      <c r="F238" s="9"/>
      <c r="G238" s="9"/>
      <c r="H238" s="9">
        <f aca="true" t="shared" si="38" ref="H238:H257">SUM(D238:G238)</f>
        <v>500000</v>
      </c>
      <c r="I238" s="9"/>
      <c r="J238" s="9">
        <v>531671</v>
      </c>
      <c r="K238" s="9"/>
      <c r="L238" s="9"/>
      <c r="M238" s="9">
        <f t="shared" si="37"/>
        <v>531671</v>
      </c>
      <c r="N238" s="10">
        <f t="shared" si="36"/>
        <v>1.063342</v>
      </c>
    </row>
    <row r="239" spans="1:14" ht="29.25" hidden="1">
      <c r="A239" s="151"/>
      <c r="B239" s="146"/>
      <c r="C239" s="51" t="s">
        <v>264</v>
      </c>
      <c r="D239" s="9"/>
      <c r="E239" s="9">
        <v>0</v>
      </c>
      <c r="F239" s="9"/>
      <c r="G239" s="9"/>
      <c r="H239" s="9">
        <f t="shared" si="38"/>
        <v>0</v>
      </c>
      <c r="I239" s="9"/>
      <c r="J239" s="9"/>
      <c r="K239" s="9"/>
      <c r="L239" s="9"/>
      <c r="M239" s="9">
        <f t="shared" si="37"/>
        <v>0</v>
      </c>
      <c r="N239" s="10" t="e">
        <f t="shared" si="36"/>
        <v>#DIV/0!</v>
      </c>
    </row>
    <row r="240" spans="1:14" ht="9.75">
      <c r="A240" s="151"/>
      <c r="B240" s="52" t="s">
        <v>94</v>
      </c>
      <c r="C240" s="53"/>
      <c r="D240" s="11">
        <f>SUM(D238:D239)</f>
        <v>0</v>
      </c>
      <c r="E240" s="11">
        <f>SUM(E238:E239)</f>
        <v>500000</v>
      </c>
      <c r="F240" s="11">
        <f>SUM(F238:F239)</f>
        <v>0</v>
      </c>
      <c r="G240" s="11">
        <f>SUM(G238:G239)</f>
        <v>0</v>
      </c>
      <c r="H240" s="11">
        <f t="shared" si="38"/>
        <v>500000</v>
      </c>
      <c r="I240" s="11">
        <f>SUM(I237:I239)</f>
        <v>0</v>
      </c>
      <c r="J240" s="11">
        <f>SUM(J237:J239)</f>
        <v>531698</v>
      </c>
      <c r="K240" s="11">
        <f>SUM(K238:K239)</f>
        <v>0</v>
      </c>
      <c r="L240" s="11">
        <f>SUM(L238:L239)</f>
        <v>0</v>
      </c>
      <c r="M240" s="11">
        <f t="shared" si="37"/>
        <v>531698</v>
      </c>
      <c r="N240" s="39">
        <f t="shared" si="36"/>
        <v>1.063396</v>
      </c>
    </row>
    <row r="241" spans="1:14" ht="9.75">
      <c r="A241" s="151"/>
      <c r="B241" s="142" t="s">
        <v>192</v>
      </c>
      <c r="C241" s="51" t="s">
        <v>219</v>
      </c>
      <c r="D241" s="9"/>
      <c r="E241" s="9"/>
      <c r="F241" s="9"/>
      <c r="G241" s="9"/>
      <c r="H241" s="9">
        <f t="shared" si="38"/>
        <v>0</v>
      </c>
      <c r="I241" s="9"/>
      <c r="J241" s="9">
        <v>1103</v>
      </c>
      <c r="K241" s="9"/>
      <c r="L241" s="9"/>
      <c r="M241" s="9">
        <f t="shared" si="37"/>
        <v>1103</v>
      </c>
      <c r="N241" s="10"/>
    </row>
    <row r="242" spans="1:14" ht="9.75">
      <c r="A242" s="151"/>
      <c r="B242" s="143"/>
      <c r="C242" s="51" t="s">
        <v>221</v>
      </c>
      <c r="D242" s="9"/>
      <c r="E242" s="9"/>
      <c r="F242" s="9"/>
      <c r="G242" s="9"/>
      <c r="H242" s="9">
        <f t="shared" si="38"/>
        <v>0</v>
      </c>
      <c r="I242" s="9"/>
      <c r="J242" s="9">
        <v>67</v>
      </c>
      <c r="K242" s="9"/>
      <c r="L242" s="9"/>
      <c r="M242" s="9">
        <f t="shared" si="37"/>
        <v>67</v>
      </c>
      <c r="N242" s="10"/>
    </row>
    <row r="243" spans="1:14" ht="29.25" hidden="1">
      <c r="A243" s="151"/>
      <c r="B243" s="146"/>
      <c r="C243" s="51" t="s">
        <v>236</v>
      </c>
      <c r="D243" s="9"/>
      <c r="E243" s="9"/>
      <c r="F243" s="9"/>
      <c r="G243" s="9"/>
      <c r="H243" s="9">
        <f t="shared" si="38"/>
        <v>0</v>
      </c>
      <c r="I243" s="9"/>
      <c r="J243" s="9"/>
      <c r="K243" s="9"/>
      <c r="L243" s="9"/>
      <c r="M243" s="9">
        <f t="shared" si="37"/>
        <v>0</v>
      </c>
      <c r="N243" s="10" t="e">
        <f t="shared" si="36"/>
        <v>#DIV/0!</v>
      </c>
    </row>
    <row r="244" spans="1:14" ht="9.75">
      <c r="A244" s="151"/>
      <c r="B244" s="52" t="s">
        <v>193</v>
      </c>
      <c r="C244" s="53"/>
      <c r="D244" s="11">
        <f>SUM(D241:D242)</f>
        <v>0</v>
      </c>
      <c r="E244" s="11">
        <f>SUM(E241:E243)</f>
        <v>0</v>
      </c>
      <c r="F244" s="11">
        <f>SUM(F241:F242)</f>
        <v>0</v>
      </c>
      <c r="G244" s="11">
        <f>SUM(G241:G242)</f>
        <v>0</v>
      </c>
      <c r="H244" s="11">
        <f t="shared" si="38"/>
        <v>0</v>
      </c>
      <c r="I244" s="11">
        <f>SUM(I241:I242)</f>
        <v>0</v>
      </c>
      <c r="J244" s="11">
        <f>SUM(J241:J243)</f>
        <v>1170</v>
      </c>
      <c r="K244" s="11">
        <f>SUM(K241:K242)</f>
        <v>0</v>
      </c>
      <c r="L244" s="11">
        <f>SUM(L241:L242)</f>
        <v>0</v>
      </c>
      <c r="M244" s="11">
        <f t="shared" si="37"/>
        <v>1170</v>
      </c>
      <c r="N244" s="39"/>
    </row>
    <row r="245" spans="1:14" s="18" customFormat="1" ht="9.75" hidden="1">
      <c r="A245" s="151"/>
      <c r="B245" s="142" t="s">
        <v>188</v>
      </c>
      <c r="C245" s="51" t="s">
        <v>221</v>
      </c>
      <c r="D245" s="9"/>
      <c r="E245" s="9"/>
      <c r="F245" s="9"/>
      <c r="G245" s="9"/>
      <c r="H245" s="9">
        <f t="shared" si="38"/>
        <v>0</v>
      </c>
      <c r="I245" s="9"/>
      <c r="J245" s="9"/>
      <c r="K245" s="9"/>
      <c r="L245" s="9"/>
      <c r="M245" s="9">
        <f t="shared" si="37"/>
        <v>0</v>
      </c>
      <c r="N245" s="10" t="e">
        <f t="shared" si="36"/>
        <v>#DIV/0!</v>
      </c>
    </row>
    <row r="246" spans="1:14" ht="39" hidden="1">
      <c r="A246" s="151"/>
      <c r="B246" s="146"/>
      <c r="C246" s="51" t="s">
        <v>263</v>
      </c>
      <c r="D246" s="9"/>
      <c r="E246" s="9"/>
      <c r="F246" s="9"/>
      <c r="G246" s="9"/>
      <c r="H246" s="9">
        <f t="shared" si="38"/>
        <v>0</v>
      </c>
      <c r="I246" s="9"/>
      <c r="J246" s="9"/>
      <c r="K246" s="9"/>
      <c r="L246" s="9"/>
      <c r="M246" s="9">
        <f t="shared" si="37"/>
        <v>0</v>
      </c>
      <c r="N246" s="10" t="e">
        <f t="shared" si="36"/>
        <v>#DIV/0!</v>
      </c>
    </row>
    <row r="247" spans="1:14" ht="9.75" hidden="1">
      <c r="A247" s="151"/>
      <c r="B247" s="67" t="s">
        <v>189</v>
      </c>
      <c r="C247" s="53"/>
      <c r="D247" s="30">
        <f>SUM(D245:D246)</f>
        <v>0</v>
      </c>
      <c r="E247" s="30">
        <f>SUM(E245:E246)</f>
        <v>0</v>
      </c>
      <c r="F247" s="30">
        <f>SUM(F245:F246)</f>
        <v>0</v>
      </c>
      <c r="G247" s="30">
        <f>SUM(G245:G246)</f>
        <v>0</v>
      </c>
      <c r="H247" s="30">
        <f t="shared" si="38"/>
        <v>0</v>
      </c>
      <c r="I247" s="30">
        <f>SUM(I245:I246)</f>
        <v>0</v>
      </c>
      <c r="J247" s="30">
        <f>SUM(J245:J246)</f>
        <v>0</v>
      </c>
      <c r="K247" s="30">
        <f>SUM(K245:K246)</f>
        <v>0</v>
      </c>
      <c r="L247" s="30">
        <f>SUM(L245:L246)</f>
        <v>0</v>
      </c>
      <c r="M247" s="11">
        <f t="shared" si="37"/>
        <v>0</v>
      </c>
      <c r="N247" s="10" t="e">
        <f t="shared" si="36"/>
        <v>#DIV/0!</v>
      </c>
    </row>
    <row r="248" spans="1:14" ht="9.75">
      <c r="A248" s="151"/>
      <c r="B248" s="157" t="s">
        <v>153</v>
      </c>
      <c r="C248" s="69" t="s">
        <v>219</v>
      </c>
      <c r="D248" s="15"/>
      <c r="E248" s="15"/>
      <c r="F248" s="15"/>
      <c r="G248" s="15"/>
      <c r="H248" s="9">
        <f t="shared" si="38"/>
        <v>0</v>
      </c>
      <c r="I248" s="15">
        <v>52</v>
      </c>
      <c r="J248" s="15"/>
      <c r="K248" s="15"/>
      <c r="L248" s="15"/>
      <c r="M248" s="31">
        <f t="shared" si="37"/>
        <v>52</v>
      </c>
      <c r="N248" s="10"/>
    </row>
    <row r="249" spans="1:14" ht="19.5" hidden="1">
      <c r="A249" s="151"/>
      <c r="B249" s="158"/>
      <c r="C249" s="69" t="s">
        <v>265</v>
      </c>
      <c r="D249" s="15"/>
      <c r="E249" s="15"/>
      <c r="F249" s="15"/>
      <c r="G249" s="15"/>
      <c r="H249" s="31">
        <f t="shared" si="38"/>
        <v>0</v>
      </c>
      <c r="I249" s="15"/>
      <c r="J249" s="15"/>
      <c r="K249" s="15"/>
      <c r="L249" s="15"/>
      <c r="M249" s="31">
        <f t="shared" si="37"/>
        <v>0</v>
      </c>
      <c r="N249" s="10" t="e">
        <f t="shared" si="36"/>
        <v>#DIV/0!</v>
      </c>
    </row>
    <row r="250" spans="1:14" ht="9.75" hidden="1">
      <c r="A250" s="151"/>
      <c r="B250" s="158"/>
      <c r="C250" s="69" t="s">
        <v>221</v>
      </c>
      <c r="D250" s="40"/>
      <c r="E250" s="40"/>
      <c r="F250" s="40"/>
      <c r="G250" s="40"/>
      <c r="H250" s="31">
        <f t="shared" si="38"/>
        <v>0</v>
      </c>
      <c r="I250" s="40"/>
      <c r="J250" s="40"/>
      <c r="K250" s="40"/>
      <c r="L250" s="40"/>
      <c r="M250" s="31">
        <f t="shared" si="37"/>
        <v>0</v>
      </c>
      <c r="N250" s="10" t="e">
        <f t="shared" si="36"/>
        <v>#DIV/0!</v>
      </c>
    </row>
    <row r="251" spans="1:14" ht="27.75" customHeight="1">
      <c r="A251" s="151"/>
      <c r="B251" s="158"/>
      <c r="C251" s="51" t="s">
        <v>260</v>
      </c>
      <c r="D251" s="31">
        <f>3900+46080+23550</f>
        <v>73530</v>
      </c>
      <c r="E251" s="31"/>
      <c r="F251" s="31"/>
      <c r="G251" s="31"/>
      <c r="H251" s="31">
        <f t="shared" si="38"/>
        <v>73530</v>
      </c>
      <c r="I251" s="31">
        <v>25500</v>
      </c>
      <c r="J251" s="31"/>
      <c r="K251" s="31"/>
      <c r="L251" s="31"/>
      <c r="M251" s="31">
        <f t="shared" si="37"/>
        <v>25500</v>
      </c>
      <c r="N251" s="10">
        <f t="shared" si="36"/>
        <v>0.346797225622195</v>
      </c>
    </row>
    <row r="252" spans="1:14" ht="38.25" customHeight="1">
      <c r="A252" s="151"/>
      <c r="B252" s="158"/>
      <c r="C252" s="70" t="s">
        <v>262</v>
      </c>
      <c r="D252" s="31"/>
      <c r="E252" s="31"/>
      <c r="F252" s="31"/>
      <c r="G252" s="31"/>
      <c r="H252" s="31">
        <f t="shared" si="38"/>
        <v>0</v>
      </c>
      <c r="I252" s="31">
        <v>2146</v>
      </c>
      <c r="J252" s="31"/>
      <c r="K252" s="31"/>
      <c r="L252" s="31"/>
      <c r="M252" s="31">
        <f t="shared" si="37"/>
        <v>2146</v>
      </c>
      <c r="N252" s="10"/>
    </row>
    <row r="253" spans="1:14" ht="27.75" customHeight="1">
      <c r="A253" s="151"/>
      <c r="B253" s="159"/>
      <c r="C253" s="37" t="s">
        <v>267</v>
      </c>
      <c r="D253" s="31"/>
      <c r="E253" s="31"/>
      <c r="F253" s="31"/>
      <c r="G253" s="31"/>
      <c r="H253" s="31">
        <f t="shared" si="38"/>
        <v>0</v>
      </c>
      <c r="I253" s="31">
        <v>618</v>
      </c>
      <c r="J253" s="31"/>
      <c r="K253" s="31"/>
      <c r="L253" s="31"/>
      <c r="M253" s="31">
        <f t="shared" si="37"/>
        <v>618</v>
      </c>
      <c r="N253" s="10"/>
    </row>
    <row r="254" spans="1:14" ht="9.75">
      <c r="A254" s="151"/>
      <c r="B254" s="59" t="s">
        <v>154</v>
      </c>
      <c r="C254" s="60" t="s">
        <v>266</v>
      </c>
      <c r="D254" s="11">
        <f>SUM(D248:D253)</f>
        <v>73530</v>
      </c>
      <c r="E254" s="11">
        <f>SUM(E251:E251)</f>
        <v>0</v>
      </c>
      <c r="F254" s="11">
        <f>SUM(F251:F251)</f>
        <v>0</v>
      </c>
      <c r="G254" s="11">
        <f>SUM(G251:G251)</f>
        <v>0</v>
      </c>
      <c r="H254" s="11">
        <f t="shared" si="38"/>
        <v>73530</v>
      </c>
      <c r="I254" s="11">
        <f>SUM(I248:I253)</f>
        <v>28316</v>
      </c>
      <c r="J254" s="11">
        <f>SUM(J251:J251)</f>
        <v>0</v>
      </c>
      <c r="K254" s="11">
        <f>SUM(K251:K251)</f>
        <v>0</v>
      </c>
      <c r="L254" s="11">
        <f>SUM(L251:L251)</f>
        <v>0</v>
      </c>
      <c r="M254" s="11">
        <f t="shared" si="37"/>
        <v>28316</v>
      </c>
      <c r="N254" s="39">
        <f aca="true" t="shared" si="39" ref="N254:N259">M254/H254</f>
        <v>0.385094519243846</v>
      </c>
    </row>
    <row r="255" spans="1:14" ht="9.75" hidden="1">
      <c r="A255" s="151"/>
      <c r="B255" s="151" t="s">
        <v>194</v>
      </c>
      <c r="C255" s="71" t="s">
        <v>268</v>
      </c>
      <c r="D255" s="16"/>
      <c r="E255" s="16"/>
      <c r="F255" s="16"/>
      <c r="G255" s="16"/>
      <c r="H255" s="29">
        <f t="shared" si="38"/>
        <v>0</v>
      </c>
      <c r="I255" s="29"/>
      <c r="J255" s="29"/>
      <c r="K255" s="29"/>
      <c r="L255" s="29"/>
      <c r="M255" s="29">
        <f t="shared" si="37"/>
        <v>0</v>
      </c>
      <c r="N255" s="10" t="e">
        <f t="shared" si="39"/>
        <v>#DIV/0!</v>
      </c>
    </row>
    <row r="256" spans="1:14" ht="19.5" hidden="1">
      <c r="A256" s="151"/>
      <c r="B256" s="152"/>
      <c r="C256" s="51" t="s">
        <v>269</v>
      </c>
      <c r="D256" s="9"/>
      <c r="E256" s="9"/>
      <c r="F256" s="9"/>
      <c r="G256" s="9"/>
      <c r="H256" s="9">
        <f t="shared" si="38"/>
        <v>0</v>
      </c>
      <c r="I256" s="9"/>
      <c r="J256" s="9"/>
      <c r="K256" s="9"/>
      <c r="L256" s="9"/>
      <c r="M256" s="9">
        <f t="shared" si="37"/>
        <v>0</v>
      </c>
      <c r="N256" s="10" t="e">
        <f t="shared" si="39"/>
        <v>#DIV/0!</v>
      </c>
    </row>
    <row r="257" spans="1:14" ht="9.75" hidden="1">
      <c r="A257" s="152"/>
      <c r="B257" s="52" t="s">
        <v>195</v>
      </c>
      <c r="C257" s="53"/>
      <c r="D257" s="11">
        <f>SUM(D256:D256)</f>
        <v>0</v>
      </c>
      <c r="E257" s="11">
        <f>SUM(E256:E256)</f>
        <v>0</v>
      </c>
      <c r="F257" s="11">
        <f>SUM(F256:F256)</f>
        <v>0</v>
      </c>
      <c r="G257" s="11">
        <f>SUM(G256:G256)</f>
        <v>0</v>
      </c>
      <c r="H257" s="11">
        <f t="shared" si="38"/>
        <v>0</v>
      </c>
      <c r="I257" s="11">
        <f>SUM(I255:I256)</f>
        <v>0</v>
      </c>
      <c r="J257" s="11">
        <f>SUM(J256:J256)</f>
        <v>0</v>
      </c>
      <c r="K257" s="11">
        <f>SUM(K256:K256)</f>
        <v>0</v>
      </c>
      <c r="L257" s="11">
        <f>SUM(L256:L256)</f>
        <v>0</v>
      </c>
      <c r="M257" s="11">
        <f t="shared" si="37"/>
        <v>0</v>
      </c>
      <c r="N257" s="10" t="e">
        <f t="shared" si="39"/>
        <v>#DIV/0!</v>
      </c>
    </row>
    <row r="258" spans="1:14" ht="9.75">
      <c r="A258" s="58" t="s">
        <v>95</v>
      </c>
      <c r="B258" s="55"/>
      <c r="C258" s="55"/>
      <c r="D258" s="13">
        <f aca="true" t="shared" si="40" ref="D258:M258">SUM(D257,D254,D247,D244,D240,D234,D228,D220,D215,D210,D205,D200)</f>
        <v>1642000</v>
      </c>
      <c r="E258" s="13">
        <f t="shared" si="40"/>
        <v>936183</v>
      </c>
      <c r="F258" s="13">
        <f t="shared" si="40"/>
        <v>0</v>
      </c>
      <c r="G258" s="13">
        <f t="shared" si="40"/>
        <v>0</v>
      </c>
      <c r="H258" s="13">
        <f t="shared" si="40"/>
        <v>2578183</v>
      </c>
      <c r="I258" s="13">
        <f t="shared" si="40"/>
        <v>1832214</v>
      </c>
      <c r="J258" s="13">
        <f t="shared" si="40"/>
        <v>1054645</v>
      </c>
      <c r="K258" s="13">
        <f t="shared" si="40"/>
        <v>0</v>
      </c>
      <c r="L258" s="13">
        <f t="shared" si="40"/>
        <v>0</v>
      </c>
      <c r="M258" s="13">
        <f t="shared" si="40"/>
        <v>2886859</v>
      </c>
      <c r="N258" s="124">
        <f t="shared" si="39"/>
        <v>1.1197261792510462</v>
      </c>
    </row>
    <row r="259" spans="1:14" ht="19.5">
      <c r="A259" s="153" t="s">
        <v>96</v>
      </c>
      <c r="B259" s="142" t="s">
        <v>170</v>
      </c>
      <c r="C259" s="51" t="s">
        <v>222</v>
      </c>
      <c r="D259" s="9">
        <v>460000</v>
      </c>
      <c r="E259" s="9"/>
      <c r="F259" s="9"/>
      <c r="G259" s="9"/>
      <c r="H259" s="9">
        <f aca="true" t="shared" si="41" ref="H259:H290">SUM(D259:G259)</f>
        <v>460000</v>
      </c>
      <c r="I259" s="9">
        <v>459989</v>
      </c>
      <c r="J259" s="9"/>
      <c r="K259" s="9"/>
      <c r="L259" s="9"/>
      <c r="M259" s="9">
        <f aca="true" t="shared" si="42" ref="M259:M290">SUM(I259:L259)</f>
        <v>459989</v>
      </c>
      <c r="N259" s="10">
        <f t="shared" si="39"/>
        <v>0.9999760869565217</v>
      </c>
    </row>
    <row r="260" spans="1:14" ht="9.75">
      <c r="A260" s="154"/>
      <c r="B260" s="143"/>
      <c r="C260" s="51" t="s">
        <v>221</v>
      </c>
      <c r="D260" s="9"/>
      <c r="E260" s="9"/>
      <c r="F260" s="9"/>
      <c r="G260" s="9"/>
      <c r="H260" s="9">
        <f t="shared" si="41"/>
        <v>0</v>
      </c>
      <c r="I260" s="9">
        <v>35</v>
      </c>
      <c r="J260" s="9"/>
      <c r="K260" s="9"/>
      <c r="L260" s="9"/>
      <c r="M260" s="9">
        <f t="shared" si="42"/>
        <v>35</v>
      </c>
      <c r="N260" s="10"/>
    </row>
    <row r="261" spans="1:14" ht="39" hidden="1">
      <c r="A261" s="154"/>
      <c r="B261" s="143"/>
      <c r="C261" s="51" t="s">
        <v>230</v>
      </c>
      <c r="D261" s="9"/>
      <c r="E261" s="9"/>
      <c r="F261" s="9"/>
      <c r="G261" s="9"/>
      <c r="H261" s="9">
        <f t="shared" si="41"/>
        <v>0</v>
      </c>
      <c r="I261" s="9"/>
      <c r="J261" s="9"/>
      <c r="K261" s="9"/>
      <c r="L261" s="9"/>
      <c r="M261" s="9">
        <f t="shared" si="42"/>
        <v>0</v>
      </c>
      <c r="N261" s="10" t="e">
        <f aca="true" t="shared" si="43" ref="N261:N268">M261/H261</f>
        <v>#DIV/0!</v>
      </c>
    </row>
    <row r="262" spans="1:14" ht="9.75">
      <c r="A262" s="151"/>
      <c r="B262" s="101" t="s">
        <v>171</v>
      </c>
      <c r="C262" s="90"/>
      <c r="D262" s="11">
        <f>SUM(D259:D261)</f>
        <v>460000</v>
      </c>
      <c r="E262" s="11">
        <f>SUM(E259:E261)</f>
        <v>0</v>
      </c>
      <c r="F262" s="11">
        <f>SUM(F259:F261)</f>
        <v>0</v>
      </c>
      <c r="G262" s="11">
        <f>SUM(G259:G261)</f>
        <v>0</v>
      </c>
      <c r="H262" s="11">
        <f t="shared" si="41"/>
        <v>460000</v>
      </c>
      <c r="I262" s="11">
        <f>SUM(I259:I261)</f>
        <v>460024</v>
      </c>
      <c r="J262" s="11">
        <f>SUM(J259:J261)</f>
        <v>0</v>
      </c>
      <c r="K262" s="11">
        <f>SUM(K259:K261)</f>
        <v>0</v>
      </c>
      <c r="L262" s="11">
        <f>SUM(L259:L261)</f>
        <v>0</v>
      </c>
      <c r="M262" s="11">
        <f t="shared" si="42"/>
        <v>460024</v>
      </c>
      <c r="N262" s="39">
        <f t="shared" si="43"/>
        <v>1.0000521739130435</v>
      </c>
    </row>
    <row r="263" spans="1:14" ht="19.5" hidden="1">
      <c r="A263" s="151"/>
      <c r="B263" s="157" t="s">
        <v>156</v>
      </c>
      <c r="C263" s="66" t="s">
        <v>270</v>
      </c>
      <c r="D263" s="9"/>
      <c r="E263" s="9"/>
      <c r="F263" s="9"/>
      <c r="G263" s="9"/>
      <c r="H263" s="9">
        <f t="shared" si="41"/>
        <v>0</v>
      </c>
      <c r="I263" s="9"/>
      <c r="J263" s="9"/>
      <c r="K263" s="9"/>
      <c r="L263" s="9"/>
      <c r="M263" s="9">
        <f t="shared" si="42"/>
        <v>0</v>
      </c>
      <c r="N263" s="10" t="e">
        <f t="shared" si="43"/>
        <v>#DIV/0!</v>
      </c>
    </row>
    <row r="264" spans="1:14" ht="39">
      <c r="A264" s="151"/>
      <c r="B264" s="159"/>
      <c r="C264" s="51" t="s">
        <v>214</v>
      </c>
      <c r="D264" s="9"/>
      <c r="E264" s="9"/>
      <c r="F264" s="9"/>
      <c r="G264" s="9">
        <v>60344</v>
      </c>
      <c r="H264" s="9">
        <f t="shared" si="41"/>
        <v>60344</v>
      </c>
      <c r="I264" s="9"/>
      <c r="J264" s="9"/>
      <c r="K264" s="9"/>
      <c r="L264" s="9">
        <v>60340</v>
      </c>
      <c r="M264" s="9">
        <f t="shared" si="42"/>
        <v>60340</v>
      </c>
      <c r="N264" s="10">
        <f t="shared" si="43"/>
        <v>0.9999337133766406</v>
      </c>
    </row>
    <row r="265" spans="1:14" ht="9.75">
      <c r="A265" s="154"/>
      <c r="B265" s="89" t="s">
        <v>157</v>
      </c>
      <c r="C265" s="53"/>
      <c r="D265" s="11">
        <f>SUM(D263)</f>
        <v>0</v>
      </c>
      <c r="E265" s="11">
        <f>SUM(E263)</f>
        <v>0</v>
      </c>
      <c r="F265" s="11">
        <f>SUM(F263)</f>
        <v>0</v>
      </c>
      <c r="G265" s="11">
        <f>SUM(G263:G264)</f>
        <v>60344</v>
      </c>
      <c r="H265" s="11">
        <f t="shared" si="41"/>
        <v>60344</v>
      </c>
      <c r="I265" s="11">
        <f>SUM(I263)</f>
        <v>0</v>
      </c>
      <c r="J265" s="11">
        <f>SUM(J263)</f>
        <v>0</v>
      </c>
      <c r="K265" s="11">
        <f>SUM(K263)</f>
        <v>0</v>
      </c>
      <c r="L265" s="11">
        <f>SUM(L263:L264)</f>
        <v>60340</v>
      </c>
      <c r="M265" s="11">
        <f t="shared" si="42"/>
        <v>60340</v>
      </c>
      <c r="N265" s="39">
        <f t="shared" si="43"/>
        <v>0.9999337133766406</v>
      </c>
    </row>
    <row r="266" spans="1:14" ht="39" hidden="1">
      <c r="A266" s="154"/>
      <c r="B266" s="20" t="s">
        <v>135</v>
      </c>
      <c r="C266" s="51" t="s">
        <v>217</v>
      </c>
      <c r="D266" s="9"/>
      <c r="E266" s="9"/>
      <c r="F266" s="9"/>
      <c r="G266" s="9"/>
      <c r="H266" s="9">
        <f t="shared" si="41"/>
        <v>0</v>
      </c>
      <c r="I266" s="9"/>
      <c r="J266" s="9"/>
      <c r="K266" s="9"/>
      <c r="L266" s="9"/>
      <c r="M266" s="9">
        <f t="shared" si="42"/>
        <v>0</v>
      </c>
      <c r="N266" s="10" t="e">
        <f t="shared" si="43"/>
        <v>#DIV/0!</v>
      </c>
    </row>
    <row r="267" spans="1:14" ht="9.75" hidden="1">
      <c r="A267" s="154"/>
      <c r="B267" s="52" t="s">
        <v>136</v>
      </c>
      <c r="C267" s="53"/>
      <c r="D267" s="11">
        <f>SUM(D266)</f>
        <v>0</v>
      </c>
      <c r="E267" s="11">
        <f>SUM(E266)</f>
        <v>0</v>
      </c>
      <c r="F267" s="11">
        <f>SUM(F266)</f>
        <v>0</v>
      </c>
      <c r="G267" s="11">
        <f>SUM(G266)</f>
        <v>0</v>
      </c>
      <c r="H267" s="11">
        <f t="shared" si="41"/>
        <v>0</v>
      </c>
      <c r="I267" s="11">
        <f>SUM(I266)</f>
        <v>0</v>
      </c>
      <c r="J267" s="11">
        <f>SUM(J266)</f>
        <v>0</v>
      </c>
      <c r="K267" s="11">
        <f>SUM(K266)</f>
        <v>0</v>
      </c>
      <c r="L267" s="11">
        <f>SUM(L266)</f>
        <v>0</v>
      </c>
      <c r="M267" s="11">
        <f t="shared" si="42"/>
        <v>0</v>
      </c>
      <c r="N267" s="10" t="e">
        <f t="shared" si="43"/>
        <v>#DIV/0!</v>
      </c>
    </row>
    <row r="268" spans="1:14" s="17" customFormat="1" ht="19.5" hidden="1">
      <c r="A268" s="154"/>
      <c r="B268" s="117"/>
      <c r="C268" s="51" t="s">
        <v>222</v>
      </c>
      <c r="D268" s="15"/>
      <c r="E268" s="15"/>
      <c r="F268" s="15"/>
      <c r="G268" s="15"/>
      <c r="H268" s="9">
        <f t="shared" si="41"/>
        <v>0</v>
      </c>
      <c r="I268" s="15"/>
      <c r="J268" s="16"/>
      <c r="K268" s="16"/>
      <c r="L268" s="16"/>
      <c r="M268" s="9">
        <f t="shared" si="42"/>
        <v>0</v>
      </c>
      <c r="N268" s="10" t="e">
        <f t="shared" si="43"/>
        <v>#DIV/0!</v>
      </c>
    </row>
    <row r="269" spans="1:14" ht="29.25">
      <c r="A269" s="154"/>
      <c r="B269" s="117" t="s">
        <v>97</v>
      </c>
      <c r="C269" s="51" t="s">
        <v>267</v>
      </c>
      <c r="D269" s="9"/>
      <c r="E269" s="9"/>
      <c r="F269" s="9"/>
      <c r="G269" s="9"/>
      <c r="H269" s="9">
        <f t="shared" si="41"/>
        <v>0</v>
      </c>
      <c r="I269" s="9">
        <v>80</v>
      </c>
      <c r="J269" s="9"/>
      <c r="K269" s="9"/>
      <c r="L269" s="9"/>
      <c r="M269" s="9">
        <f t="shared" si="42"/>
        <v>80</v>
      </c>
      <c r="N269" s="10"/>
    </row>
    <row r="270" spans="1:14" ht="9.75">
      <c r="A270" s="154"/>
      <c r="B270" s="52" t="s">
        <v>98</v>
      </c>
      <c r="C270" s="53"/>
      <c r="D270" s="11">
        <f>SUM(D269)</f>
        <v>0</v>
      </c>
      <c r="E270" s="11">
        <f>SUM(E269)</f>
        <v>0</v>
      </c>
      <c r="F270" s="11">
        <f>SUM(F269)</f>
        <v>0</v>
      </c>
      <c r="G270" s="11">
        <f>SUM(G269)</f>
        <v>0</v>
      </c>
      <c r="H270" s="11">
        <f t="shared" si="41"/>
        <v>0</v>
      </c>
      <c r="I270" s="11">
        <f>SUM(I268:I269)</f>
        <v>80</v>
      </c>
      <c r="J270" s="11">
        <f>SUM(J268:J269)</f>
        <v>0</v>
      </c>
      <c r="K270" s="11">
        <f>SUM(K268:K269)</f>
        <v>0</v>
      </c>
      <c r="L270" s="11">
        <f>SUM(L268:L269)</f>
        <v>0</v>
      </c>
      <c r="M270" s="11">
        <f t="shared" si="42"/>
        <v>80</v>
      </c>
      <c r="N270" s="39"/>
    </row>
    <row r="271" spans="1:14" ht="9.75" customHeight="1" hidden="1">
      <c r="A271" s="154"/>
      <c r="B271" s="28"/>
      <c r="C271" s="51" t="s">
        <v>218</v>
      </c>
      <c r="D271" s="9"/>
      <c r="E271" s="9"/>
      <c r="F271" s="9"/>
      <c r="G271" s="9"/>
      <c r="H271" s="9">
        <f t="shared" si="41"/>
        <v>0</v>
      </c>
      <c r="I271" s="9"/>
      <c r="J271" s="9"/>
      <c r="K271" s="9"/>
      <c r="L271" s="9"/>
      <c r="M271" s="9">
        <f t="shared" si="42"/>
        <v>0</v>
      </c>
      <c r="N271" s="10" t="e">
        <f aca="true" t="shared" si="44" ref="N271:N294">M271/H271</f>
        <v>#DIV/0!</v>
      </c>
    </row>
    <row r="272" spans="1:14" ht="18.75" customHeight="1">
      <c r="A272" s="154"/>
      <c r="B272" s="142" t="s">
        <v>137</v>
      </c>
      <c r="C272" s="51" t="s">
        <v>219</v>
      </c>
      <c r="D272" s="9"/>
      <c r="E272" s="9"/>
      <c r="F272" s="9"/>
      <c r="G272" s="9"/>
      <c r="H272" s="9">
        <f t="shared" si="41"/>
        <v>0</v>
      </c>
      <c r="I272" s="9">
        <v>207</v>
      </c>
      <c r="J272" s="9"/>
      <c r="K272" s="9"/>
      <c r="L272" s="9"/>
      <c r="M272" s="9">
        <f t="shared" si="42"/>
        <v>207</v>
      </c>
      <c r="N272" s="10"/>
    </row>
    <row r="273" spans="1:14" ht="29.25">
      <c r="A273" s="154"/>
      <c r="B273" s="146"/>
      <c r="C273" s="51" t="s">
        <v>267</v>
      </c>
      <c r="D273" s="9"/>
      <c r="E273" s="9"/>
      <c r="F273" s="9"/>
      <c r="G273" s="9"/>
      <c r="H273" s="9">
        <f t="shared" si="41"/>
        <v>0</v>
      </c>
      <c r="I273" s="9">
        <v>9026</v>
      </c>
      <c r="J273" s="9"/>
      <c r="K273" s="9"/>
      <c r="L273" s="9"/>
      <c r="M273" s="9">
        <f t="shared" si="42"/>
        <v>9026</v>
      </c>
      <c r="N273" s="10"/>
    </row>
    <row r="274" spans="1:14" ht="9.75">
      <c r="A274" s="154"/>
      <c r="B274" s="52" t="s">
        <v>138</v>
      </c>
      <c r="C274" s="53"/>
      <c r="D274" s="11">
        <f>SUM(D271:D273)</f>
        <v>0</v>
      </c>
      <c r="E274" s="11">
        <f>SUM(E271:E273)</f>
        <v>0</v>
      </c>
      <c r="F274" s="11">
        <f>SUM(F271:F273)</f>
        <v>0</v>
      </c>
      <c r="G274" s="11">
        <f>SUM(G271:G273)</f>
        <v>0</v>
      </c>
      <c r="H274" s="11">
        <f t="shared" si="41"/>
        <v>0</v>
      </c>
      <c r="I274" s="11">
        <f>SUM(I271:I273)</f>
        <v>9233</v>
      </c>
      <c r="J274" s="11">
        <f>SUM(J271:J273)</f>
        <v>0</v>
      </c>
      <c r="K274" s="11">
        <f>SUM(K271:K273)</f>
        <v>0</v>
      </c>
      <c r="L274" s="11">
        <f>SUM(L271:L273)</f>
        <v>0</v>
      </c>
      <c r="M274" s="11">
        <f t="shared" si="42"/>
        <v>9233</v>
      </c>
      <c r="N274" s="39"/>
    </row>
    <row r="275" spans="1:14" ht="48.75">
      <c r="A275" s="154"/>
      <c r="B275" s="20" t="s">
        <v>99</v>
      </c>
      <c r="C275" s="51" t="s">
        <v>214</v>
      </c>
      <c r="D275" s="9"/>
      <c r="E275" s="9"/>
      <c r="F275" s="9"/>
      <c r="G275" s="9">
        <f>1574700+92692+120000</f>
        <v>1787392</v>
      </c>
      <c r="H275" s="9">
        <f t="shared" si="41"/>
        <v>1787392</v>
      </c>
      <c r="I275" s="9"/>
      <c r="J275" s="9"/>
      <c r="K275" s="9"/>
      <c r="L275" s="9">
        <v>1745114</v>
      </c>
      <c r="M275" s="9">
        <f t="shared" si="42"/>
        <v>1745114</v>
      </c>
      <c r="N275" s="10">
        <f t="shared" si="44"/>
        <v>0.9763465428960183</v>
      </c>
    </row>
    <row r="276" spans="1:14" ht="9.75">
      <c r="A276" s="154"/>
      <c r="B276" s="52" t="s">
        <v>100</v>
      </c>
      <c r="C276" s="53"/>
      <c r="D276" s="11">
        <f>SUM(D275)</f>
        <v>0</v>
      </c>
      <c r="E276" s="11">
        <f>SUM(E275)</f>
        <v>0</v>
      </c>
      <c r="F276" s="11">
        <f>SUM(F275)</f>
        <v>0</v>
      </c>
      <c r="G276" s="11">
        <f>SUM(G275)</f>
        <v>1787392</v>
      </c>
      <c r="H276" s="11">
        <f t="shared" si="41"/>
        <v>1787392</v>
      </c>
      <c r="I276" s="11">
        <f>SUM(I275)</f>
        <v>0</v>
      </c>
      <c r="J276" s="11">
        <f>SUM(J275)</f>
        <v>0</v>
      </c>
      <c r="K276" s="11">
        <f>SUM(K275)</f>
        <v>0</v>
      </c>
      <c r="L276" s="11">
        <f>SUM(L275)</f>
        <v>1745114</v>
      </c>
      <c r="M276" s="11">
        <f t="shared" si="42"/>
        <v>1745114</v>
      </c>
      <c r="N276" s="39">
        <f t="shared" si="44"/>
        <v>0.9763465428960183</v>
      </c>
    </row>
    <row r="277" spans="1:14" ht="9.75">
      <c r="A277" s="151"/>
      <c r="B277" s="157" t="s">
        <v>139</v>
      </c>
      <c r="C277" s="92" t="s">
        <v>218</v>
      </c>
      <c r="D277" s="16"/>
      <c r="E277" s="16"/>
      <c r="F277" s="16"/>
      <c r="G277" s="16"/>
      <c r="H277" s="16">
        <f t="shared" si="41"/>
        <v>0</v>
      </c>
      <c r="I277" s="15">
        <v>4180</v>
      </c>
      <c r="J277" s="16"/>
      <c r="K277" s="16"/>
      <c r="L277" s="16"/>
      <c r="M277" s="9">
        <f t="shared" si="42"/>
        <v>4180</v>
      </c>
      <c r="N277" s="10"/>
    </row>
    <row r="278" spans="1:14" ht="10.5" customHeight="1">
      <c r="A278" s="151"/>
      <c r="B278" s="158"/>
      <c r="C278" s="92" t="s">
        <v>226</v>
      </c>
      <c r="D278" s="16">
        <v>50000</v>
      </c>
      <c r="E278" s="16"/>
      <c r="F278" s="16"/>
      <c r="G278" s="16"/>
      <c r="H278" s="16">
        <f t="shared" si="41"/>
        <v>50000</v>
      </c>
      <c r="I278" s="15">
        <v>113906</v>
      </c>
      <c r="J278" s="16"/>
      <c r="K278" s="16"/>
      <c r="L278" s="16"/>
      <c r="M278" s="9">
        <f t="shared" si="42"/>
        <v>113906</v>
      </c>
      <c r="N278" s="10">
        <f t="shared" si="44"/>
        <v>2.27812</v>
      </c>
    </row>
    <row r="279" spans="1:14" ht="11.25" customHeight="1">
      <c r="A279" s="151"/>
      <c r="B279" s="158"/>
      <c r="C279" s="37" t="s">
        <v>221</v>
      </c>
      <c r="D279" s="9"/>
      <c r="E279" s="9"/>
      <c r="F279" s="9"/>
      <c r="G279" s="9"/>
      <c r="H279" s="9">
        <f t="shared" si="41"/>
        <v>0</v>
      </c>
      <c r="I279" s="9">
        <v>812</v>
      </c>
      <c r="J279" s="9"/>
      <c r="K279" s="9"/>
      <c r="L279" s="9"/>
      <c r="M279" s="9">
        <f t="shared" si="42"/>
        <v>812</v>
      </c>
      <c r="N279" s="10"/>
    </row>
    <row r="280" spans="1:14" ht="39" hidden="1">
      <c r="A280" s="151"/>
      <c r="B280" s="158"/>
      <c r="C280" s="37" t="s">
        <v>262</v>
      </c>
      <c r="D280" s="9"/>
      <c r="E280" s="9"/>
      <c r="F280" s="9"/>
      <c r="G280" s="9"/>
      <c r="H280" s="9">
        <f t="shared" si="41"/>
        <v>0</v>
      </c>
      <c r="I280" s="9"/>
      <c r="J280" s="9"/>
      <c r="K280" s="9"/>
      <c r="L280" s="9"/>
      <c r="M280" s="9">
        <f t="shared" si="42"/>
        <v>0</v>
      </c>
      <c r="N280" s="10" t="e">
        <f t="shared" si="44"/>
        <v>#DIV/0!</v>
      </c>
    </row>
    <row r="281" spans="1:14" ht="19.5">
      <c r="A281" s="151"/>
      <c r="B281" s="159"/>
      <c r="C281" s="37" t="s">
        <v>316</v>
      </c>
      <c r="D281" s="9"/>
      <c r="E281" s="9"/>
      <c r="F281" s="9"/>
      <c r="G281" s="9"/>
      <c r="H281" s="9">
        <f t="shared" si="41"/>
        <v>0</v>
      </c>
      <c r="I281" s="9">
        <v>28093</v>
      </c>
      <c r="J281" s="9"/>
      <c r="K281" s="9"/>
      <c r="L281" s="9"/>
      <c r="M281" s="9">
        <f t="shared" si="42"/>
        <v>28093</v>
      </c>
      <c r="N281" s="10"/>
    </row>
    <row r="282" spans="1:14" ht="9.75">
      <c r="A282" s="151"/>
      <c r="B282" s="101" t="s">
        <v>140</v>
      </c>
      <c r="C282" s="90"/>
      <c r="D282" s="11">
        <f>SUM(D277:D281)</f>
        <v>50000</v>
      </c>
      <c r="E282" s="11">
        <f>SUM(E279:E280)</f>
        <v>0</v>
      </c>
      <c r="F282" s="11">
        <f>SUM(F279:F280)</f>
        <v>0</v>
      </c>
      <c r="G282" s="11">
        <f>SUM(G279:G280)</f>
        <v>0</v>
      </c>
      <c r="H282" s="11">
        <f t="shared" si="41"/>
        <v>50000</v>
      </c>
      <c r="I282" s="11">
        <f>SUM(I277:I281)</f>
        <v>146991</v>
      </c>
      <c r="J282" s="11">
        <f>SUM(J279:J281)</f>
        <v>0</v>
      </c>
      <c r="K282" s="11">
        <f>SUM(K279:K281)</f>
        <v>0</v>
      </c>
      <c r="L282" s="11">
        <f>SUM(L279:L281)</f>
        <v>0</v>
      </c>
      <c r="M282" s="11">
        <f t="shared" si="42"/>
        <v>146991</v>
      </c>
      <c r="N282" s="39">
        <f t="shared" si="44"/>
        <v>2.93982</v>
      </c>
    </row>
    <row r="283" spans="1:14" ht="9.75" hidden="1">
      <c r="A283" s="154"/>
      <c r="B283" s="143" t="s">
        <v>141</v>
      </c>
      <c r="C283" s="51" t="s">
        <v>221</v>
      </c>
      <c r="D283" s="9"/>
      <c r="E283" s="9"/>
      <c r="F283" s="9"/>
      <c r="G283" s="9"/>
      <c r="H283" s="9">
        <f t="shared" si="41"/>
        <v>0</v>
      </c>
      <c r="I283" s="9"/>
      <c r="J283" s="9"/>
      <c r="K283" s="9"/>
      <c r="L283" s="9"/>
      <c r="M283" s="9">
        <f t="shared" si="42"/>
        <v>0</v>
      </c>
      <c r="N283" s="10" t="e">
        <f t="shared" si="44"/>
        <v>#DIV/0!</v>
      </c>
    </row>
    <row r="284" spans="1:14" s="18" customFormat="1" ht="31.5" customHeight="1">
      <c r="A284" s="154"/>
      <c r="B284" s="143"/>
      <c r="C284" s="51" t="s">
        <v>267</v>
      </c>
      <c r="D284" s="9"/>
      <c r="E284" s="9"/>
      <c r="F284" s="9"/>
      <c r="G284" s="9"/>
      <c r="H284" s="9">
        <f t="shared" si="41"/>
        <v>0</v>
      </c>
      <c r="I284" s="9">
        <v>2671</v>
      </c>
      <c r="J284" s="9"/>
      <c r="K284" s="9"/>
      <c r="L284" s="9"/>
      <c r="M284" s="9">
        <f t="shared" si="42"/>
        <v>2671</v>
      </c>
      <c r="N284" s="10"/>
    </row>
    <row r="285" spans="1:14" s="18" customFormat="1" ht="9.75" hidden="1">
      <c r="A285" s="154"/>
      <c r="B285" s="146"/>
      <c r="C285" s="51" t="s">
        <v>332</v>
      </c>
      <c r="D285" s="9"/>
      <c r="E285" s="9"/>
      <c r="F285" s="9"/>
      <c r="G285" s="9"/>
      <c r="H285" s="9">
        <f t="shared" si="41"/>
        <v>0</v>
      </c>
      <c r="I285" s="9"/>
      <c r="J285" s="9"/>
      <c r="K285" s="9"/>
      <c r="L285" s="9"/>
      <c r="M285" s="9">
        <f t="shared" si="42"/>
        <v>0</v>
      </c>
      <c r="N285" s="10" t="e">
        <f t="shared" si="44"/>
        <v>#DIV/0!</v>
      </c>
    </row>
    <row r="286" spans="1:14" ht="9.75">
      <c r="A286" s="155"/>
      <c r="B286" s="52" t="s">
        <v>142</v>
      </c>
      <c r="C286" s="53"/>
      <c r="D286" s="11">
        <f>SUM(D283:D284)</f>
        <v>0</v>
      </c>
      <c r="E286" s="11">
        <f>SUM(E283:E284)</f>
        <v>0</v>
      </c>
      <c r="F286" s="11">
        <f>SUM(F283:F284)</f>
        <v>0</v>
      </c>
      <c r="G286" s="11">
        <f>SUM(G283:G284)</f>
        <v>0</v>
      </c>
      <c r="H286" s="11">
        <f t="shared" si="41"/>
        <v>0</v>
      </c>
      <c r="I286" s="11">
        <f>SUM(I283:I285)</f>
        <v>2671</v>
      </c>
      <c r="J286" s="11">
        <f>SUM(J283:J284)</f>
        <v>0</v>
      </c>
      <c r="K286" s="11">
        <f>SUM(K283:K284)</f>
        <v>0</v>
      </c>
      <c r="L286" s="11">
        <f>SUM(L283:L284)</f>
        <v>0</v>
      </c>
      <c r="M286" s="11">
        <f t="shared" si="42"/>
        <v>2671</v>
      </c>
      <c r="N286" s="39"/>
    </row>
    <row r="287" spans="1:14" ht="9.75">
      <c r="A287" s="72" t="s">
        <v>101</v>
      </c>
      <c r="B287" s="73"/>
      <c r="C287" s="55"/>
      <c r="D287" s="13">
        <f>SUM(D286,D282,D276,D274,D270,D267,D265,D262)</f>
        <v>510000</v>
      </c>
      <c r="E287" s="13">
        <f>SUM(E286,E282,E276,E274,E270,E267,E265,E262)</f>
        <v>0</v>
      </c>
      <c r="F287" s="13">
        <f>SUM(F286,F282,F276,F274,F270,F267,F265,F262)</f>
        <v>0</v>
      </c>
      <c r="G287" s="13">
        <f>SUM(G286,G282,G276,G274,G270,G267,G265,G262)</f>
        <v>1847736</v>
      </c>
      <c r="H287" s="13">
        <f t="shared" si="41"/>
        <v>2357736</v>
      </c>
      <c r="I287" s="13">
        <f>SUM(I286,I282,I276,I274,I270,I267,I265,I262)</f>
        <v>618999</v>
      </c>
      <c r="J287" s="13">
        <f>SUM(J286,J282,J276,J274,J270,J267,J265,J262)</f>
        <v>0</v>
      </c>
      <c r="K287" s="13">
        <f>SUM(K286,K282,K276,K274,K270,K267,K265,K262)</f>
        <v>0</v>
      </c>
      <c r="L287" s="13">
        <f>SUM(L286,L282,L276,L274,L270,L267,L265,L262)</f>
        <v>1805454</v>
      </c>
      <c r="M287" s="13">
        <f t="shared" si="42"/>
        <v>2424453</v>
      </c>
      <c r="N287" s="124">
        <f t="shared" si="44"/>
        <v>1.0282970612485876</v>
      </c>
    </row>
    <row r="288" spans="1:14" ht="48.75">
      <c r="A288" s="136" t="s">
        <v>280</v>
      </c>
      <c r="B288" s="149" t="s">
        <v>281</v>
      </c>
      <c r="C288" s="51" t="s">
        <v>278</v>
      </c>
      <c r="D288" s="9"/>
      <c r="E288" s="9"/>
      <c r="F288" s="9"/>
      <c r="G288" s="9"/>
      <c r="H288" s="9">
        <f t="shared" si="41"/>
        <v>0</v>
      </c>
      <c r="I288" s="9"/>
      <c r="J288" s="9">
        <v>6016</v>
      </c>
      <c r="K288" s="9"/>
      <c r="L288" s="9"/>
      <c r="M288" s="9">
        <f t="shared" si="42"/>
        <v>6016</v>
      </c>
      <c r="N288" s="10"/>
    </row>
    <row r="289" spans="1:14" ht="10.5" customHeight="1">
      <c r="A289" s="154"/>
      <c r="B289" s="143"/>
      <c r="C289" s="51" t="s">
        <v>226</v>
      </c>
      <c r="D289" s="9"/>
      <c r="E289" s="9">
        <v>5500</v>
      </c>
      <c r="F289" s="9"/>
      <c r="G289" s="9"/>
      <c r="H289" s="9">
        <f t="shared" si="41"/>
        <v>5500</v>
      </c>
      <c r="I289" s="9"/>
      <c r="J289" s="9">
        <v>4300</v>
      </c>
      <c r="K289" s="9"/>
      <c r="L289" s="9"/>
      <c r="M289" s="9">
        <f t="shared" si="42"/>
        <v>4300</v>
      </c>
      <c r="N289" s="10">
        <f t="shared" si="44"/>
        <v>0.7818181818181819</v>
      </c>
    </row>
    <row r="290" spans="1:14" ht="11.25" customHeight="1">
      <c r="A290" s="154"/>
      <c r="B290" s="143"/>
      <c r="C290" s="51" t="s">
        <v>219</v>
      </c>
      <c r="D290" s="9"/>
      <c r="E290" s="9"/>
      <c r="F290" s="9"/>
      <c r="G290" s="9"/>
      <c r="H290" s="9">
        <f t="shared" si="41"/>
        <v>0</v>
      </c>
      <c r="I290" s="9"/>
      <c r="J290" s="9">
        <v>3178</v>
      </c>
      <c r="K290" s="9"/>
      <c r="L290" s="9"/>
      <c r="M290" s="9">
        <f t="shared" si="42"/>
        <v>3178</v>
      </c>
      <c r="N290" s="10"/>
    </row>
    <row r="291" spans="1:14" ht="9.75" hidden="1">
      <c r="A291" s="154"/>
      <c r="B291" s="143"/>
      <c r="C291" s="51" t="s">
        <v>221</v>
      </c>
      <c r="D291" s="9"/>
      <c r="E291" s="9"/>
      <c r="F291" s="9"/>
      <c r="G291" s="9"/>
      <c r="H291" s="9">
        <f aca="true" t="shared" si="45" ref="H291:H309">SUM(D291:G291)</f>
        <v>0</v>
      </c>
      <c r="I291" s="9"/>
      <c r="J291" s="9"/>
      <c r="K291" s="9"/>
      <c r="L291" s="9"/>
      <c r="M291" s="9">
        <f aca="true" t="shared" si="46" ref="M291:M309">SUM(I291:L291)</f>
        <v>0</v>
      </c>
      <c r="N291" s="10" t="e">
        <f t="shared" si="44"/>
        <v>#DIV/0!</v>
      </c>
    </row>
    <row r="292" spans="1:14" ht="29.25">
      <c r="A292" s="154"/>
      <c r="B292" s="146"/>
      <c r="C292" s="51" t="s">
        <v>220</v>
      </c>
      <c r="D292" s="9"/>
      <c r="E292" s="9">
        <f>2649600+354900+7500+50000+20500</f>
        <v>3082500</v>
      </c>
      <c r="F292" s="9"/>
      <c r="G292" s="9"/>
      <c r="H292" s="9">
        <f t="shared" si="45"/>
        <v>3082500</v>
      </c>
      <c r="I292" s="9"/>
      <c r="J292" s="9">
        <v>3082500</v>
      </c>
      <c r="K292" s="9"/>
      <c r="L292" s="9"/>
      <c r="M292" s="9">
        <f t="shared" si="46"/>
        <v>3082500</v>
      </c>
      <c r="N292" s="10">
        <f t="shared" si="44"/>
        <v>1</v>
      </c>
    </row>
    <row r="293" spans="1:14" ht="11.25" customHeight="1">
      <c r="A293" s="154"/>
      <c r="B293" s="52" t="s">
        <v>282</v>
      </c>
      <c r="C293" s="53"/>
      <c r="D293" s="11">
        <f>SUM(D288:D292)</f>
        <v>0</v>
      </c>
      <c r="E293" s="11">
        <f>SUM(E288:E292)</f>
        <v>3088000</v>
      </c>
      <c r="F293" s="11">
        <f>SUM(F288:F292)</f>
        <v>0</v>
      </c>
      <c r="G293" s="11">
        <f>SUM(G288:G292)</f>
        <v>0</v>
      </c>
      <c r="H293" s="11">
        <f t="shared" si="45"/>
        <v>3088000</v>
      </c>
      <c r="I293" s="11">
        <f>SUM(I288:I292)</f>
        <v>0</v>
      </c>
      <c r="J293" s="11">
        <f>SUM(J288:J292)</f>
        <v>3095994</v>
      </c>
      <c r="K293" s="11">
        <f>SUM(K288:K292)</f>
        <v>0</v>
      </c>
      <c r="L293" s="11">
        <f>SUM(L288:L292)</f>
        <v>0</v>
      </c>
      <c r="M293" s="11">
        <f t="shared" si="46"/>
        <v>3095994</v>
      </c>
      <c r="N293" s="39">
        <f t="shared" si="44"/>
        <v>1.0025887305699481</v>
      </c>
    </row>
    <row r="294" spans="1:14" ht="15" customHeight="1">
      <c r="A294" s="154"/>
      <c r="B294" s="142" t="s">
        <v>283</v>
      </c>
      <c r="C294" s="51" t="s">
        <v>226</v>
      </c>
      <c r="D294" s="9"/>
      <c r="E294" s="9">
        <v>417000</v>
      </c>
      <c r="F294" s="9"/>
      <c r="G294" s="9"/>
      <c r="H294" s="9">
        <f t="shared" si="45"/>
        <v>417000</v>
      </c>
      <c r="I294" s="9"/>
      <c r="J294" s="9">
        <v>427192</v>
      </c>
      <c r="K294" s="9"/>
      <c r="L294" s="9"/>
      <c r="M294" s="9">
        <f t="shared" si="46"/>
        <v>427192</v>
      </c>
      <c r="N294" s="10">
        <f t="shared" si="44"/>
        <v>1.024441247002398</v>
      </c>
    </row>
    <row r="295" spans="1:14" ht="15" customHeight="1">
      <c r="A295" s="154"/>
      <c r="B295" s="143"/>
      <c r="C295" s="51" t="s">
        <v>219</v>
      </c>
      <c r="D295" s="9"/>
      <c r="E295" s="9"/>
      <c r="F295" s="9"/>
      <c r="G295" s="9"/>
      <c r="H295" s="9">
        <f t="shared" si="45"/>
        <v>0</v>
      </c>
      <c r="I295" s="9"/>
      <c r="J295" s="9">
        <v>1325</v>
      </c>
      <c r="K295" s="9"/>
      <c r="L295" s="9"/>
      <c r="M295" s="9">
        <f t="shared" si="46"/>
        <v>1325</v>
      </c>
      <c r="N295" s="10"/>
    </row>
    <row r="296" spans="1:14" ht="11.25" customHeight="1">
      <c r="A296" s="154"/>
      <c r="B296" s="143"/>
      <c r="C296" s="51" t="s">
        <v>221</v>
      </c>
      <c r="D296" s="9"/>
      <c r="E296" s="9"/>
      <c r="F296" s="9"/>
      <c r="G296" s="9"/>
      <c r="H296" s="9">
        <f t="shared" si="45"/>
        <v>0</v>
      </c>
      <c r="I296" s="9"/>
      <c r="J296" s="9">
        <v>1243</v>
      </c>
      <c r="K296" s="9"/>
      <c r="L296" s="9"/>
      <c r="M296" s="9">
        <f t="shared" si="46"/>
        <v>1243</v>
      </c>
      <c r="N296" s="10"/>
    </row>
    <row r="297" spans="1:14" ht="30" customHeight="1">
      <c r="A297" s="154"/>
      <c r="B297" s="146"/>
      <c r="C297" s="51" t="s">
        <v>220</v>
      </c>
      <c r="D297" s="9"/>
      <c r="E297" s="9">
        <f>1459200-34560</f>
        <v>1424640</v>
      </c>
      <c r="F297" s="9"/>
      <c r="G297" s="9"/>
      <c r="H297" s="9">
        <f t="shared" si="45"/>
        <v>1424640</v>
      </c>
      <c r="I297" s="9"/>
      <c r="J297" s="9">
        <v>1421883</v>
      </c>
      <c r="K297" s="9"/>
      <c r="L297" s="9"/>
      <c r="M297" s="9">
        <f t="shared" si="46"/>
        <v>1421883</v>
      </c>
      <c r="N297" s="10">
        <f aca="true" t="shared" si="47" ref="N297:N302">M297/H297</f>
        <v>0.9980647742587601</v>
      </c>
    </row>
    <row r="298" spans="1:14" ht="15.75" customHeight="1">
      <c r="A298" s="154"/>
      <c r="B298" s="52" t="s">
        <v>285</v>
      </c>
      <c r="C298" s="53"/>
      <c r="D298" s="11">
        <f>SUM(D294:D297)</f>
        <v>0</v>
      </c>
      <c r="E298" s="11">
        <f>SUM(E294:E297)</f>
        <v>1841640</v>
      </c>
      <c r="F298" s="11">
        <f>SUM(F294:F297)</f>
        <v>0</v>
      </c>
      <c r="G298" s="11">
        <f>SUM(G294:G297)</f>
        <v>0</v>
      </c>
      <c r="H298" s="11">
        <f t="shared" si="45"/>
        <v>1841640</v>
      </c>
      <c r="I298" s="11">
        <f>SUM(I294:I297)</f>
        <v>0</v>
      </c>
      <c r="J298" s="11">
        <f>SUM(J294:J297)</f>
        <v>1851643</v>
      </c>
      <c r="K298" s="11">
        <f>SUM(K294:K297)</f>
        <v>0</v>
      </c>
      <c r="L298" s="11">
        <f>SUM(L294:L297)</f>
        <v>0</v>
      </c>
      <c r="M298" s="11">
        <f t="shared" si="46"/>
        <v>1851643</v>
      </c>
      <c r="N298" s="39">
        <f t="shared" si="47"/>
        <v>1.005431571859864</v>
      </c>
    </row>
    <row r="299" spans="1:14" ht="9.75">
      <c r="A299" s="154"/>
      <c r="B299" s="142" t="s">
        <v>284</v>
      </c>
      <c r="C299" s="51" t="s">
        <v>226</v>
      </c>
      <c r="D299" s="9">
        <v>300000</v>
      </c>
      <c r="E299" s="9"/>
      <c r="F299" s="9"/>
      <c r="G299" s="9"/>
      <c r="H299" s="9">
        <f t="shared" si="45"/>
        <v>300000</v>
      </c>
      <c r="I299" s="9">
        <v>374341</v>
      </c>
      <c r="J299" s="9"/>
      <c r="K299" s="9"/>
      <c r="L299" s="9"/>
      <c r="M299" s="9">
        <f t="shared" si="46"/>
        <v>374341</v>
      </c>
      <c r="N299" s="10">
        <f t="shared" si="47"/>
        <v>1.2478033333333334</v>
      </c>
    </row>
    <row r="300" spans="1:14" ht="39.75" customHeight="1">
      <c r="A300" s="154"/>
      <c r="B300" s="143"/>
      <c r="C300" s="51" t="s">
        <v>232</v>
      </c>
      <c r="D300" s="9"/>
      <c r="E300" s="9"/>
      <c r="F300" s="9">
        <v>507600</v>
      </c>
      <c r="G300" s="9"/>
      <c r="H300" s="9">
        <f t="shared" si="45"/>
        <v>507600</v>
      </c>
      <c r="I300" s="9"/>
      <c r="J300" s="9"/>
      <c r="K300" s="9">
        <v>507296</v>
      </c>
      <c r="L300" s="9"/>
      <c r="M300" s="9">
        <f t="shared" si="46"/>
        <v>507296</v>
      </c>
      <c r="N300" s="10">
        <f t="shared" si="47"/>
        <v>0.9994011032308905</v>
      </c>
    </row>
    <row r="301" spans="1:14" ht="30" customHeight="1">
      <c r="A301" s="41"/>
      <c r="B301" s="146"/>
      <c r="C301" s="51" t="s">
        <v>227</v>
      </c>
      <c r="D301" s="9">
        <v>350</v>
      </c>
      <c r="E301" s="9"/>
      <c r="F301" s="9"/>
      <c r="G301" s="9"/>
      <c r="H301" s="9">
        <f t="shared" si="45"/>
        <v>350</v>
      </c>
      <c r="I301" s="9">
        <v>181</v>
      </c>
      <c r="J301" s="9"/>
      <c r="K301" s="9"/>
      <c r="L301" s="9"/>
      <c r="M301" s="9">
        <f t="shared" si="46"/>
        <v>181</v>
      </c>
      <c r="N301" s="10">
        <f t="shared" si="47"/>
        <v>0.5171428571428571</v>
      </c>
    </row>
    <row r="302" spans="1:14" s="18" customFormat="1" ht="9.75">
      <c r="A302" s="41"/>
      <c r="B302" s="52" t="s">
        <v>286</v>
      </c>
      <c r="C302" s="53"/>
      <c r="D302" s="11">
        <f>SUM(D299:D301)</f>
        <v>300350</v>
      </c>
      <c r="E302" s="11">
        <f>SUM(E299:E301)</f>
        <v>0</v>
      </c>
      <c r="F302" s="11">
        <f>SUM(F299:F301)</f>
        <v>507600</v>
      </c>
      <c r="G302" s="11">
        <f>SUM(G299:G301)</f>
        <v>0</v>
      </c>
      <c r="H302" s="11">
        <f t="shared" si="45"/>
        <v>807950</v>
      </c>
      <c r="I302" s="11">
        <f>SUM(I299:I301)</f>
        <v>374522</v>
      </c>
      <c r="J302" s="11">
        <f>SUM(J299:J301)</f>
        <v>0</v>
      </c>
      <c r="K302" s="11">
        <f>SUM(K299:K301)</f>
        <v>507296</v>
      </c>
      <c r="L302" s="11">
        <f>SUM(L299:L301)</f>
        <v>0</v>
      </c>
      <c r="M302" s="11">
        <f t="shared" si="46"/>
        <v>881818</v>
      </c>
      <c r="N302" s="39">
        <f t="shared" si="47"/>
        <v>1.0914264496565382</v>
      </c>
    </row>
    <row r="303" spans="1:14" ht="34.5" customHeight="1">
      <c r="A303" s="151"/>
      <c r="B303" s="142" t="s">
        <v>287</v>
      </c>
      <c r="C303" s="51" t="s">
        <v>227</v>
      </c>
      <c r="D303" s="9"/>
      <c r="E303" s="9"/>
      <c r="F303" s="9"/>
      <c r="G303" s="9"/>
      <c r="H303" s="9">
        <f t="shared" si="45"/>
        <v>0</v>
      </c>
      <c r="I303" s="9"/>
      <c r="J303" s="9">
        <v>335</v>
      </c>
      <c r="K303" s="9"/>
      <c r="L303" s="9"/>
      <c r="M303" s="9">
        <f t="shared" si="46"/>
        <v>335</v>
      </c>
      <c r="N303" s="10"/>
    </row>
    <row r="304" spans="1:14" ht="33" customHeight="1">
      <c r="A304" s="151"/>
      <c r="B304" s="146"/>
      <c r="C304" s="51" t="s">
        <v>236</v>
      </c>
      <c r="D304" s="9"/>
      <c r="E304" s="9">
        <v>30950</v>
      </c>
      <c r="F304" s="9"/>
      <c r="G304" s="9"/>
      <c r="H304" s="9">
        <f t="shared" si="45"/>
        <v>30950</v>
      </c>
      <c r="I304" s="9"/>
      <c r="J304" s="9">
        <v>25412</v>
      </c>
      <c r="K304" s="9"/>
      <c r="L304" s="9"/>
      <c r="M304" s="9">
        <f t="shared" si="46"/>
        <v>25412</v>
      </c>
      <c r="N304" s="10">
        <f>M304/H304</f>
        <v>0.8210662358642973</v>
      </c>
    </row>
    <row r="305" spans="1:14" s="18" customFormat="1" ht="11.25" customHeight="1">
      <c r="A305" s="151"/>
      <c r="B305" s="52" t="s">
        <v>288</v>
      </c>
      <c r="C305" s="101"/>
      <c r="D305" s="11">
        <f>SUM(D303)</f>
        <v>0</v>
      </c>
      <c r="E305" s="11">
        <f>SUM(E303,E304)</f>
        <v>30950</v>
      </c>
      <c r="F305" s="11">
        <f>SUM(F303)</f>
        <v>0</v>
      </c>
      <c r="G305" s="11">
        <f>SUM(G303)</f>
        <v>0</v>
      </c>
      <c r="H305" s="11">
        <f t="shared" si="45"/>
        <v>30950</v>
      </c>
      <c r="I305" s="11">
        <f>SUM(I303)</f>
        <v>0</v>
      </c>
      <c r="J305" s="11">
        <f>SUM(J303:J304)</f>
        <v>25747</v>
      </c>
      <c r="K305" s="11">
        <f>SUM(K303)</f>
        <v>0</v>
      </c>
      <c r="L305" s="11">
        <f>SUM(L303)</f>
        <v>0</v>
      </c>
      <c r="M305" s="11">
        <f t="shared" si="46"/>
        <v>25747</v>
      </c>
      <c r="N305" s="39">
        <f>M305/H305</f>
        <v>0.8318901453957996</v>
      </c>
    </row>
    <row r="306" spans="1:14" s="42" customFormat="1" ht="9.75">
      <c r="A306" s="151"/>
      <c r="B306" s="157" t="s">
        <v>324</v>
      </c>
      <c r="C306" s="68" t="s">
        <v>219</v>
      </c>
      <c r="D306" s="15"/>
      <c r="E306" s="15"/>
      <c r="F306" s="15"/>
      <c r="G306" s="15"/>
      <c r="H306" s="15">
        <f t="shared" si="45"/>
        <v>0</v>
      </c>
      <c r="I306" s="15">
        <v>24353</v>
      </c>
      <c r="J306" s="15"/>
      <c r="K306" s="15"/>
      <c r="L306" s="15"/>
      <c r="M306" s="9">
        <f t="shared" si="46"/>
        <v>24353</v>
      </c>
      <c r="N306" s="10"/>
    </row>
    <row r="307" spans="1:14" s="42" customFormat="1" ht="39">
      <c r="A307" s="168"/>
      <c r="B307" s="158"/>
      <c r="C307" s="63" t="s">
        <v>232</v>
      </c>
      <c r="D307" s="15"/>
      <c r="E307" s="15"/>
      <c r="F307" s="15">
        <f>37550+2021880+5226000+4595061+1125274+2699799+1782200+2900000-1200000</f>
        <v>19187764</v>
      </c>
      <c r="G307" s="15"/>
      <c r="H307" s="15">
        <f t="shared" si="45"/>
        <v>19187764</v>
      </c>
      <c r="I307" s="15"/>
      <c r="J307" s="15"/>
      <c r="K307" s="15">
        <v>18840662</v>
      </c>
      <c r="L307" s="15"/>
      <c r="M307" s="9">
        <f t="shared" si="46"/>
        <v>18840662</v>
      </c>
      <c r="N307" s="10">
        <f aca="true" t="shared" si="48" ref="N307:N326">M307/H307</f>
        <v>0.9819102423815511</v>
      </c>
    </row>
    <row r="308" spans="1:14" s="42" customFormat="1" ht="39">
      <c r="A308" s="168"/>
      <c r="B308" s="158"/>
      <c r="C308" s="63" t="s">
        <v>214</v>
      </c>
      <c r="D308" s="15"/>
      <c r="E308" s="15"/>
      <c r="F308" s="15"/>
      <c r="G308" s="15">
        <f>66250-16700</f>
        <v>49550</v>
      </c>
      <c r="H308" s="15">
        <f t="shared" si="45"/>
        <v>49550</v>
      </c>
      <c r="I308" s="15"/>
      <c r="J308" s="15"/>
      <c r="K308" s="15"/>
      <c r="L308" s="15">
        <v>47886</v>
      </c>
      <c r="M308" s="9">
        <f t="shared" si="46"/>
        <v>47886</v>
      </c>
      <c r="N308" s="10">
        <f t="shared" si="48"/>
        <v>0.9664177598385469</v>
      </c>
    </row>
    <row r="309" spans="1:14" s="42" customFormat="1" ht="39">
      <c r="A309" s="168"/>
      <c r="B309" s="159"/>
      <c r="C309" s="63" t="s">
        <v>272</v>
      </c>
      <c r="D309" s="15"/>
      <c r="E309" s="15"/>
      <c r="F309" s="15">
        <v>80000</v>
      </c>
      <c r="G309" s="15"/>
      <c r="H309" s="15">
        <f t="shared" si="45"/>
        <v>80000</v>
      </c>
      <c r="I309" s="15"/>
      <c r="J309" s="15"/>
      <c r="K309" s="15">
        <v>79511</v>
      </c>
      <c r="L309" s="15"/>
      <c r="M309" s="9">
        <f t="shared" si="46"/>
        <v>79511</v>
      </c>
      <c r="N309" s="10">
        <f t="shared" si="48"/>
        <v>0.9938875</v>
      </c>
    </row>
    <row r="310" spans="1:14" s="42" customFormat="1" ht="10.5" customHeight="1">
      <c r="A310" s="168"/>
      <c r="B310" s="147" t="s">
        <v>325</v>
      </c>
      <c r="C310" s="148"/>
      <c r="D310" s="110">
        <f aca="true" t="shared" si="49" ref="D310:M310">SUM(D306:D309)</f>
        <v>0</v>
      </c>
      <c r="E310" s="110">
        <f t="shared" si="49"/>
        <v>0</v>
      </c>
      <c r="F310" s="110">
        <f t="shared" si="49"/>
        <v>19267764</v>
      </c>
      <c r="G310" s="110">
        <f t="shared" si="49"/>
        <v>49550</v>
      </c>
      <c r="H310" s="110">
        <f t="shared" si="49"/>
        <v>19317314</v>
      </c>
      <c r="I310" s="110">
        <f t="shared" si="49"/>
        <v>24353</v>
      </c>
      <c r="J310" s="110">
        <f t="shared" si="49"/>
        <v>0</v>
      </c>
      <c r="K310" s="110">
        <f t="shared" si="49"/>
        <v>18920173</v>
      </c>
      <c r="L310" s="110">
        <f t="shared" si="49"/>
        <v>47886</v>
      </c>
      <c r="M310" s="110">
        <f t="shared" si="49"/>
        <v>18992412</v>
      </c>
      <c r="N310" s="39">
        <f t="shared" si="48"/>
        <v>0.9831807879708327</v>
      </c>
    </row>
    <row r="311" spans="1:14" ht="39">
      <c r="A311" s="154"/>
      <c r="B311" s="149" t="s">
        <v>289</v>
      </c>
      <c r="C311" s="44" t="s">
        <v>232</v>
      </c>
      <c r="D311" s="9"/>
      <c r="E311" s="9"/>
      <c r="F311" s="9">
        <f>560610-140380-15230</f>
        <v>405000</v>
      </c>
      <c r="G311" s="9"/>
      <c r="H311" s="9">
        <f aca="true" t="shared" si="50" ref="H311:H344">SUM(D311:G311)</f>
        <v>405000</v>
      </c>
      <c r="I311" s="9"/>
      <c r="J311" s="9"/>
      <c r="K311" s="9">
        <v>388789</v>
      </c>
      <c r="L311" s="9"/>
      <c r="M311" s="9">
        <f aca="true" t="shared" si="51" ref="M311:M344">SUM(I311:L311)</f>
        <v>388789</v>
      </c>
      <c r="N311" s="10">
        <f t="shared" si="48"/>
        <v>0.9599728395061728</v>
      </c>
    </row>
    <row r="312" spans="1:14" ht="29.25">
      <c r="A312" s="154"/>
      <c r="B312" s="143"/>
      <c r="C312" s="44" t="s">
        <v>227</v>
      </c>
      <c r="D312" s="9"/>
      <c r="E312" s="9"/>
      <c r="F312" s="9"/>
      <c r="G312" s="9"/>
      <c r="H312" s="9">
        <f t="shared" si="50"/>
        <v>0</v>
      </c>
      <c r="I312" s="9"/>
      <c r="J312" s="9">
        <v>1</v>
      </c>
      <c r="K312" s="9"/>
      <c r="L312" s="9"/>
      <c r="M312" s="9">
        <f t="shared" si="51"/>
        <v>1</v>
      </c>
      <c r="N312" s="10"/>
    </row>
    <row r="313" spans="1:14" ht="9.75" hidden="1">
      <c r="A313" s="154"/>
      <c r="B313" s="146"/>
      <c r="C313" s="51" t="s">
        <v>221</v>
      </c>
      <c r="D313" s="9"/>
      <c r="E313" s="9"/>
      <c r="F313" s="9"/>
      <c r="G313" s="9"/>
      <c r="H313" s="9">
        <f t="shared" si="50"/>
        <v>0</v>
      </c>
      <c r="I313" s="9"/>
      <c r="J313" s="9"/>
      <c r="K313" s="9"/>
      <c r="L313" s="9"/>
      <c r="M313" s="9">
        <f t="shared" si="51"/>
        <v>0</v>
      </c>
      <c r="N313" s="10" t="e">
        <f t="shared" si="48"/>
        <v>#DIV/0!</v>
      </c>
    </row>
    <row r="314" spans="1:14" s="18" customFormat="1" ht="9.75">
      <c r="A314" s="41"/>
      <c r="B314" s="52" t="s">
        <v>290</v>
      </c>
      <c r="C314" s="53"/>
      <c r="D314" s="11">
        <f>SUM(D311:D313)</f>
        <v>0</v>
      </c>
      <c r="E314" s="11">
        <f>SUM(E311:E313)</f>
        <v>0</v>
      </c>
      <c r="F314" s="11">
        <f>SUM(F311:F313)</f>
        <v>405000</v>
      </c>
      <c r="G314" s="11">
        <f>SUM(G311:G313)</f>
        <v>0</v>
      </c>
      <c r="H314" s="11">
        <f t="shared" si="50"/>
        <v>405000</v>
      </c>
      <c r="I314" s="11">
        <f>SUM(I311:I313)</f>
        <v>0</v>
      </c>
      <c r="J314" s="11">
        <f>SUM(J311:J313)</f>
        <v>1</v>
      </c>
      <c r="K314" s="11">
        <f>SUM(K311:K313)</f>
        <v>388789</v>
      </c>
      <c r="L314" s="11">
        <f>SUM(L311:L313)</f>
        <v>0</v>
      </c>
      <c r="M314" s="11">
        <f t="shared" si="51"/>
        <v>388790</v>
      </c>
      <c r="N314" s="39">
        <f t="shared" si="48"/>
        <v>0.9599753086419753</v>
      </c>
    </row>
    <row r="315" spans="1:14" s="42" customFormat="1" ht="10.5" customHeight="1">
      <c r="A315" s="168"/>
      <c r="B315" s="157" t="s">
        <v>291</v>
      </c>
      <c r="C315" s="92" t="s">
        <v>221</v>
      </c>
      <c r="D315" s="15"/>
      <c r="E315" s="15"/>
      <c r="F315" s="15"/>
      <c r="G315" s="15"/>
      <c r="H315" s="9">
        <f t="shared" si="50"/>
        <v>0</v>
      </c>
      <c r="I315" s="15">
        <v>1658</v>
      </c>
      <c r="K315" s="15"/>
      <c r="L315" s="15"/>
      <c r="M315" s="9">
        <f t="shared" si="51"/>
        <v>1658</v>
      </c>
      <c r="N315" s="10"/>
    </row>
    <row r="316" spans="1:14" ht="38.25" customHeight="1">
      <c r="A316" s="168"/>
      <c r="B316" s="158"/>
      <c r="C316" s="44" t="s">
        <v>232</v>
      </c>
      <c r="D316" s="9"/>
      <c r="E316" s="9"/>
      <c r="F316" s="9">
        <f>5256650-347117+7505+40467</f>
        <v>4957505</v>
      </c>
      <c r="G316" s="9"/>
      <c r="H316" s="9">
        <f t="shared" si="50"/>
        <v>4957505</v>
      </c>
      <c r="I316" s="9"/>
      <c r="J316" s="9"/>
      <c r="K316" s="9">
        <v>4957505</v>
      </c>
      <c r="L316" s="9"/>
      <c r="M316" s="9">
        <f t="shared" si="51"/>
        <v>4957505</v>
      </c>
      <c r="N316" s="10">
        <f t="shared" si="48"/>
        <v>1</v>
      </c>
    </row>
    <row r="317" spans="1:14" ht="29.25">
      <c r="A317" s="168"/>
      <c r="B317" s="158"/>
      <c r="C317" s="44" t="s">
        <v>260</v>
      </c>
      <c r="D317" s="9">
        <f>324600+25400-230186</f>
        <v>119814</v>
      </c>
      <c r="E317" s="9"/>
      <c r="F317" s="9"/>
      <c r="G317" s="9"/>
      <c r="H317" s="9">
        <f t="shared" si="50"/>
        <v>119814</v>
      </c>
      <c r="I317" s="9">
        <v>119741</v>
      </c>
      <c r="J317" s="9"/>
      <c r="K317" s="9"/>
      <c r="L317" s="9"/>
      <c r="M317" s="9">
        <f t="shared" si="51"/>
        <v>119741</v>
      </c>
      <c r="N317" s="10">
        <f t="shared" si="48"/>
        <v>0.9993907222862103</v>
      </c>
    </row>
    <row r="318" spans="1:14" ht="29.25">
      <c r="A318" s="168"/>
      <c r="B318" s="159"/>
      <c r="C318" s="51" t="s">
        <v>227</v>
      </c>
      <c r="D318" s="9"/>
      <c r="E318" s="9"/>
      <c r="F318" s="9"/>
      <c r="G318" s="9"/>
      <c r="H318" s="9">
        <f t="shared" si="50"/>
        <v>0</v>
      </c>
      <c r="I318" s="9"/>
      <c r="J318" s="15">
        <v>603</v>
      </c>
      <c r="K318" s="9"/>
      <c r="L318" s="9"/>
      <c r="M318" s="9">
        <f t="shared" si="51"/>
        <v>603</v>
      </c>
      <c r="N318" s="10"/>
    </row>
    <row r="319" spans="1:14" s="18" customFormat="1" ht="12" customHeight="1">
      <c r="A319" s="70"/>
      <c r="B319" s="96" t="s">
        <v>292</v>
      </c>
      <c r="C319" s="93"/>
      <c r="D319" s="30">
        <f>SUM(D316:D318)</f>
        <v>119814</v>
      </c>
      <c r="E319" s="30">
        <f>SUM(E316:E318)</f>
        <v>0</v>
      </c>
      <c r="F319" s="30">
        <f>SUM(F316:F318)</f>
        <v>4957505</v>
      </c>
      <c r="G319" s="30">
        <f>SUM(G316:G318)</f>
        <v>0</v>
      </c>
      <c r="H319" s="11">
        <f t="shared" si="50"/>
        <v>5077319</v>
      </c>
      <c r="I319" s="30">
        <f>SUM(I315:I318)</f>
        <v>121399</v>
      </c>
      <c r="J319" s="30">
        <f>SUM(J315:J318)</f>
        <v>603</v>
      </c>
      <c r="K319" s="30">
        <f>SUM(K315:K318)</f>
        <v>4957505</v>
      </c>
      <c r="L319" s="30">
        <f>SUM(L315:L318)</f>
        <v>0</v>
      </c>
      <c r="M319" s="11">
        <f t="shared" si="51"/>
        <v>5079507</v>
      </c>
      <c r="N319" s="39">
        <f t="shared" si="48"/>
        <v>1.000430936090484</v>
      </c>
    </row>
    <row r="320" spans="1:14" s="95" customFormat="1" ht="9.75">
      <c r="A320" s="97"/>
      <c r="B320" s="129" t="s">
        <v>313</v>
      </c>
      <c r="C320" s="68" t="s">
        <v>219</v>
      </c>
      <c r="D320" s="15"/>
      <c r="E320" s="15"/>
      <c r="F320" s="15"/>
      <c r="G320" s="15"/>
      <c r="H320" s="9">
        <f t="shared" si="50"/>
        <v>0</v>
      </c>
      <c r="I320" s="15">
        <v>274</v>
      </c>
      <c r="J320" s="15"/>
      <c r="K320" s="15"/>
      <c r="L320" s="15"/>
      <c r="M320" s="40">
        <f t="shared" si="51"/>
        <v>274</v>
      </c>
      <c r="N320" s="10"/>
    </row>
    <row r="321" spans="1:14" s="42" customFormat="1" ht="9" customHeight="1">
      <c r="A321" s="91"/>
      <c r="B321" s="130"/>
      <c r="C321" s="44" t="s">
        <v>221</v>
      </c>
      <c r="D321" s="94"/>
      <c r="E321" s="94"/>
      <c r="F321" s="94"/>
      <c r="G321" s="94"/>
      <c r="H321" s="9">
        <f t="shared" si="50"/>
        <v>0</v>
      </c>
      <c r="I321" s="40">
        <v>9933</v>
      </c>
      <c r="J321" s="40"/>
      <c r="K321" s="40"/>
      <c r="L321" s="40"/>
      <c r="M321" s="40">
        <f t="shared" si="51"/>
        <v>9933</v>
      </c>
      <c r="N321" s="10"/>
    </row>
    <row r="322" spans="1:14" s="18" customFormat="1" ht="9" customHeight="1">
      <c r="A322" s="46"/>
      <c r="B322" s="59" t="s">
        <v>317</v>
      </c>
      <c r="C322" s="88"/>
      <c r="D322" s="11"/>
      <c r="E322" s="11"/>
      <c r="F322" s="11"/>
      <c r="G322" s="11"/>
      <c r="H322" s="11">
        <f t="shared" si="50"/>
        <v>0</v>
      </c>
      <c r="I322" s="11">
        <f>SUM(I320:I321)</f>
        <v>10207</v>
      </c>
      <c r="J322" s="11">
        <f>SUM(J321)</f>
        <v>0</v>
      </c>
      <c r="K322" s="11">
        <f>SUM(K321)</f>
        <v>0</v>
      </c>
      <c r="L322" s="11">
        <f>SUM(L321)</f>
        <v>0</v>
      </c>
      <c r="M322" s="11">
        <f t="shared" si="51"/>
        <v>10207</v>
      </c>
      <c r="N322" s="39"/>
    </row>
    <row r="323" spans="1:14" ht="39">
      <c r="A323" s="154"/>
      <c r="B323" s="149" t="s">
        <v>293</v>
      </c>
      <c r="C323" s="44" t="s">
        <v>232</v>
      </c>
      <c r="D323" s="9"/>
      <c r="E323" s="9"/>
      <c r="F323" s="9">
        <f>901820-298320-442697</f>
        <v>160803</v>
      </c>
      <c r="G323" s="9"/>
      <c r="H323" s="9">
        <f t="shared" si="50"/>
        <v>160803</v>
      </c>
      <c r="I323" s="9"/>
      <c r="J323" s="9"/>
      <c r="K323" s="9">
        <v>159823</v>
      </c>
      <c r="L323" s="9"/>
      <c r="M323" s="9">
        <f t="shared" si="51"/>
        <v>159823</v>
      </c>
      <c r="N323" s="10">
        <f t="shared" si="48"/>
        <v>0.9939055863385633</v>
      </c>
    </row>
    <row r="324" spans="1:14" ht="39">
      <c r="A324" s="154"/>
      <c r="B324" s="143"/>
      <c r="C324" s="51" t="s">
        <v>214</v>
      </c>
      <c r="D324" s="9"/>
      <c r="E324" s="9"/>
      <c r="F324" s="9"/>
      <c r="G324" s="9">
        <f>92000-66250</f>
        <v>25750</v>
      </c>
      <c r="H324" s="9">
        <f t="shared" si="50"/>
        <v>25750</v>
      </c>
      <c r="I324" s="9"/>
      <c r="J324" s="9"/>
      <c r="K324" s="9"/>
      <c r="L324" s="9">
        <v>25748</v>
      </c>
      <c r="M324" s="9">
        <f t="shared" si="51"/>
        <v>25748</v>
      </c>
      <c r="N324" s="10">
        <f t="shared" si="48"/>
        <v>0.9999223300970874</v>
      </c>
    </row>
    <row r="325" spans="1:14" ht="29.25">
      <c r="A325" s="154"/>
      <c r="B325" s="146"/>
      <c r="C325" s="51" t="s">
        <v>227</v>
      </c>
      <c r="D325" s="9"/>
      <c r="E325" s="9"/>
      <c r="F325" s="9"/>
      <c r="G325" s="9"/>
      <c r="H325" s="9">
        <f t="shared" si="50"/>
        <v>0</v>
      </c>
      <c r="I325" s="9"/>
      <c r="J325" s="9">
        <v>55</v>
      </c>
      <c r="K325" s="9"/>
      <c r="L325" s="9"/>
      <c r="M325" s="9">
        <f t="shared" si="51"/>
        <v>55</v>
      </c>
      <c r="N325" s="10"/>
    </row>
    <row r="326" spans="1:14" ht="9.75">
      <c r="A326" s="41"/>
      <c r="B326" s="52" t="s">
        <v>294</v>
      </c>
      <c r="C326" s="53"/>
      <c r="D326" s="11">
        <f>SUM(D323:D324)</f>
        <v>0</v>
      </c>
      <c r="E326" s="11">
        <f>SUM(E323:E324)</f>
        <v>0</v>
      </c>
      <c r="F326" s="11">
        <f>SUM(F323:F324)</f>
        <v>160803</v>
      </c>
      <c r="G326" s="11">
        <f>SUM(G323:G324)</f>
        <v>25750</v>
      </c>
      <c r="H326" s="11">
        <f t="shared" si="50"/>
        <v>186553</v>
      </c>
      <c r="I326" s="11">
        <f>SUM(I323:I324)</f>
        <v>0</v>
      </c>
      <c r="J326" s="11">
        <f>SUM(J323:J325)</f>
        <v>55</v>
      </c>
      <c r="K326" s="11">
        <f>SUM(K323:K325)</f>
        <v>159823</v>
      </c>
      <c r="L326" s="11">
        <f>SUM(L323:L325)</f>
        <v>25748</v>
      </c>
      <c r="M326" s="11">
        <f t="shared" si="51"/>
        <v>185626</v>
      </c>
      <c r="N326" s="39">
        <f t="shared" si="48"/>
        <v>0.9950309027461365</v>
      </c>
    </row>
    <row r="327" spans="1:14" ht="9.75">
      <c r="A327" s="154"/>
      <c r="B327" s="150" t="s">
        <v>295</v>
      </c>
      <c r="C327" s="51" t="s">
        <v>226</v>
      </c>
      <c r="D327" s="9"/>
      <c r="E327" s="9"/>
      <c r="F327" s="9"/>
      <c r="G327" s="9"/>
      <c r="H327" s="9">
        <f t="shared" si="50"/>
        <v>0</v>
      </c>
      <c r="I327" s="9">
        <v>1880</v>
      </c>
      <c r="J327" s="9"/>
      <c r="K327" s="9"/>
      <c r="L327" s="9"/>
      <c r="M327" s="9">
        <f t="shared" si="51"/>
        <v>1880</v>
      </c>
      <c r="N327" s="10"/>
    </row>
    <row r="328" spans="1:14" ht="9.75">
      <c r="A328" s="154"/>
      <c r="B328" s="151"/>
      <c r="C328" s="51" t="s">
        <v>221</v>
      </c>
      <c r="D328" s="9"/>
      <c r="E328" s="9"/>
      <c r="F328" s="9"/>
      <c r="G328" s="9"/>
      <c r="H328" s="9">
        <f t="shared" si="50"/>
        <v>0</v>
      </c>
      <c r="I328" s="9">
        <v>1549</v>
      </c>
      <c r="J328" s="9"/>
      <c r="K328" s="9"/>
      <c r="L328" s="9"/>
      <c r="M328" s="9">
        <f t="shared" si="51"/>
        <v>1549</v>
      </c>
      <c r="N328" s="10"/>
    </row>
    <row r="329" spans="1:14" ht="39">
      <c r="A329" s="154"/>
      <c r="B329" s="151"/>
      <c r="C329" s="51" t="s">
        <v>232</v>
      </c>
      <c r="D329" s="9"/>
      <c r="E329" s="9"/>
      <c r="F329" s="9">
        <f>1121030-722180</f>
        <v>398850</v>
      </c>
      <c r="G329" s="9"/>
      <c r="H329" s="9">
        <f t="shared" si="50"/>
        <v>398850</v>
      </c>
      <c r="I329" s="9"/>
      <c r="J329" s="9"/>
      <c r="K329" s="9">
        <v>398850</v>
      </c>
      <c r="L329" s="9"/>
      <c r="M329" s="9">
        <f t="shared" si="51"/>
        <v>398850</v>
      </c>
      <c r="N329" s="10">
        <f aca="true" t="shared" si="52" ref="N329:N334">M329/H329</f>
        <v>1</v>
      </c>
    </row>
    <row r="330" spans="1:14" ht="29.25">
      <c r="A330" s="41"/>
      <c r="B330" s="152"/>
      <c r="C330" s="51" t="s">
        <v>260</v>
      </c>
      <c r="D330" s="9">
        <v>722180</v>
      </c>
      <c r="E330" s="9"/>
      <c r="F330" s="9"/>
      <c r="G330" s="9"/>
      <c r="H330" s="9">
        <f t="shared" si="50"/>
        <v>722180</v>
      </c>
      <c r="I330" s="9">
        <v>722180</v>
      </c>
      <c r="J330" s="9"/>
      <c r="K330" s="9"/>
      <c r="L330" s="9"/>
      <c r="M330" s="9">
        <f t="shared" si="51"/>
        <v>722180</v>
      </c>
      <c r="N330" s="10">
        <f t="shared" si="52"/>
        <v>1</v>
      </c>
    </row>
    <row r="331" spans="1:14" ht="9.75">
      <c r="A331" s="41"/>
      <c r="B331" s="52" t="s">
        <v>296</v>
      </c>
      <c r="C331" s="53"/>
      <c r="D331" s="11">
        <f>SUM(D327:D330)</f>
        <v>722180</v>
      </c>
      <c r="E331" s="11">
        <f>SUM(E327:E330)</f>
        <v>0</v>
      </c>
      <c r="F331" s="11">
        <f>SUM(F327:F330)</f>
        <v>398850</v>
      </c>
      <c r="G331" s="11">
        <f>SUM(G327:G330)</f>
        <v>0</v>
      </c>
      <c r="H331" s="11">
        <f t="shared" si="50"/>
        <v>1121030</v>
      </c>
      <c r="I331" s="11">
        <f>SUM(I327:I330)</f>
        <v>725609</v>
      </c>
      <c r="J331" s="11">
        <f>SUM(J327:J329)</f>
        <v>0</v>
      </c>
      <c r="K331" s="11">
        <f>SUM(K327:K329)</f>
        <v>398850</v>
      </c>
      <c r="L331" s="11">
        <f>SUM(L327:L329)</f>
        <v>0</v>
      </c>
      <c r="M331" s="11">
        <f t="shared" si="51"/>
        <v>1124459</v>
      </c>
      <c r="N331" s="39">
        <f t="shared" si="52"/>
        <v>1.0030587941446705</v>
      </c>
    </row>
    <row r="332" spans="1:14" ht="29.25" hidden="1">
      <c r="A332" s="154"/>
      <c r="B332" s="20" t="s">
        <v>297</v>
      </c>
      <c r="C332" s="51" t="s">
        <v>220</v>
      </c>
      <c r="D332" s="9"/>
      <c r="E332" s="9"/>
      <c r="F332" s="9"/>
      <c r="G332" s="9"/>
      <c r="H332" s="9">
        <f t="shared" si="50"/>
        <v>0</v>
      </c>
      <c r="I332" s="9"/>
      <c r="J332" s="9"/>
      <c r="K332" s="9"/>
      <c r="L332" s="9"/>
      <c r="M332" s="9">
        <f t="shared" si="51"/>
        <v>0</v>
      </c>
      <c r="N332" s="10" t="e">
        <f t="shared" si="52"/>
        <v>#DIV/0!</v>
      </c>
    </row>
    <row r="333" spans="1:14" ht="9.75" hidden="1">
      <c r="A333" s="154"/>
      <c r="B333" s="52" t="s">
        <v>298</v>
      </c>
      <c r="C333" s="53"/>
      <c r="D333" s="11">
        <f>SUM(D332)</f>
        <v>0</v>
      </c>
      <c r="E333" s="11">
        <f>SUM(E332)</f>
        <v>0</v>
      </c>
      <c r="F333" s="11">
        <f>SUM(F332)</f>
        <v>0</v>
      </c>
      <c r="G333" s="11">
        <f>SUM(G332)</f>
        <v>0</v>
      </c>
      <c r="H333" s="11">
        <f t="shared" si="50"/>
        <v>0</v>
      </c>
      <c r="I333" s="11">
        <f>SUM(I332)</f>
        <v>0</v>
      </c>
      <c r="J333" s="11">
        <f>SUM(J332)</f>
        <v>0</v>
      </c>
      <c r="K333" s="11">
        <f>SUM(K332)</f>
        <v>0</v>
      </c>
      <c r="L333" s="11">
        <f>SUM(L332)</f>
        <v>0</v>
      </c>
      <c r="M333" s="11">
        <f t="shared" si="51"/>
        <v>0</v>
      </c>
      <c r="N333" s="10" t="e">
        <f t="shared" si="52"/>
        <v>#DIV/0!</v>
      </c>
    </row>
    <row r="334" spans="1:14" ht="9.75">
      <c r="A334" s="154"/>
      <c r="B334" s="142" t="s">
        <v>299</v>
      </c>
      <c r="C334" s="51" t="s">
        <v>226</v>
      </c>
      <c r="D334" s="9">
        <v>400000</v>
      </c>
      <c r="E334" s="9"/>
      <c r="F334" s="9"/>
      <c r="G334" s="9"/>
      <c r="H334" s="9">
        <f t="shared" si="50"/>
        <v>400000</v>
      </c>
      <c r="I334" s="9">
        <v>372188</v>
      </c>
      <c r="J334" s="9"/>
      <c r="K334" s="9"/>
      <c r="L334" s="9"/>
      <c r="M334" s="9">
        <f t="shared" si="51"/>
        <v>372188</v>
      </c>
      <c r="N334" s="10">
        <f t="shared" si="52"/>
        <v>0.93047</v>
      </c>
    </row>
    <row r="335" spans="1:14" ht="9.75">
      <c r="A335" s="154"/>
      <c r="B335" s="143"/>
      <c r="C335" s="51" t="s">
        <v>219</v>
      </c>
      <c r="D335" s="9"/>
      <c r="E335" s="9"/>
      <c r="F335" s="9"/>
      <c r="G335" s="9"/>
      <c r="H335" s="9">
        <f t="shared" si="50"/>
        <v>0</v>
      </c>
      <c r="I335" s="9">
        <v>41856</v>
      </c>
      <c r="J335" s="9"/>
      <c r="K335" s="9"/>
      <c r="L335" s="9"/>
      <c r="M335" s="9">
        <f t="shared" si="51"/>
        <v>41856</v>
      </c>
      <c r="N335" s="10"/>
    </row>
    <row r="336" spans="1:14" ht="39">
      <c r="A336" s="154"/>
      <c r="B336" s="143"/>
      <c r="C336" s="51" t="s">
        <v>232</v>
      </c>
      <c r="D336" s="9"/>
      <c r="E336" s="9"/>
      <c r="F336" s="9">
        <v>216020</v>
      </c>
      <c r="G336" s="9"/>
      <c r="H336" s="9">
        <f t="shared" si="50"/>
        <v>216020</v>
      </c>
      <c r="I336" s="9"/>
      <c r="J336" s="9"/>
      <c r="K336" s="9">
        <v>181850</v>
      </c>
      <c r="L336" s="9"/>
      <c r="M336" s="9">
        <f t="shared" si="51"/>
        <v>181850</v>
      </c>
      <c r="N336" s="10">
        <f aca="true" t="shared" si="53" ref="N336:N341">M336/H336</f>
        <v>0.8418202018331636</v>
      </c>
    </row>
    <row r="337" spans="1:14" ht="29.25">
      <c r="A337" s="154"/>
      <c r="B337" s="146"/>
      <c r="C337" s="51" t="s">
        <v>227</v>
      </c>
      <c r="D337" s="9">
        <v>750</v>
      </c>
      <c r="E337" s="9"/>
      <c r="F337" s="9"/>
      <c r="G337" s="9"/>
      <c r="H337" s="9">
        <f t="shared" si="50"/>
        <v>750</v>
      </c>
      <c r="I337" s="9">
        <v>627</v>
      </c>
      <c r="J337" s="9"/>
      <c r="K337" s="9"/>
      <c r="L337" s="9"/>
      <c r="M337" s="9">
        <f t="shared" si="51"/>
        <v>627</v>
      </c>
      <c r="N337" s="10">
        <f t="shared" si="53"/>
        <v>0.836</v>
      </c>
    </row>
    <row r="338" spans="1:14" ht="9.75">
      <c r="A338" s="154"/>
      <c r="B338" s="74" t="s">
        <v>300</v>
      </c>
      <c r="C338" s="53"/>
      <c r="D338" s="11">
        <f>SUM(D334:D337)</f>
        <v>400750</v>
      </c>
      <c r="E338" s="11">
        <f>SUM(E334:E337)</f>
        <v>0</v>
      </c>
      <c r="F338" s="11">
        <f>SUM(F334:F337)</f>
        <v>216020</v>
      </c>
      <c r="G338" s="11">
        <f>SUM(G334:G337)</f>
        <v>0</v>
      </c>
      <c r="H338" s="11">
        <f t="shared" si="50"/>
        <v>616770</v>
      </c>
      <c r="I338" s="11">
        <f>SUM(I334:I337)</f>
        <v>414671</v>
      </c>
      <c r="J338" s="11">
        <f>SUM(J334:J337)</f>
        <v>0</v>
      </c>
      <c r="K338" s="11">
        <f>SUM(K334:K337)</f>
        <v>181850</v>
      </c>
      <c r="L338" s="11">
        <f>SUM(L334:L337)</f>
        <v>0</v>
      </c>
      <c r="M338" s="11">
        <f t="shared" si="51"/>
        <v>596521</v>
      </c>
      <c r="N338" s="39">
        <f t="shared" si="53"/>
        <v>0.9671692851468132</v>
      </c>
    </row>
    <row r="339" spans="1:14" ht="39" hidden="1">
      <c r="A339" s="154"/>
      <c r="B339" s="142" t="s">
        <v>301</v>
      </c>
      <c r="C339" s="51" t="s">
        <v>232</v>
      </c>
      <c r="D339" s="9"/>
      <c r="E339" s="9"/>
      <c r="F339" s="9"/>
      <c r="G339" s="9"/>
      <c r="H339" s="9">
        <f t="shared" si="50"/>
        <v>0</v>
      </c>
      <c r="I339" s="9"/>
      <c r="J339" s="9"/>
      <c r="K339" s="9"/>
      <c r="L339" s="9"/>
      <c r="M339" s="9">
        <f t="shared" si="51"/>
        <v>0</v>
      </c>
      <c r="N339" s="10" t="e">
        <f t="shared" si="53"/>
        <v>#DIV/0!</v>
      </c>
    </row>
    <row r="340" spans="1:14" ht="29.25">
      <c r="A340" s="154"/>
      <c r="B340" s="143"/>
      <c r="C340" s="51" t="s">
        <v>260</v>
      </c>
      <c r="D340" s="9">
        <f>55800+60000</f>
        <v>115800</v>
      </c>
      <c r="E340" s="9"/>
      <c r="F340" s="9"/>
      <c r="G340" s="9"/>
      <c r="H340" s="9">
        <f t="shared" si="50"/>
        <v>115800</v>
      </c>
      <c r="I340" s="9">
        <v>115800</v>
      </c>
      <c r="J340" s="9"/>
      <c r="K340" s="9"/>
      <c r="L340" s="9"/>
      <c r="M340" s="9">
        <f t="shared" si="51"/>
        <v>115800</v>
      </c>
      <c r="N340" s="10">
        <f t="shared" si="53"/>
        <v>1</v>
      </c>
    </row>
    <row r="341" spans="1:14" ht="29.25" hidden="1">
      <c r="A341" s="154"/>
      <c r="B341" s="143"/>
      <c r="C341" s="51" t="s">
        <v>220</v>
      </c>
      <c r="D341" s="9"/>
      <c r="E341" s="9"/>
      <c r="F341" s="9"/>
      <c r="G341" s="9"/>
      <c r="H341" s="9">
        <f t="shared" si="50"/>
        <v>0</v>
      </c>
      <c r="I341" s="9"/>
      <c r="J341" s="9"/>
      <c r="K341" s="9"/>
      <c r="L341" s="9"/>
      <c r="M341" s="9">
        <f t="shared" si="51"/>
        <v>0</v>
      </c>
      <c r="N341" s="10" t="e">
        <f t="shared" si="53"/>
        <v>#DIV/0!</v>
      </c>
    </row>
    <row r="342" spans="1:14" ht="29.25">
      <c r="A342" s="154"/>
      <c r="B342" s="143"/>
      <c r="C342" s="51" t="s">
        <v>267</v>
      </c>
      <c r="D342" s="9"/>
      <c r="E342" s="9"/>
      <c r="F342" s="9"/>
      <c r="G342" s="9"/>
      <c r="H342" s="9">
        <f t="shared" si="50"/>
        <v>0</v>
      </c>
      <c r="I342" s="9">
        <v>30</v>
      </c>
      <c r="J342" s="9"/>
      <c r="K342" s="9"/>
      <c r="L342" s="9"/>
      <c r="M342" s="9">
        <f t="shared" si="51"/>
        <v>30</v>
      </c>
      <c r="N342" s="10"/>
    </row>
    <row r="343" spans="1:14" ht="9.75" hidden="1">
      <c r="A343" s="154"/>
      <c r="B343" s="146"/>
      <c r="C343" s="51" t="s">
        <v>221</v>
      </c>
      <c r="D343" s="9"/>
      <c r="E343" s="9"/>
      <c r="F343" s="9"/>
      <c r="G343" s="9"/>
      <c r="H343" s="9">
        <f t="shared" si="50"/>
        <v>0</v>
      </c>
      <c r="I343" s="9"/>
      <c r="J343" s="9"/>
      <c r="K343" s="9"/>
      <c r="L343" s="9"/>
      <c r="M343" s="9">
        <f t="shared" si="51"/>
        <v>0</v>
      </c>
      <c r="N343" s="10" t="e">
        <f>M343/H343</f>
        <v>#DIV/0!</v>
      </c>
    </row>
    <row r="344" spans="1:14" ht="9.75">
      <c r="A344" s="41"/>
      <c r="B344" s="52" t="s">
        <v>302</v>
      </c>
      <c r="C344" s="53"/>
      <c r="D344" s="11">
        <f>SUM(D339:D343)</f>
        <v>115800</v>
      </c>
      <c r="E344" s="11">
        <f>SUM(E339:E343)</f>
        <v>0</v>
      </c>
      <c r="F344" s="11">
        <f>SUM(F339:F343)</f>
        <v>0</v>
      </c>
      <c r="G344" s="11">
        <f>SUM(G339:G343)</f>
        <v>0</v>
      </c>
      <c r="H344" s="11">
        <f t="shared" si="50"/>
        <v>115800</v>
      </c>
      <c r="I344" s="11">
        <f>SUM(I339:I343)</f>
        <v>115830</v>
      </c>
      <c r="J344" s="11">
        <f>SUM(J339:J343)</f>
        <v>0</v>
      </c>
      <c r="K344" s="11">
        <f>SUM(K339:K343)</f>
        <v>0</v>
      </c>
      <c r="L344" s="11">
        <f>SUM(L339:L343)</f>
        <v>0</v>
      </c>
      <c r="M344" s="11">
        <f t="shared" si="51"/>
        <v>115830</v>
      </c>
      <c r="N344" s="39">
        <f>M344/H344</f>
        <v>1.000259067357513</v>
      </c>
    </row>
    <row r="345" spans="1:14" s="18" customFormat="1" ht="9.75">
      <c r="A345" s="72" t="s">
        <v>279</v>
      </c>
      <c r="B345" s="79"/>
      <c r="C345" s="79"/>
      <c r="D345" s="13">
        <f aca="true" t="shared" si="54" ref="D345:M345">SUM(D338,D331,D326,D322,D319,D314,D310,D305,D302,D298,D293,D344)</f>
        <v>1658894</v>
      </c>
      <c r="E345" s="13">
        <f t="shared" si="54"/>
        <v>4960590</v>
      </c>
      <c r="F345" s="13">
        <f t="shared" si="54"/>
        <v>25913542</v>
      </c>
      <c r="G345" s="13">
        <f t="shared" si="54"/>
        <v>75300</v>
      </c>
      <c r="H345" s="13">
        <f t="shared" si="54"/>
        <v>32608326</v>
      </c>
      <c r="I345" s="13">
        <f t="shared" si="54"/>
        <v>1786591</v>
      </c>
      <c r="J345" s="13">
        <f t="shared" si="54"/>
        <v>4974043</v>
      </c>
      <c r="K345" s="13">
        <f t="shared" si="54"/>
        <v>25514286</v>
      </c>
      <c r="L345" s="13">
        <f t="shared" si="54"/>
        <v>73634</v>
      </c>
      <c r="M345" s="13">
        <f t="shared" si="54"/>
        <v>32348554</v>
      </c>
      <c r="N345" s="124">
        <f>M345/H345</f>
        <v>0.9920335683591975</v>
      </c>
    </row>
    <row r="346" spans="1:14" s="18" customFormat="1" ht="9.75">
      <c r="A346" s="170" t="s">
        <v>303</v>
      </c>
      <c r="B346" s="163" t="s">
        <v>102</v>
      </c>
      <c r="C346" s="51" t="s">
        <v>226</v>
      </c>
      <c r="D346" s="9">
        <v>162000</v>
      </c>
      <c r="E346" s="9"/>
      <c r="F346" s="9"/>
      <c r="G346" s="9"/>
      <c r="H346" s="9">
        <f aca="true" t="shared" si="55" ref="H346:H371">SUM(D346:G346)</f>
        <v>162000</v>
      </c>
      <c r="I346" s="9">
        <v>177647</v>
      </c>
      <c r="J346" s="9"/>
      <c r="K346" s="9"/>
      <c r="L346" s="9"/>
      <c r="M346" s="9">
        <f aca="true" t="shared" si="56" ref="M346:M371">SUM(I346:L346)</f>
        <v>177647</v>
      </c>
      <c r="N346" s="10">
        <f>M346/H346</f>
        <v>1.0965864197530863</v>
      </c>
    </row>
    <row r="347" spans="1:14" s="18" customFormat="1" ht="9.75">
      <c r="A347" s="171"/>
      <c r="B347" s="164"/>
      <c r="C347" s="51" t="s">
        <v>219</v>
      </c>
      <c r="D347" s="9"/>
      <c r="E347" s="9"/>
      <c r="F347" s="9"/>
      <c r="G347" s="9"/>
      <c r="H347" s="9">
        <f t="shared" si="55"/>
        <v>0</v>
      </c>
      <c r="I347" s="9">
        <v>1439</v>
      </c>
      <c r="J347" s="9"/>
      <c r="K347" s="9"/>
      <c r="L347" s="9"/>
      <c r="M347" s="9">
        <f t="shared" si="56"/>
        <v>1439</v>
      </c>
      <c r="N347" s="10"/>
    </row>
    <row r="348" spans="1:14" s="18" customFormat="1" ht="9.75" hidden="1">
      <c r="A348" s="171"/>
      <c r="B348" s="165"/>
      <c r="C348" s="51" t="s">
        <v>221</v>
      </c>
      <c r="D348" s="9"/>
      <c r="E348" s="9"/>
      <c r="F348" s="9"/>
      <c r="G348" s="9"/>
      <c r="H348" s="9">
        <f t="shared" si="55"/>
        <v>0</v>
      </c>
      <c r="I348" s="9"/>
      <c r="J348" s="9"/>
      <c r="K348" s="9"/>
      <c r="L348" s="9"/>
      <c r="M348" s="9">
        <f t="shared" si="56"/>
        <v>0</v>
      </c>
      <c r="N348" s="10" t="e">
        <f aca="true" t="shared" si="57" ref="N348:N357">M348/H348</f>
        <v>#DIV/0!</v>
      </c>
    </row>
    <row r="349" spans="1:14" s="18" customFormat="1" ht="9.75">
      <c r="A349" s="171"/>
      <c r="B349" s="101" t="s">
        <v>103</v>
      </c>
      <c r="C349" s="90"/>
      <c r="D349" s="11">
        <f>SUM(D346:D347)</f>
        <v>162000</v>
      </c>
      <c r="E349" s="11">
        <f>SUM(E346:E347)</f>
        <v>0</v>
      </c>
      <c r="F349" s="11">
        <f>SUM(F346:F347)</f>
        <v>0</v>
      </c>
      <c r="G349" s="11">
        <f>SUM(G346:G347)</f>
        <v>0</v>
      </c>
      <c r="H349" s="11">
        <f t="shared" si="55"/>
        <v>162000</v>
      </c>
      <c r="I349" s="11">
        <f>SUM(I346:I348)</f>
        <v>179086</v>
      </c>
      <c r="J349" s="11">
        <f>SUM(J346:J348)</f>
        <v>0</v>
      </c>
      <c r="K349" s="11">
        <f>SUM(K346:K347)</f>
        <v>0</v>
      </c>
      <c r="L349" s="11">
        <f>SUM(L346:L347)</f>
        <v>0</v>
      </c>
      <c r="M349" s="11">
        <f t="shared" si="56"/>
        <v>179086</v>
      </c>
      <c r="N349" s="39">
        <f t="shared" si="57"/>
        <v>1.105469135802469</v>
      </c>
    </row>
    <row r="350" spans="1:14" ht="39">
      <c r="A350" s="171"/>
      <c r="B350" s="164" t="s">
        <v>104</v>
      </c>
      <c r="C350" s="51" t="s">
        <v>214</v>
      </c>
      <c r="D350" s="9"/>
      <c r="E350" s="9"/>
      <c r="F350" s="9"/>
      <c r="G350" s="9">
        <f>260000-10000</f>
        <v>250000</v>
      </c>
      <c r="H350" s="9">
        <f t="shared" si="55"/>
        <v>250000</v>
      </c>
      <c r="I350" s="9"/>
      <c r="J350" s="9"/>
      <c r="K350" s="9"/>
      <c r="L350" s="9">
        <v>250000</v>
      </c>
      <c r="M350" s="9">
        <f t="shared" si="56"/>
        <v>250000</v>
      </c>
      <c r="N350" s="10">
        <f t="shared" si="57"/>
        <v>1</v>
      </c>
    </row>
    <row r="351" spans="1:14" ht="39" hidden="1">
      <c r="A351" s="154"/>
      <c r="B351" s="143"/>
      <c r="C351" s="51" t="s">
        <v>262</v>
      </c>
      <c r="D351" s="9"/>
      <c r="E351" s="9"/>
      <c r="F351" s="9"/>
      <c r="G351" s="9"/>
      <c r="H351" s="9">
        <f t="shared" si="55"/>
        <v>0</v>
      </c>
      <c r="I351" s="9"/>
      <c r="J351" s="9"/>
      <c r="K351" s="9"/>
      <c r="L351" s="9"/>
      <c r="M351" s="9">
        <f t="shared" si="56"/>
        <v>0</v>
      </c>
      <c r="N351" s="10" t="e">
        <f t="shared" si="57"/>
        <v>#DIV/0!</v>
      </c>
    </row>
    <row r="352" spans="1:14" ht="29.25">
      <c r="A352" s="154"/>
      <c r="B352" s="146"/>
      <c r="C352" s="51" t="s">
        <v>236</v>
      </c>
      <c r="D352" s="9"/>
      <c r="E352" s="9">
        <v>38700</v>
      </c>
      <c r="F352" s="9"/>
      <c r="G352" s="9"/>
      <c r="H352" s="9">
        <f t="shared" si="55"/>
        <v>38700</v>
      </c>
      <c r="I352" s="9"/>
      <c r="J352" s="9">
        <v>32164</v>
      </c>
      <c r="K352" s="9"/>
      <c r="L352" s="9"/>
      <c r="M352" s="9">
        <f t="shared" si="56"/>
        <v>32164</v>
      </c>
      <c r="N352" s="10">
        <f t="shared" si="57"/>
        <v>0.8311111111111111</v>
      </c>
    </row>
    <row r="353" spans="1:14" ht="9.75">
      <c r="A353" s="154"/>
      <c r="B353" s="52" t="s">
        <v>105</v>
      </c>
      <c r="C353" s="53"/>
      <c r="D353" s="11">
        <f>SUM(D350:D352)</f>
        <v>0</v>
      </c>
      <c r="E353" s="11">
        <f>SUM(E350:E352)</f>
        <v>38700</v>
      </c>
      <c r="F353" s="11">
        <f>SUM(F350:F352)</f>
        <v>0</v>
      </c>
      <c r="G353" s="11">
        <f>SUM(G350:G352)</f>
        <v>250000</v>
      </c>
      <c r="H353" s="11">
        <f t="shared" si="55"/>
        <v>288700</v>
      </c>
      <c r="I353" s="11">
        <f>SUM(I350:I352)</f>
        <v>0</v>
      </c>
      <c r="J353" s="11">
        <f>SUM(J350:J352)</f>
        <v>32164</v>
      </c>
      <c r="K353" s="11">
        <f>SUM(K350:K352)</f>
        <v>0</v>
      </c>
      <c r="L353" s="11">
        <f>SUM(L350:L352)</f>
        <v>250000</v>
      </c>
      <c r="M353" s="11">
        <f t="shared" si="56"/>
        <v>282164</v>
      </c>
      <c r="N353" s="39">
        <f t="shared" si="57"/>
        <v>0.977360581918947</v>
      </c>
    </row>
    <row r="354" spans="1:14" s="17" customFormat="1" ht="48.75">
      <c r="A354" s="41"/>
      <c r="B354" s="150" t="s">
        <v>106</v>
      </c>
      <c r="C354" s="51" t="s">
        <v>278</v>
      </c>
      <c r="D354" s="16"/>
      <c r="E354" s="16"/>
      <c r="F354" s="16"/>
      <c r="G354" s="16"/>
      <c r="H354" s="16">
        <f t="shared" si="55"/>
        <v>0</v>
      </c>
      <c r="I354" s="16"/>
      <c r="J354" s="15">
        <v>1800</v>
      </c>
      <c r="K354" s="16"/>
      <c r="L354" s="16"/>
      <c r="M354" s="15">
        <f t="shared" si="56"/>
        <v>1800</v>
      </c>
      <c r="N354" s="10"/>
    </row>
    <row r="355" spans="1:14" s="17" customFormat="1" ht="19.5" hidden="1">
      <c r="A355" s="41"/>
      <c r="B355" s="151"/>
      <c r="C355" s="75" t="s">
        <v>222</v>
      </c>
      <c r="D355" s="15"/>
      <c r="E355" s="15"/>
      <c r="F355" s="15"/>
      <c r="G355" s="15"/>
      <c r="H355" s="15">
        <f t="shared" si="55"/>
        <v>0</v>
      </c>
      <c r="I355" s="15"/>
      <c r="J355" s="15"/>
      <c r="K355" s="15"/>
      <c r="L355" s="15"/>
      <c r="M355" s="15">
        <f t="shared" si="56"/>
        <v>0</v>
      </c>
      <c r="N355" s="10" t="e">
        <f t="shared" si="57"/>
        <v>#DIV/0!</v>
      </c>
    </row>
    <row r="356" spans="1:14" ht="9.75">
      <c r="A356" s="41"/>
      <c r="B356" s="151"/>
      <c r="C356" s="51" t="s">
        <v>219</v>
      </c>
      <c r="D356" s="9"/>
      <c r="E356" s="9"/>
      <c r="F356" s="9"/>
      <c r="G356" s="9"/>
      <c r="H356" s="9">
        <f t="shared" si="55"/>
        <v>0</v>
      </c>
      <c r="I356" s="9"/>
      <c r="J356" s="9">
        <v>6205</v>
      </c>
      <c r="K356" s="9"/>
      <c r="L356" s="9"/>
      <c r="M356" s="9">
        <f t="shared" si="56"/>
        <v>6205</v>
      </c>
      <c r="N356" s="10"/>
    </row>
    <row r="357" spans="1:14" ht="9.75" hidden="1">
      <c r="A357" s="41"/>
      <c r="B357" s="151"/>
      <c r="C357" s="51" t="s">
        <v>221</v>
      </c>
      <c r="D357" s="9"/>
      <c r="E357" s="9"/>
      <c r="F357" s="9"/>
      <c r="G357" s="9"/>
      <c r="H357" s="9">
        <f t="shared" si="55"/>
        <v>0</v>
      </c>
      <c r="I357" s="9"/>
      <c r="J357" s="9"/>
      <c r="K357" s="9"/>
      <c r="L357" s="9"/>
      <c r="M357" s="9">
        <f t="shared" si="56"/>
        <v>0</v>
      </c>
      <c r="N357" s="10" t="e">
        <f t="shared" si="57"/>
        <v>#DIV/0!</v>
      </c>
    </row>
    <row r="358" spans="1:14" ht="29.25">
      <c r="A358" s="41"/>
      <c r="B358" s="151"/>
      <c r="C358" s="51" t="s">
        <v>236</v>
      </c>
      <c r="D358" s="9"/>
      <c r="E358" s="9">
        <f>196000+4140</f>
        <v>200140</v>
      </c>
      <c r="F358" s="9"/>
      <c r="G358" s="9"/>
      <c r="H358" s="9">
        <f t="shared" si="55"/>
        <v>200140</v>
      </c>
      <c r="I358" s="9"/>
      <c r="J358" s="9">
        <v>200100</v>
      </c>
      <c r="K358" s="9"/>
      <c r="L358" s="9"/>
      <c r="M358" s="9">
        <f t="shared" si="56"/>
        <v>200100</v>
      </c>
      <c r="N358" s="10">
        <f aca="true" t="shared" si="58" ref="N358:N369">M358/H358</f>
        <v>0.9998001399020685</v>
      </c>
    </row>
    <row r="359" spans="1:14" ht="29.25" hidden="1">
      <c r="A359" s="41"/>
      <c r="B359" s="151"/>
      <c r="C359" s="51" t="s">
        <v>220</v>
      </c>
      <c r="D359" s="9"/>
      <c r="E359" s="9"/>
      <c r="F359" s="9"/>
      <c r="G359" s="9"/>
      <c r="H359" s="9">
        <f t="shared" si="55"/>
        <v>0</v>
      </c>
      <c r="I359" s="9"/>
      <c r="J359" s="9"/>
      <c r="K359" s="9"/>
      <c r="L359" s="9"/>
      <c r="M359" s="9">
        <f t="shared" si="56"/>
        <v>0</v>
      </c>
      <c r="N359" s="10" t="e">
        <f t="shared" si="58"/>
        <v>#DIV/0!</v>
      </c>
    </row>
    <row r="360" spans="1:14" ht="29.25" hidden="1">
      <c r="A360" s="41"/>
      <c r="B360" s="152"/>
      <c r="C360" s="51" t="s">
        <v>215</v>
      </c>
      <c r="D360" s="9"/>
      <c r="E360" s="9"/>
      <c r="F360" s="9"/>
      <c r="G360" s="9"/>
      <c r="H360" s="9">
        <f t="shared" si="55"/>
        <v>0</v>
      </c>
      <c r="I360" s="9"/>
      <c r="J360" s="9"/>
      <c r="K360" s="9"/>
      <c r="L360" s="9"/>
      <c r="M360" s="9">
        <f t="shared" si="56"/>
        <v>0</v>
      </c>
      <c r="N360" s="10" t="e">
        <f t="shared" si="58"/>
        <v>#DIV/0!</v>
      </c>
    </row>
    <row r="361" spans="1:14" ht="9.75">
      <c r="A361" s="41"/>
      <c r="B361" s="52" t="s">
        <v>107</v>
      </c>
      <c r="C361" s="53"/>
      <c r="D361" s="11">
        <f>SUM(D356:D360)</f>
        <v>0</v>
      </c>
      <c r="E361" s="11">
        <f>SUM(E355:E359)</f>
        <v>200140</v>
      </c>
      <c r="F361" s="11">
        <f>SUM(F356:F360)</f>
        <v>0</v>
      </c>
      <c r="G361" s="11">
        <f>SUM(G356:G360)</f>
        <v>0</v>
      </c>
      <c r="H361" s="11">
        <f t="shared" si="55"/>
        <v>200140</v>
      </c>
      <c r="I361" s="11">
        <f>SUM(I356:I360)</f>
        <v>0</v>
      </c>
      <c r="J361" s="11">
        <f>SUM(J354:J359)</f>
        <v>208105</v>
      </c>
      <c r="K361" s="11">
        <f>SUM(K354:K359)</f>
        <v>0</v>
      </c>
      <c r="L361" s="11">
        <f>SUM(L354:L359)</f>
        <v>0</v>
      </c>
      <c r="M361" s="11">
        <f t="shared" si="56"/>
        <v>208105</v>
      </c>
      <c r="N361" s="12">
        <f t="shared" si="58"/>
        <v>1.0397971420005996</v>
      </c>
    </row>
    <row r="362" spans="1:14" ht="39">
      <c r="A362" s="154"/>
      <c r="B362" s="142" t="s">
        <v>200</v>
      </c>
      <c r="C362" s="51" t="s">
        <v>214</v>
      </c>
      <c r="D362" s="9"/>
      <c r="E362" s="9"/>
      <c r="F362" s="9"/>
      <c r="G362" s="9">
        <f>24412+5914</f>
        <v>30326</v>
      </c>
      <c r="H362" s="9">
        <f t="shared" si="55"/>
        <v>30326</v>
      </c>
      <c r="I362" s="9"/>
      <c r="J362" s="9"/>
      <c r="K362" s="9"/>
      <c r="L362" s="9">
        <v>30326</v>
      </c>
      <c r="M362" s="9">
        <f t="shared" si="56"/>
        <v>30326</v>
      </c>
      <c r="N362" s="10">
        <f t="shared" si="58"/>
        <v>1</v>
      </c>
    </row>
    <row r="363" spans="1:14" ht="29.25" hidden="1">
      <c r="A363" s="154"/>
      <c r="B363" s="143"/>
      <c r="C363" s="51" t="s">
        <v>236</v>
      </c>
      <c r="D363" s="9"/>
      <c r="E363" s="9"/>
      <c r="F363" s="9"/>
      <c r="G363" s="9"/>
      <c r="H363" s="9">
        <f t="shared" si="55"/>
        <v>0</v>
      </c>
      <c r="I363" s="9"/>
      <c r="J363" s="9"/>
      <c r="K363" s="9"/>
      <c r="L363" s="9"/>
      <c r="M363" s="9">
        <f t="shared" si="56"/>
        <v>0</v>
      </c>
      <c r="N363" s="10" t="e">
        <f t="shared" si="58"/>
        <v>#DIV/0!</v>
      </c>
    </row>
    <row r="364" spans="1:14" ht="9.75">
      <c r="A364" s="151"/>
      <c r="B364" s="101" t="s">
        <v>201</v>
      </c>
      <c r="C364" s="90"/>
      <c r="D364" s="11">
        <f>SUM(D362:D363)</f>
        <v>0</v>
      </c>
      <c r="E364" s="11">
        <f>SUM(E362:E363)</f>
        <v>0</v>
      </c>
      <c r="F364" s="11">
        <f>SUM(F362:F363)</f>
        <v>0</v>
      </c>
      <c r="G364" s="11">
        <f>SUM(G362:G363)</f>
        <v>30326</v>
      </c>
      <c r="H364" s="11">
        <f t="shared" si="55"/>
        <v>30326</v>
      </c>
      <c r="I364" s="11">
        <f>SUM(I362:I363)</f>
        <v>0</v>
      </c>
      <c r="J364" s="11">
        <f>SUM(J362:J363)</f>
        <v>0</v>
      </c>
      <c r="K364" s="11">
        <f>SUM(K362:K363)</f>
        <v>0</v>
      </c>
      <c r="L364" s="11">
        <f>SUM(L362:L363)</f>
        <v>30326</v>
      </c>
      <c r="M364" s="11">
        <f t="shared" si="56"/>
        <v>30326</v>
      </c>
      <c r="N364" s="39">
        <f t="shared" si="58"/>
        <v>1</v>
      </c>
    </row>
    <row r="365" spans="1:14" ht="39" hidden="1">
      <c r="A365" s="154"/>
      <c r="B365" s="143" t="s">
        <v>108</v>
      </c>
      <c r="C365" s="51" t="s">
        <v>232</v>
      </c>
      <c r="D365" s="9"/>
      <c r="E365" s="9"/>
      <c r="F365" s="9"/>
      <c r="G365" s="9"/>
      <c r="H365" s="9">
        <f t="shared" si="55"/>
        <v>0</v>
      </c>
      <c r="I365" s="9"/>
      <c r="J365" s="9"/>
      <c r="K365" s="9"/>
      <c r="L365" s="9"/>
      <c r="M365" s="9">
        <f t="shared" si="56"/>
        <v>0</v>
      </c>
      <c r="N365" s="10" t="e">
        <f t="shared" si="58"/>
        <v>#DIV/0!</v>
      </c>
    </row>
    <row r="366" spans="1:14" ht="29.25" hidden="1">
      <c r="A366" s="154"/>
      <c r="B366" s="143"/>
      <c r="C366" s="51" t="s">
        <v>260</v>
      </c>
      <c r="D366" s="9"/>
      <c r="E366" s="9"/>
      <c r="F366" s="9"/>
      <c r="G366" s="9"/>
      <c r="H366" s="9">
        <f t="shared" si="55"/>
        <v>0</v>
      </c>
      <c r="I366" s="9"/>
      <c r="J366" s="9"/>
      <c r="K366" s="9"/>
      <c r="L366" s="9"/>
      <c r="M366" s="9">
        <f t="shared" si="56"/>
        <v>0</v>
      </c>
      <c r="N366" s="10" t="e">
        <f t="shared" si="58"/>
        <v>#DIV/0!</v>
      </c>
    </row>
    <row r="367" spans="1:14" ht="29.25" hidden="1">
      <c r="A367" s="154"/>
      <c r="B367" s="143"/>
      <c r="C367" s="51" t="s">
        <v>220</v>
      </c>
      <c r="D367" s="9"/>
      <c r="E367" s="9"/>
      <c r="F367" s="9"/>
      <c r="G367" s="9"/>
      <c r="H367" s="9">
        <f t="shared" si="55"/>
        <v>0</v>
      </c>
      <c r="I367" s="9"/>
      <c r="J367" s="9"/>
      <c r="K367" s="9"/>
      <c r="L367" s="9"/>
      <c r="M367" s="9">
        <f t="shared" si="56"/>
        <v>0</v>
      </c>
      <c r="N367" s="10" t="e">
        <f t="shared" si="58"/>
        <v>#DIV/0!</v>
      </c>
    </row>
    <row r="368" spans="1:14" ht="9.75">
      <c r="A368" s="154"/>
      <c r="B368" s="143"/>
      <c r="C368" s="51" t="s">
        <v>219</v>
      </c>
      <c r="D368" s="9"/>
      <c r="E368" s="9"/>
      <c r="F368" s="9"/>
      <c r="G368" s="9"/>
      <c r="H368" s="9">
        <f t="shared" si="55"/>
        <v>0</v>
      </c>
      <c r="I368" s="9">
        <v>100</v>
      </c>
      <c r="J368" s="9"/>
      <c r="K368" s="9"/>
      <c r="L368" s="9"/>
      <c r="M368" s="9">
        <f t="shared" si="56"/>
        <v>100</v>
      </c>
      <c r="N368" s="10"/>
    </row>
    <row r="369" spans="1:14" ht="9.75" hidden="1">
      <c r="A369" s="154"/>
      <c r="B369" s="46"/>
      <c r="C369" s="51" t="s">
        <v>221</v>
      </c>
      <c r="D369" s="9"/>
      <c r="E369" s="9"/>
      <c r="F369" s="9"/>
      <c r="G369" s="9"/>
      <c r="H369" s="9">
        <f t="shared" si="55"/>
        <v>0</v>
      </c>
      <c r="I369" s="9"/>
      <c r="J369" s="9"/>
      <c r="K369" s="9"/>
      <c r="L369" s="9"/>
      <c r="M369" s="9">
        <f t="shared" si="56"/>
        <v>0</v>
      </c>
      <c r="N369" s="10" t="e">
        <f t="shared" si="58"/>
        <v>#DIV/0!</v>
      </c>
    </row>
    <row r="370" spans="1:14" ht="29.25">
      <c r="A370" s="41"/>
      <c r="B370" s="46"/>
      <c r="C370" s="51" t="s">
        <v>267</v>
      </c>
      <c r="D370" s="9"/>
      <c r="E370" s="9"/>
      <c r="F370" s="9"/>
      <c r="G370" s="9"/>
      <c r="H370" s="9">
        <f t="shared" si="55"/>
        <v>0</v>
      </c>
      <c r="I370" s="9">
        <v>2903</v>
      </c>
      <c r="J370" s="9"/>
      <c r="K370" s="9"/>
      <c r="L370" s="9"/>
      <c r="M370" s="9">
        <f t="shared" si="56"/>
        <v>2903</v>
      </c>
      <c r="N370" s="10"/>
    </row>
    <row r="371" spans="1:14" ht="9.75">
      <c r="A371" s="41"/>
      <c r="B371" s="52" t="s">
        <v>109</v>
      </c>
      <c r="C371" s="53"/>
      <c r="D371" s="11">
        <f>SUM(D365:D369)</f>
        <v>0</v>
      </c>
      <c r="E371" s="11">
        <f>SUM(E365:E369)</f>
        <v>0</v>
      </c>
      <c r="F371" s="11">
        <f>SUM(F365:F369)</f>
        <v>0</v>
      </c>
      <c r="G371" s="11">
        <f>SUM(G365:G369)</f>
        <v>0</v>
      </c>
      <c r="H371" s="11">
        <f t="shared" si="55"/>
        <v>0</v>
      </c>
      <c r="I371" s="11">
        <f>SUM(I365:I370)</f>
        <v>3003</v>
      </c>
      <c r="J371" s="11">
        <f>SUM(J365:J369)</f>
        <v>0</v>
      </c>
      <c r="K371" s="11">
        <f>SUM(K365:K369)</f>
        <v>0</v>
      </c>
      <c r="L371" s="11">
        <f>SUM(L365:L369)</f>
        <v>0</v>
      </c>
      <c r="M371" s="11">
        <f t="shared" si="56"/>
        <v>3003</v>
      </c>
      <c r="N371" s="39"/>
    </row>
    <row r="372" spans="1:14" s="18" customFormat="1" ht="9.75">
      <c r="A372" s="87" t="s">
        <v>304</v>
      </c>
      <c r="B372" s="55"/>
      <c r="C372" s="55"/>
      <c r="D372" s="13">
        <f aca="true" t="shared" si="59" ref="D372:M372">SUM(D371,D364,D361,D353,D349)</f>
        <v>162000</v>
      </c>
      <c r="E372" s="13">
        <f t="shared" si="59"/>
        <v>238840</v>
      </c>
      <c r="F372" s="13">
        <f t="shared" si="59"/>
        <v>0</v>
      </c>
      <c r="G372" s="13">
        <f t="shared" si="59"/>
        <v>280326</v>
      </c>
      <c r="H372" s="13">
        <f t="shared" si="59"/>
        <v>681166</v>
      </c>
      <c r="I372" s="13">
        <f t="shared" si="59"/>
        <v>182089</v>
      </c>
      <c r="J372" s="13">
        <f t="shared" si="59"/>
        <v>240269</v>
      </c>
      <c r="K372" s="13">
        <f t="shared" si="59"/>
        <v>0</v>
      </c>
      <c r="L372" s="13">
        <f t="shared" si="59"/>
        <v>280326</v>
      </c>
      <c r="M372" s="13">
        <f t="shared" si="59"/>
        <v>702684</v>
      </c>
      <c r="N372" s="124">
        <f aca="true" t="shared" si="60" ref="N372:N384">M372/H372</f>
        <v>1.0315899501736727</v>
      </c>
    </row>
    <row r="373" spans="1:14" ht="29.25" hidden="1">
      <c r="A373" s="46"/>
      <c r="B373" s="20" t="s">
        <v>196</v>
      </c>
      <c r="C373" s="51" t="s">
        <v>260</v>
      </c>
      <c r="D373" s="9"/>
      <c r="E373" s="9"/>
      <c r="F373" s="9"/>
      <c r="G373" s="9"/>
      <c r="H373" s="9">
        <f aca="true" t="shared" si="61" ref="H373:H397">SUM(D373:G373)</f>
        <v>0</v>
      </c>
      <c r="I373" s="9"/>
      <c r="J373" s="9"/>
      <c r="K373" s="9"/>
      <c r="L373" s="9"/>
      <c r="M373" s="9">
        <f aca="true" t="shared" si="62" ref="M373:M397">SUM(I373:L373)</f>
        <v>0</v>
      </c>
      <c r="N373" s="10" t="e">
        <f t="shared" si="60"/>
        <v>#DIV/0!</v>
      </c>
    </row>
    <row r="374" spans="1:14" ht="9.75" hidden="1">
      <c r="A374" s="56"/>
      <c r="B374" s="52" t="s">
        <v>197</v>
      </c>
      <c r="C374" s="53"/>
      <c r="D374" s="11">
        <f>SUM(D373:D373)</f>
        <v>0</v>
      </c>
      <c r="E374" s="11">
        <f>SUM(E373:E373)</f>
        <v>0</v>
      </c>
      <c r="F374" s="11">
        <f>SUM(F373:F373)</f>
        <v>0</v>
      </c>
      <c r="G374" s="11">
        <f>SUM(G373:G373)</f>
        <v>0</v>
      </c>
      <c r="H374" s="11">
        <f t="shared" si="61"/>
        <v>0</v>
      </c>
      <c r="I374" s="11">
        <f>SUM(I373:I373)</f>
        <v>0</v>
      </c>
      <c r="J374" s="11">
        <f>SUM(J373:J373)</f>
        <v>0</v>
      </c>
      <c r="K374" s="11">
        <f>SUM(K373:K373)</f>
        <v>0</v>
      </c>
      <c r="L374" s="11">
        <f>SUM(L373:L373)</f>
        <v>0</v>
      </c>
      <c r="M374" s="11">
        <f t="shared" si="62"/>
        <v>0</v>
      </c>
      <c r="N374" s="10" t="e">
        <f t="shared" si="60"/>
        <v>#DIV/0!</v>
      </c>
    </row>
    <row r="375" spans="1:14" ht="48.75">
      <c r="A375" s="153" t="s">
        <v>110</v>
      </c>
      <c r="B375" s="142" t="s">
        <v>111</v>
      </c>
      <c r="C375" s="51" t="s">
        <v>278</v>
      </c>
      <c r="D375" s="9"/>
      <c r="E375" s="9">
        <v>20000</v>
      </c>
      <c r="F375" s="9"/>
      <c r="G375" s="9"/>
      <c r="H375" s="9">
        <f t="shared" si="61"/>
        <v>20000</v>
      </c>
      <c r="I375" s="9"/>
      <c r="J375" s="9">
        <f>17650+4515</f>
        <v>22165</v>
      </c>
      <c r="K375" s="9"/>
      <c r="L375" s="9"/>
      <c r="M375" s="9">
        <f t="shared" si="62"/>
        <v>22165</v>
      </c>
      <c r="N375" s="10">
        <f t="shared" si="60"/>
        <v>1.10825</v>
      </c>
    </row>
    <row r="376" spans="1:14" ht="29.25" hidden="1">
      <c r="A376" s="154"/>
      <c r="B376" s="143"/>
      <c r="C376" s="51" t="s">
        <v>224</v>
      </c>
      <c r="D376" s="9"/>
      <c r="E376" s="9"/>
      <c r="F376" s="9"/>
      <c r="G376" s="9"/>
      <c r="H376" s="9">
        <f t="shared" si="61"/>
        <v>0</v>
      </c>
      <c r="I376" s="9"/>
      <c r="J376" s="9">
        <v>0</v>
      </c>
      <c r="K376" s="9"/>
      <c r="L376" s="9"/>
      <c r="M376" s="9"/>
      <c r="N376" s="10" t="e">
        <f t="shared" si="60"/>
        <v>#DIV/0!</v>
      </c>
    </row>
    <row r="377" spans="1:14" ht="9.75">
      <c r="A377" s="154"/>
      <c r="B377" s="143"/>
      <c r="C377" s="51" t="s">
        <v>219</v>
      </c>
      <c r="D377" s="9"/>
      <c r="E377" s="9"/>
      <c r="F377" s="9"/>
      <c r="G377" s="9"/>
      <c r="H377" s="9">
        <f t="shared" si="61"/>
        <v>0</v>
      </c>
      <c r="I377" s="9"/>
      <c r="J377" s="9">
        <v>4482</v>
      </c>
      <c r="K377" s="9"/>
      <c r="L377" s="9"/>
      <c r="M377" s="9">
        <f t="shared" si="62"/>
        <v>4482</v>
      </c>
      <c r="N377" s="10"/>
    </row>
    <row r="378" spans="1:14" ht="9.75">
      <c r="A378" s="154"/>
      <c r="B378" s="143"/>
      <c r="C378" s="51" t="s">
        <v>221</v>
      </c>
      <c r="D378" s="9"/>
      <c r="E378" s="9"/>
      <c r="F378" s="9"/>
      <c r="G378" s="9"/>
      <c r="H378" s="9">
        <f t="shared" si="61"/>
        <v>0</v>
      </c>
      <c r="I378" s="9"/>
      <c r="J378" s="9">
        <v>9</v>
      </c>
      <c r="K378" s="9"/>
      <c r="L378" s="9"/>
      <c r="M378" s="9">
        <f t="shared" si="62"/>
        <v>9</v>
      </c>
      <c r="N378" s="10"/>
    </row>
    <row r="379" spans="1:14" ht="29.25" hidden="1">
      <c r="A379" s="154"/>
      <c r="B379" s="146"/>
      <c r="C379" s="51" t="s">
        <v>220</v>
      </c>
      <c r="D379" s="9"/>
      <c r="E379" s="9"/>
      <c r="F379" s="9"/>
      <c r="G379" s="9"/>
      <c r="H379" s="9">
        <f t="shared" si="61"/>
        <v>0</v>
      </c>
      <c r="I379" s="9"/>
      <c r="J379" s="9"/>
      <c r="K379" s="9"/>
      <c r="L379" s="9"/>
      <c r="M379" s="9">
        <f t="shared" si="62"/>
        <v>0</v>
      </c>
      <c r="N379" s="10" t="e">
        <f t="shared" si="60"/>
        <v>#DIV/0!</v>
      </c>
    </row>
    <row r="380" spans="1:14" ht="9.75">
      <c r="A380" s="154"/>
      <c r="B380" s="52" t="s">
        <v>112</v>
      </c>
      <c r="C380" s="53"/>
      <c r="D380" s="11">
        <f>SUM(D375:D379)</f>
        <v>0</v>
      </c>
      <c r="E380" s="11">
        <f>SUM(E375:E379)</f>
        <v>20000</v>
      </c>
      <c r="F380" s="11">
        <f>SUM(F375:F379)</f>
        <v>0</v>
      </c>
      <c r="G380" s="11">
        <f>SUM(G375:G379)</f>
        <v>0</v>
      </c>
      <c r="H380" s="11">
        <f t="shared" si="61"/>
        <v>20000</v>
      </c>
      <c r="I380" s="11">
        <f>SUM(I375:I379)</f>
        <v>0</v>
      </c>
      <c r="J380" s="11">
        <f>SUM(J375:J379)</f>
        <v>26656</v>
      </c>
      <c r="K380" s="11">
        <f>SUM(K375:K379)</f>
        <v>0</v>
      </c>
      <c r="L380" s="11">
        <f>SUM(L375:L379)</f>
        <v>0</v>
      </c>
      <c r="M380" s="11">
        <f t="shared" si="62"/>
        <v>26656</v>
      </c>
      <c r="N380" s="39">
        <f t="shared" si="60"/>
        <v>1.3328</v>
      </c>
    </row>
    <row r="381" spans="1:14" s="18" customFormat="1" ht="9.75">
      <c r="A381" s="154"/>
      <c r="B381" s="149" t="s">
        <v>127</v>
      </c>
      <c r="C381" s="51" t="s">
        <v>219</v>
      </c>
      <c r="D381" s="9"/>
      <c r="E381" s="9"/>
      <c r="F381" s="9"/>
      <c r="G381" s="9"/>
      <c r="H381" s="9">
        <f t="shared" si="61"/>
        <v>0</v>
      </c>
      <c r="I381" s="9"/>
      <c r="J381" s="9">
        <v>2342</v>
      </c>
      <c r="K381" s="9"/>
      <c r="L381" s="9"/>
      <c r="M381" s="9">
        <f t="shared" si="62"/>
        <v>2342</v>
      </c>
      <c r="N381" s="10"/>
    </row>
    <row r="382" spans="1:14" s="18" customFormat="1" ht="19.5" hidden="1">
      <c r="A382" s="154"/>
      <c r="B382" s="143"/>
      <c r="C382" s="66" t="s">
        <v>265</v>
      </c>
      <c r="D382" s="9"/>
      <c r="E382" s="9"/>
      <c r="F382" s="9"/>
      <c r="G382" s="9"/>
      <c r="H382" s="9">
        <f t="shared" si="61"/>
        <v>0</v>
      </c>
      <c r="I382" s="9"/>
      <c r="J382" s="9"/>
      <c r="K382" s="9"/>
      <c r="L382" s="9"/>
      <c r="M382" s="9">
        <f t="shared" si="62"/>
        <v>0</v>
      </c>
      <c r="N382" s="10" t="e">
        <f t="shared" si="60"/>
        <v>#DIV/0!</v>
      </c>
    </row>
    <row r="383" spans="1:14" s="18" customFormat="1" ht="9.75">
      <c r="A383" s="154"/>
      <c r="B383" s="143"/>
      <c r="C383" s="51" t="s">
        <v>221</v>
      </c>
      <c r="D383" s="9"/>
      <c r="E383" s="9"/>
      <c r="F383" s="9"/>
      <c r="G383" s="9"/>
      <c r="H383" s="9">
        <f t="shared" si="61"/>
        <v>0</v>
      </c>
      <c r="I383" s="9"/>
      <c r="J383" s="9">
        <v>656</v>
      </c>
      <c r="K383" s="9"/>
      <c r="L383" s="9"/>
      <c r="M383" s="9">
        <f t="shared" si="62"/>
        <v>656</v>
      </c>
      <c r="N383" s="10"/>
    </row>
    <row r="384" spans="1:14" ht="29.25" hidden="1">
      <c r="A384" s="154"/>
      <c r="B384" s="146"/>
      <c r="C384" s="51" t="s">
        <v>220</v>
      </c>
      <c r="D384" s="9"/>
      <c r="E384" s="9"/>
      <c r="F384" s="9"/>
      <c r="G384" s="9"/>
      <c r="H384" s="9">
        <f t="shared" si="61"/>
        <v>0</v>
      </c>
      <c r="I384" s="9"/>
      <c r="J384" s="9"/>
      <c r="K384" s="9"/>
      <c r="L384" s="9"/>
      <c r="M384" s="9">
        <f t="shared" si="62"/>
        <v>0</v>
      </c>
      <c r="N384" s="10" t="e">
        <f t="shared" si="60"/>
        <v>#DIV/0!</v>
      </c>
    </row>
    <row r="385" spans="1:14" ht="9.75">
      <c r="A385" s="154"/>
      <c r="B385" s="52" t="s">
        <v>128</v>
      </c>
      <c r="C385" s="53"/>
      <c r="D385" s="11">
        <f>SUM(D381:D384)</f>
        <v>0</v>
      </c>
      <c r="E385" s="11">
        <f>SUM(E381:E384)</f>
        <v>0</v>
      </c>
      <c r="F385" s="11">
        <f>SUM(F381:F384)</f>
        <v>0</v>
      </c>
      <c r="G385" s="11">
        <f>SUM(G381:G384)</f>
        <v>0</v>
      </c>
      <c r="H385" s="11">
        <f t="shared" si="61"/>
        <v>0</v>
      </c>
      <c r="I385" s="11">
        <f>SUM(I381:I384)</f>
        <v>0</v>
      </c>
      <c r="J385" s="11">
        <f>SUM(J381:J383)</f>
        <v>2998</v>
      </c>
      <c r="K385" s="11">
        <f>SUM(K381:K383)</f>
        <v>0</v>
      </c>
      <c r="L385" s="11">
        <f>SUM(L381:L383)</f>
        <v>0</v>
      </c>
      <c r="M385" s="11">
        <f t="shared" si="62"/>
        <v>2998</v>
      </c>
      <c r="N385" s="39"/>
    </row>
    <row r="386" spans="1:14" ht="48.75">
      <c r="A386" s="154"/>
      <c r="B386" s="142" t="s">
        <v>113</v>
      </c>
      <c r="C386" s="51" t="s">
        <v>278</v>
      </c>
      <c r="D386" s="9"/>
      <c r="E386" s="9">
        <v>11000</v>
      </c>
      <c r="F386" s="9"/>
      <c r="G386" s="9"/>
      <c r="H386" s="9">
        <f t="shared" si="61"/>
        <v>11000</v>
      </c>
      <c r="I386" s="9"/>
      <c r="J386" s="9">
        <v>10815</v>
      </c>
      <c r="K386" s="9"/>
      <c r="L386" s="9"/>
      <c r="M386" s="9">
        <f t="shared" si="62"/>
        <v>10815</v>
      </c>
      <c r="N386" s="10">
        <f aca="true" t="shared" si="63" ref="N386:N404">M386/H386</f>
        <v>0.9831818181818182</v>
      </c>
    </row>
    <row r="387" spans="1:14" ht="9.75" hidden="1">
      <c r="A387" s="154"/>
      <c r="B387" s="143"/>
      <c r="C387" s="51" t="s">
        <v>226</v>
      </c>
      <c r="D387" s="9"/>
      <c r="E387" s="9"/>
      <c r="F387" s="9"/>
      <c r="G387" s="9"/>
      <c r="H387" s="9">
        <f t="shared" si="61"/>
        <v>0</v>
      </c>
      <c r="I387" s="9"/>
      <c r="J387" s="9"/>
      <c r="K387" s="9"/>
      <c r="L387" s="9"/>
      <c r="M387" s="9">
        <f t="shared" si="62"/>
        <v>0</v>
      </c>
      <c r="N387" s="10" t="e">
        <f t="shared" si="63"/>
        <v>#DIV/0!</v>
      </c>
    </row>
    <row r="388" spans="1:14" ht="9.75">
      <c r="A388" s="154"/>
      <c r="B388" s="143"/>
      <c r="C388" s="51" t="s">
        <v>219</v>
      </c>
      <c r="D388" s="9"/>
      <c r="E388" s="9"/>
      <c r="F388" s="9"/>
      <c r="G388" s="9"/>
      <c r="H388" s="9">
        <f t="shared" si="61"/>
        <v>0</v>
      </c>
      <c r="I388" s="9"/>
      <c r="J388" s="9">
        <v>1738</v>
      </c>
      <c r="K388" s="9"/>
      <c r="L388" s="9"/>
      <c r="M388" s="9">
        <f t="shared" si="62"/>
        <v>1738</v>
      </c>
      <c r="N388" s="10"/>
    </row>
    <row r="389" spans="1:14" ht="9.75">
      <c r="A389" s="154"/>
      <c r="B389" s="146"/>
      <c r="C389" s="51" t="s">
        <v>221</v>
      </c>
      <c r="D389" s="9"/>
      <c r="E389" s="9"/>
      <c r="F389" s="9"/>
      <c r="G389" s="9"/>
      <c r="H389" s="9">
        <f t="shared" si="61"/>
        <v>0</v>
      </c>
      <c r="I389" s="9"/>
      <c r="J389" s="9">
        <v>1265</v>
      </c>
      <c r="K389" s="9"/>
      <c r="L389" s="9"/>
      <c r="M389" s="9">
        <f t="shared" si="62"/>
        <v>1265</v>
      </c>
      <c r="N389" s="10"/>
    </row>
    <row r="390" spans="1:14" ht="9.75">
      <c r="A390" s="154"/>
      <c r="B390" s="52" t="s">
        <v>114</v>
      </c>
      <c r="C390" s="53"/>
      <c r="D390" s="11">
        <f>SUM(D386:D389)</f>
        <v>0</v>
      </c>
      <c r="E390" s="11">
        <f>SUM(E386:E389)</f>
        <v>11000</v>
      </c>
      <c r="F390" s="11">
        <f>SUM(F386:F389)</f>
        <v>0</v>
      </c>
      <c r="G390" s="11">
        <f>SUM(G386:G389)</f>
        <v>0</v>
      </c>
      <c r="H390" s="11">
        <f t="shared" si="61"/>
        <v>11000</v>
      </c>
      <c r="I390" s="11">
        <f>SUM(I386:I389)</f>
        <v>0</v>
      </c>
      <c r="J390" s="11">
        <f>SUM(J386:J389)</f>
        <v>13818</v>
      </c>
      <c r="K390" s="11">
        <f>SUM(K386:K389)</f>
        <v>0</v>
      </c>
      <c r="L390" s="11">
        <f>SUM(L386:L389)</f>
        <v>0</v>
      </c>
      <c r="M390" s="11">
        <f t="shared" si="62"/>
        <v>13818</v>
      </c>
      <c r="N390" s="39">
        <f t="shared" si="63"/>
        <v>1.2561818181818183</v>
      </c>
    </row>
    <row r="391" spans="1:14" ht="48.75">
      <c r="A391" s="138"/>
      <c r="B391" s="142" t="s">
        <v>115</v>
      </c>
      <c r="C391" s="51" t="s">
        <v>278</v>
      </c>
      <c r="D391" s="9"/>
      <c r="E391" s="9">
        <f>281561-120000</f>
        <v>161561</v>
      </c>
      <c r="F391" s="9"/>
      <c r="G391" s="9"/>
      <c r="H391" s="9">
        <f t="shared" si="61"/>
        <v>161561</v>
      </c>
      <c r="I391" s="9"/>
      <c r="J391" s="9">
        <v>113061</v>
      </c>
      <c r="K391" s="9"/>
      <c r="L391" s="9"/>
      <c r="M391" s="9">
        <f t="shared" si="62"/>
        <v>113061</v>
      </c>
      <c r="N391" s="10">
        <f t="shared" si="63"/>
        <v>0.6998037892808289</v>
      </c>
    </row>
    <row r="392" spans="1:14" ht="9.75" hidden="1">
      <c r="A392" s="127"/>
      <c r="B392" s="143"/>
      <c r="C392" s="51" t="s">
        <v>226</v>
      </c>
      <c r="D392" s="9"/>
      <c r="E392" s="9"/>
      <c r="F392" s="9"/>
      <c r="G392" s="9"/>
      <c r="H392" s="9">
        <f t="shared" si="61"/>
        <v>0</v>
      </c>
      <c r="I392" s="9"/>
      <c r="J392" s="9"/>
      <c r="K392" s="9"/>
      <c r="L392" s="9"/>
      <c r="M392" s="9">
        <f t="shared" si="62"/>
        <v>0</v>
      </c>
      <c r="N392" s="10" t="e">
        <f t="shared" si="63"/>
        <v>#DIV/0!</v>
      </c>
    </row>
    <row r="393" spans="1:14" ht="19.5">
      <c r="A393" s="154"/>
      <c r="B393" s="143"/>
      <c r="C393" s="51" t="s">
        <v>222</v>
      </c>
      <c r="D393" s="9"/>
      <c r="E393" s="9"/>
      <c r="F393" s="9"/>
      <c r="G393" s="9"/>
      <c r="H393" s="9">
        <f t="shared" si="61"/>
        <v>0</v>
      </c>
      <c r="I393" s="9"/>
      <c r="J393" s="9">
        <v>59</v>
      </c>
      <c r="K393" s="9"/>
      <c r="L393" s="9"/>
      <c r="M393" s="9">
        <f t="shared" si="62"/>
        <v>59</v>
      </c>
      <c r="N393" s="10"/>
    </row>
    <row r="394" spans="1:14" ht="9.75">
      <c r="A394" s="154"/>
      <c r="B394" s="143"/>
      <c r="C394" s="51" t="s">
        <v>219</v>
      </c>
      <c r="D394" s="9"/>
      <c r="E394" s="9"/>
      <c r="F394" s="9"/>
      <c r="G394" s="9"/>
      <c r="H394" s="9">
        <f t="shared" si="61"/>
        <v>0</v>
      </c>
      <c r="I394" s="9"/>
      <c r="J394" s="9">
        <v>3123</v>
      </c>
      <c r="K394" s="9"/>
      <c r="L394" s="9"/>
      <c r="M394" s="9">
        <f t="shared" si="62"/>
        <v>3123</v>
      </c>
      <c r="N394" s="10"/>
    </row>
    <row r="395" spans="1:14" ht="9.75">
      <c r="A395" s="154"/>
      <c r="B395" s="146"/>
      <c r="C395" s="51" t="s">
        <v>221</v>
      </c>
      <c r="D395" s="9"/>
      <c r="E395" s="9"/>
      <c r="F395" s="9"/>
      <c r="G395" s="9"/>
      <c r="H395" s="9">
        <f t="shared" si="61"/>
        <v>0</v>
      </c>
      <c r="I395" s="9"/>
      <c r="J395" s="9">
        <v>4</v>
      </c>
      <c r="K395" s="9"/>
      <c r="L395" s="9"/>
      <c r="M395" s="9">
        <f t="shared" si="62"/>
        <v>4</v>
      </c>
      <c r="N395" s="10"/>
    </row>
    <row r="396" spans="1:14" ht="9.75">
      <c r="A396" s="154"/>
      <c r="B396" s="52" t="s">
        <v>116</v>
      </c>
      <c r="C396" s="53"/>
      <c r="D396" s="11">
        <f>SUM(D391:D395)</f>
        <v>0</v>
      </c>
      <c r="E396" s="11">
        <f>SUM(E391:E395)</f>
        <v>161561</v>
      </c>
      <c r="F396" s="11">
        <f>SUM(F391:F395)</f>
        <v>0</v>
      </c>
      <c r="G396" s="11">
        <f>SUM(G391:G395)</f>
        <v>0</v>
      </c>
      <c r="H396" s="11">
        <f t="shared" si="61"/>
        <v>161561</v>
      </c>
      <c r="I396" s="11">
        <f>SUM(I391:I395)</f>
        <v>0</v>
      </c>
      <c r="J396" s="11">
        <f>SUM(J391:J395)</f>
        <v>116247</v>
      </c>
      <c r="K396" s="11">
        <f>SUM(K391:K395)</f>
        <v>0</v>
      </c>
      <c r="L396" s="11">
        <f>SUM(L391:L395)</f>
        <v>0</v>
      </c>
      <c r="M396" s="11">
        <f t="shared" si="62"/>
        <v>116247</v>
      </c>
      <c r="N396" s="39">
        <f t="shared" si="63"/>
        <v>0.7195238949994119</v>
      </c>
    </row>
    <row r="397" spans="1:14" s="17" customFormat="1" ht="39">
      <c r="A397" s="151"/>
      <c r="B397" s="63" t="s">
        <v>329</v>
      </c>
      <c r="C397" s="63" t="s">
        <v>231</v>
      </c>
      <c r="D397" s="16">
        <v>1770</v>
      </c>
      <c r="E397" s="16"/>
      <c r="F397" s="16"/>
      <c r="G397" s="16"/>
      <c r="H397" s="9">
        <f t="shared" si="61"/>
        <v>1770</v>
      </c>
      <c r="I397" s="15">
        <v>1770</v>
      </c>
      <c r="J397" s="15"/>
      <c r="K397" s="16"/>
      <c r="L397" s="16"/>
      <c r="M397" s="9">
        <f t="shared" si="62"/>
        <v>1770</v>
      </c>
      <c r="N397" s="10">
        <f t="shared" si="63"/>
        <v>1</v>
      </c>
    </row>
    <row r="398" spans="1:14" s="17" customFormat="1" ht="9.75">
      <c r="A398" s="151"/>
      <c r="B398" s="52" t="s">
        <v>330</v>
      </c>
      <c r="C398" s="52"/>
      <c r="D398" s="115">
        <f aca="true" t="shared" si="64" ref="D398:M398">SUM(D397)</f>
        <v>1770</v>
      </c>
      <c r="E398" s="115">
        <f t="shared" si="64"/>
        <v>0</v>
      </c>
      <c r="F398" s="115">
        <f t="shared" si="64"/>
        <v>0</v>
      </c>
      <c r="G398" s="115">
        <f t="shared" si="64"/>
        <v>0</v>
      </c>
      <c r="H398" s="115">
        <f t="shared" si="64"/>
        <v>1770</v>
      </c>
      <c r="I398" s="115">
        <f t="shared" si="64"/>
        <v>1770</v>
      </c>
      <c r="J398" s="115">
        <f t="shared" si="64"/>
        <v>0</v>
      </c>
      <c r="K398" s="115">
        <f t="shared" si="64"/>
        <v>0</v>
      </c>
      <c r="L398" s="115">
        <f t="shared" si="64"/>
        <v>0</v>
      </c>
      <c r="M398" s="115">
        <f t="shared" si="64"/>
        <v>1770</v>
      </c>
      <c r="N398" s="39">
        <f t="shared" si="63"/>
        <v>1</v>
      </c>
    </row>
    <row r="399" spans="1:14" s="18" customFormat="1" ht="29.25">
      <c r="A399" s="151"/>
      <c r="B399" s="128" t="s">
        <v>158</v>
      </c>
      <c r="C399" s="51" t="s">
        <v>220</v>
      </c>
      <c r="D399" s="9"/>
      <c r="E399" s="9">
        <v>41333</v>
      </c>
      <c r="F399" s="9"/>
      <c r="G399" s="9"/>
      <c r="H399" s="9">
        <f>SUM(D399:G399)</f>
        <v>41333</v>
      </c>
      <c r="I399" s="9"/>
      <c r="J399" s="9">
        <v>41333</v>
      </c>
      <c r="K399" s="9"/>
      <c r="L399" s="9"/>
      <c r="M399" s="9">
        <f>SUM(I399:L399)</f>
        <v>41333</v>
      </c>
      <c r="N399" s="10">
        <f t="shared" si="63"/>
        <v>1</v>
      </c>
    </row>
    <row r="400" spans="1:14" s="18" customFormat="1" ht="29.25">
      <c r="A400" s="154"/>
      <c r="B400" s="151"/>
      <c r="C400" s="51" t="s">
        <v>337</v>
      </c>
      <c r="D400" s="9"/>
      <c r="E400" s="9">
        <v>54293</v>
      </c>
      <c r="F400" s="9"/>
      <c r="G400" s="9"/>
      <c r="H400" s="9">
        <f aca="true" t="shared" si="65" ref="H400:H411">SUM(D400:G400)</f>
        <v>54293</v>
      </c>
      <c r="I400" s="9"/>
      <c r="J400" s="9">
        <v>38047</v>
      </c>
      <c r="K400" s="9"/>
      <c r="L400" s="9"/>
      <c r="M400" s="9">
        <f aca="true" t="shared" si="66" ref="M400:M415">SUM(I400:L400)</f>
        <v>38047</v>
      </c>
      <c r="N400" s="10">
        <f t="shared" si="63"/>
        <v>0.7007717385298289</v>
      </c>
    </row>
    <row r="401" spans="1:14" s="18" customFormat="1" ht="39">
      <c r="A401" s="154"/>
      <c r="B401" s="152"/>
      <c r="C401" s="51" t="s">
        <v>338</v>
      </c>
      <c r="D401" s="9"/>
      <c r="E401" s="9">
        <v>115639</v>
      </c>
      <c r="F401" s="9"/>
      <c r="G401" s="9"/>
      <c r="H401" s="9"/>
      <c r="I401" s="9"/>
      <c r="J401" s="9">
        <v>81038</v>
      </c>
      <c r="K401" s="9"/>
      <c r="L401" s="9"/>
      <c r="M401" s="9">
        <f t="shared" si="66"/>
        <v>81038</v>
      </c>
      <c r="N401" s="10"/>
    </row>
    <row r="402" spans="1:14" s="18" customFormat="1" ht="9.75">
      <c r="A402" s="154"/>
      <c r="B402" s="52" t="s">
        <v>159</v>
      </c>
      <c r="C402" s="53"/>
      <c r="D402" s="11">
        <f>SUM(D399:D401)</f>
        <v>0</v>
      </c>
      <c r="E402" s="11">
        <f>SUM(E399:E401)</f>
        <v>211265</v>
      </c>
      <c r="F402" s="11">
        <f>SUM(F399:F401)</f>
        <v>0</v>
      </c>
      <c r="G402" s="11">
        <f>SUM(G399:G401)</f>
        <v>0</v>
      </c>
      <c r="H402" s="11">
        <f t="shared" si="65"/>
        <v>211265</v>
      </c>
      <c r="I402" s="11">
        <f>SUM(I400:I400)</f>
        <v>0</v>
      </c>
      <c r="J402" s="11">
        <f>SUM(J397:J401)</f>
        <v>160418</v>
      </c>
      <c r="K402" s="11">
        <f>SUM(K400:K400)</f>
        <v>0</v>
      </c>
      <c r="L402" s="11">
        <f>SUM(L400:L400)</f>
        <v>0</v>
      </c>
      <c r="M402" s="11">
        <f t="shared" si="66"/>
        <v>160418</v>
      </c>
      <c r="N402" s="39">
        <f t="shared" si="63"/>
        <v>0.7593212316285234</v>
      </c>
    </row>
    <row r="403" spans="1:14" s="18" customFormat="1" ht="20.25" customHeight="1">
      <c r="A403" s="154"/>
      <c r="B403" s="28" t="s">
        <v>129</v>
      </c>
      <c r="C403" s="51" t="s">
        <v>219</v>
      </c>
      <c r="D403" s="9"/>
      <c r="E403" s="9"/>
      <c r="F403" s="9"/>
      <c r="G403" s="9"/>
      <c r="H403" s="9">
        <f t="shared" si="65"/>
        <v>0</v>
      </c>
      <c r="I403" s="9"/>
      <c r="J403" s="9">
        <v>570</v>
      </c>
      <c r="K403" s="9"/>
      <c r="L403" s="9"/>
      <c r="M403" s="9">
        <f t="shared" si="66"/>
        <v>570</v>
      </c>
      <c r="N403" s="10"/>
    </row>
    <row r="404" spans="1:14" s="18" customFormat="1" ht="17.25" customHeight="1" hidden="1">
      <c r="A404" s="154"/>
      <c r="B404" s="27"/>
      <c r="C404" s="51" t="s">
        <v>221</v>
      </c>
      <c r="D404" s="9"/>
      <c r="E404" s="9"/>
      <c r="F404" s="9"/>
      <c r="G404" s="9"/>
      <c r="H404" s="9">
        <f t="shared" si="65"/>
        <v>0</v>
      </c>
      <c r="I404" s="9"/>
      <c r="J404" s="9"/>
      <c r="K404" s="9"/>
      <c r="L404" s="9"/>
      <c r="M404" s="9">
        <f t="shared" si="66"/>
        <v>0</v>
      </c>
      <c r="N404" s="10" t="e">
        <f t="shared" si="63"/>
        <v>#DIV/0!</v>
      </c>
    </row>
    <row r="405" spans="1:14" s="18" customFormat="1" ht="9.75">
      <c r="A405" s="154"/>
      <c r="B405" s="52" t="s">
        <v>130</v>
      </c>
      <c r="C405" s="53"/>
      <c r="D405" s="11">
        <f>SUM(D403:D404)</f>
        <v>0</v>
      </c>
      <c r="E405" s="11">
        <f>SUM(E403:E404)</f>
        <v>0</v>
      </c>
      <c r="F405" s="11">
        <f>SUM(F403:F404)</f>
        <v>0</v>
      </c>
      <c r="G405" s="11">
        <f>SUM(G403:G404)</f>
        <v>0</v>
      </c>
      <c r="H405" s="11">
        <f t="shared" si="65"/>
        <v>0</v>
      </c>
      <c r="I405" s="11">
        <f>SUM(I403:I404)</f>
        <v>0</v>
      </c>
      <c r="J405" s="11">
        <f>SUM(J403:J404)</f>
        <v>570</v>
      </c>
      <c r="K405" s="11">
        <f>SUM(K403:K404)</f>
        <v>0</v>
      </c>
      <c r="L405" s="11">
        <f>SUM(L403:L404)</f>
        <v>0</v>
      </c>
      <c r="M405" s="11">
        <f t="shared" si="66"/>
        <v>570</v>
      </c>
      <c r="N405" s="39"/>
    </row>
    <row r="406" spans="1:14" s="18" customFormat="1" ht="19.5">
      <c r="A406" s="154"/>
      <c r="B406" s="63" t="s">
        <v>314</v>
      </c>
      <c r="C406" s="51" t="s">
        <v>221</v>
      </c>
      <c r="D406" s="15"/>
      <c r="E406" s="15"/>
      <c r="F406" s="15"/>
      <c r="G406" s="15"/>
      <c r="H406" s="15">
        <f t="shared" si="65"/>
        <v>0</v>
      </c>
      <c r="I406" s="15">
        <v>141</v>
      </c>
      <c r="J406" s="15"/>
      <c r="K406" s="15"/>
      <c r="L406" s="15"/>
      <c r="M406" s="15">
        <f t="shared" si="66"/>
        <v>141</v>
      </c>
      <c r="N406" s="10"/>
    </row>
    <row r="407" spans="1:14" s="18" customFormat="1" ht="9.75">
      <c r="A407" s="154"/>
      <c r="B407" s="89" t="s">
        <v>315</v>
      </c>
      <c r="C407" s="90"/>
      <c r="D407" s="11">
        <f>SUM(D406)</f>
        <v>0</v>
      </c>
      <c r="E407" s="11">
        <f>SUM(E406)</f>
        <v>0</v>
      </c>
      <c r="F407" s="11">
        <f>SUM(F406)</f>
        <v>0</v>
      </c>
      <c r="G407" s="11">
        <f>SUM(G406)</f>
        <v>0</v>
      </c>
      <c r="H407" s="11">
        <f t="shared" si="65"/>
        <v>0</v>
      </c>
      <c r="I407" s="11">
        <f>SUM(I406)</f>
        <v>141</v>
      </c>
      <c r="J407" s="11">
        <f>SUM(J406)</f>
        <v>0</v>
      </c>
      <c r="K407" s="11">
        <f>SUM(K406)</f>
        <v>0</v>
      </c>
      <c r="L407" s="11">
        <f>SUM(L406)</f>
        <v>0</v>
      </c>
      <c r="M407" s="11">
        <f t="shared" si="66"/>
        <v>141</v>
      </c>
      <c r="N407" s="39"/>
    </row>
    <row r="408" spans="1:14" s="18" customFormat="1" ht="9.75" hidden="1">
      <c r="A408" s="154"/>
      <c r="B408" s="142" t="s">
        <v>172</v>
      </c>
      <c r="C408" s="51" t="s">
        <v>219</v>
      </c>
      <c r="D408" s="9"/>
      <c r="E408" s="9"/>
      <c r="F408" s="9"/>
      <c r="G408" s="9"/>
      <c r="H408" s="9">
        <f t="shared" si="65"/>
        <v>0</v>
      </c>
      <c r="I408" s="9"/>
      <c r="J408" s="9"/>
      <c r="K408" s="9"/>
      <c r="L408" s="9"/>
      <c r="M408" s="9">
        <f t="shared" si="66"/>
        <v>0</v>
      </c>
      <c r="N408" s="10" t="e">
        <f aca="true" t="shared" si="67" ref="N408:N416">M408/H408</f>
        <v>#DIV/0!</v>
      </c>
    </row>
    <row r="409" spans="1:14" s="18" customFormat="1" ht="29.25" hidden="1">
      <c r="A409" s="154"/>
      <c r="B409" s="143"/>
      <c r="C409" s="51" t="s">
        <v>260</v>
      </c>
      <c r="D409" s="9"/>
      <c r="E409" s="9"/>
      <c r="F409" s="9"/>
      <c r="G409" s="9"/>
      <c r="H409" s="9">
        <f t="shared" si="65"/>
        <v>0</v>
      </c>
      <c r="I409" s="9"/>
      <c r="J409" s="9"/>
      <c r="K409" s="9"/>
      <c r="L409" s="9"/>
      <c r="M409" s="9">
        <f t="shared" si="66"/>
        <v>0</v>
      </c>
      <c r="N409" s="10" t="e">
        <f t="shared" si="67"/>
        <v>#DIV/0!</v>
      </c>
    </row>
    <row r="410" spans="1:14" s="18" customFormat="1" ht="29.25" hidden="1">
      <c r="A410" s="154"/>
      <c r="B410" s="146"/>
      <c r="C410" s="51" t="s">
        <v>267</v>
      </c>
      <c r="D410" s="9"/>
      <c r="E410" s="9"/>
      <c r="F410" s="9"/>
      <c r="G410" s="9"/>
      <c r="H410" s="9">
        <f t="shared" si="65"/>
        <v>0</v>
      </c>
      <c r="I410" s="9"/>
      <c r="J410" s="9"/>
      <c r="K410" s="9"/>
      <c r="L410" s="9"/>
      <c r="M410" s="9">
        <f t="shared" si="66"/>
        <v>0</v>
      </c>
      <c r="N410" s="10" t="e">
        <f t="shared" si="67"/>
        <v>#DIV/0!</v>
      </c>
    </row>
    <row r="411" spans="1:14" s="18" customFormat="1" ht="9.75" hidden="1">
      <c r="A411" s="155"/>
      <c r="B411" s="52" t="s">
        <v>173</v>
      </c>
      <c r="C411" s="53"/>
      <c r="D411" s="11">
        <f>SUM(D408:D410)</f>
        <v>0</v>
      </c>
      <c r="E411" s="11">
        <f>SUM(E408:E410)</f>
        <v>0</v>
      </c>
      <c r="F411" s="11">
        <f>SUM(F408:F410)</f>
        <v>0</v>
      </c>
      <c r="G411" s="11">
        <f>SUM(G408:G410)</f>
        <v>0</v>
      </c>
      <c r="H411" s="11">
        <f t="shared" si="65"/>
        <v>0</v>
      </c>
      <c r="I411" s="11">
        <f>SUM(I408:I410)</f>
        <v>0</v>
      </c>
      <c r="J411" s="11">
        <f>SUM(J408:J410)</f>
        <v>0</v>
      </c>
      <c r="K411" s="11">
        <f>SUM(K408:K410)</f>
        <v>0</v>
      </c>
      <c r="L411" s="11">
        <f>SUM(L408:L410)</f>
        <v>0</v>
      </c>
      <c r="M411" s="11">
        <f t="shared" si="66"/>
        <v>0</v>
      </c>
      <c r="N411" s="10" t="e">
        <f t="shared" si="67"/>
        <v>#DIV/0!</v>
      </c>
    </row>
    <row r="412" spans="1:14" s="18" customFormat="1" ht="9.75">
      <c r="A412" s="76" t="s">
        <v>117</v>
      </c>
      <c r="B412" s="77"/>
      <c r="C412" s="78"/>
      <c r="D412" s="13">
        <f>SUM(D411,D405,D402,D396,D398,D390,D385,D380,D374)</f>
        <v>1770</v>
      </c>
      <c r="E412" s="13">
        <f>SUM(E411,E405,E402,E396,E390,E385,E380,E374)</f>
        <v>403826</v>
      </c>
      <c r="F412" s="13">
        <f>SUM(F411,F405,F402,F396,F390,F385,F380,F374)</f>
        <v>0</v>
      </c>
      <c r="G412" s="13">
        <f>SUM(G411,G405,G402,G396,G390,G385,G380,G374)</f>
        <v>0</v>
      </c>
      <c r="H412" s="13">
        <f>SUM(H411,H405,H402,H396,H398,H390,H385,H380,H374)</f>
        <v>405596</v>
      </c>
      <c r="I412" s="13">
        <f>SUM(I411,I405,I402,I396,I398,I390,I385,I380,I374,I407)</f>
        <v>1911</v>
      </c>
      <c r="J412" s="13">
        <f>SUM(J411,J405,J407,J402,J398,J396,J390,J385,J380,J374)</f>
        <v>320707</v>
      </c>
      <c r="K412" s="13">
        <f>SUM(K411,K405,K402,K396,K390,K385,K380,K374)</f>
        <v>0</v>
      </c>
      <c r="L412" s="13">
        <f>SUM(L411,L405,L402,L396,L390,L385,L380,L374)</f>
        <v>0</v>
      </c>
      <c r="M412" s="13">
        <f t="shared" si="66"/>
        <v>322618</v>
      </c>
      <c r="N412" s="124">
        <f t="shared" si="67"/>
        <v>0.7954171145672048</v>
      </c>
    </row>
    <row r="413" spans="1:14" ht="39" hidden="1">
      <c r="A413" s="118" t="s">
        <v>118</v>
      </c>
      <c r="B413" s="46" t="s">
        <v>119</v>
      </c>
      <c r="C413" s="51" t="s">
        <v>271</v>
      </c>
      <c r="D413" s="9"/>
      <c r="E413" s="9"/>
      <c r="F413" s="9"/>
      <c r="G413" s="9"/>
      <c r="H413" s="9">
        <f>SUM(D413:G413)</f>
        <v>0</v>
      </c>
      <c r="I413" s="9"/>
      <c r="J413" s="9"/>
      <c r="K413" s="9"/>
      <c r="L413" s="9"/>
      <c r="M413" s="9">
        <f t="shared" si="66"/>
        <v>0</v>
      </c>
      <c r="N413" s="10" t="e">
        <f t="shared" si="67"/>
        <v>#DIV/0!</v>
      </c>
    </row>
    <row r="414" spans="1:14" ht="9.75" hidden="1">
      <c r="A414" s="46"/>
      <c r="B414" s="52" t="s">
        <v>120</v>
      </c>
      <c r="C414" s="53"/>
      <c r="D414" s="11">
        <f>SUM(D413)</f>
        <v>0</v>
      </c>
      <c r="E414" s="11">
        <f>SUM(E413)</f>
        <v>0</v>
      </c>
      <c r="F414" s="11">
        <f>SUM(F413)</f>
        <v>0</v>
      </c>
      <c r="G414" s="11">
        <f>SUM(G413)</f>
        <v>0</v>
      </c>
      <c r="H414" s="11">
        <f>SUM(D414:G414)</f>
        <v>0</v>
      </c>
      <c r="I414" s="11">
        <f>SUM(I413)</f>
        <v>0</v>
      </c>
      <c r="J414" s="11">
        <f>SUM(J413)</f>
        <v>0</v>
      </c>
      <c r="K414" s="11">
        <f>SUM(K413)</f>
        <v>0</v>
      </c>
      <c r="L414" s="11">
        <f>SUM(L413)</f>
        <v>0</v>
      </c>
      <c r="M414" s="11">
        <f t="shared" si="66"/>
        <v>0</v>
      </c>
      <c r="N414" s="10" t="e">
        <f t="shared" si="67"/>
        <v>#DIV/0!</v>
      </c>
    </row>
    <row r="415" spans="1:14" ht="19.5" hidden="1">
      <c r="A415" s="46"/>
      <c r="B415" s="63" t="s">
        <v>204</v>
      </c>
      <c r="C415" s="63" t="s">
        <v>221</v>
      </c>
      <c r="D415" s="15"/>
      <c r="E415" s="15"/>
      <c r="F415" s="15"/>
      <c r="G415" s="15"/>
      <c r="H415" s="15">
        <f>SUM(D415:G415)</f>
        <v>0</v>
      </c>
      <c r="I415" s="15"/>
      <c r="J415" s="15"/>
      <c r="K415" s="15"/>
      <c r="L415" s="15"/>
      <c r="M415" s="15">
        <f t="shared" si="66"/>
        <v>0</v>
      </c>
      <c r="N415" s="10" t="e">
        <f t="shared" si="67"/>
        <v>#DIV/0!</v>
      </c>
    </row>
    <row r="416" spans="1:14" ht="9.75" hidden="1">
      <c r="A416" s="46"/>
      <c r="B416" s="59" t="s">
        <v>205</v>
      </c>
      <c r="C416" s="88"/>
      <c r="D416" s="11">
        <f aca="true" t="shared" si="68" ref="D416:M416">SUM(D415)</f>
        <v>0</v>
      </c>
      <c r="E416" s="11">
        <f t="shared" si="68"/>
        <v>0</v>
      </c>
      <c r="F416" s="11">
        <f t="shared" si="68"/>
        <v>0</v>
      </c>
      <c r="G416" s="11">
        <f t="shared" si="68"/>
        <v>0</v>
      </c>
      <c r="H416" s="11">
        <f t="shared" si="68"/>
        <v>0</v>
      </c>
      <c r="I416" s="11">
        <f t="shared" si="68"/>
        <v>0</v>
      </c>
      <c r="J416" s="11">
        <f t="shared" si="68"/>
        <v>0</v>
      </c>
      <c r="K416" s="11">
        <f t="shared" si="68"/>
        <v>0</v>
      </c>
      <c r="L416" s="11">
        <f t="shared" si="68"/>
        <v>0</v>
      </c>
      <c r="M416" s="11">
        <f t="shared" si="68"/>
        <v>0</v>
      </c>
      <c r="N416" s="10" t="e">
        <f t="shared" si="67"/>
        <v>#DIV/0!</v>
      </c>
    </row>
    <row r="417" spans="1:14" s="18" customFormat="1" ht="39">
      <c r="A417" s="47" t="s">
        <v>118</v>
      </c>
      <c r="B417" s="149" t="s">
        <v>143</v>
      </c>
      <c r="C417" s="51" t="s">
        <v>222</v>
      </c>
      <c r="D417" s="16"/>
      <c r="E417" s="16"/>
      <c r="F417" s="16"/>
      <c r="G417" s="16"/>
      <c r="H417" s="9">
        <f aca="true" t="shared" si="69" ref="H417:H426">SUM(D417:G417)</f>
        <v>0</v>
      </c>
      <c r="I417" s="15">
        <v>22392</v>
      </c>
      <c r="J417" s="15"/>
      <c r="K417" s="15"/>
      <c r="L417" s="15"/>
      <c r="M417" s="9">
        <f aca="true" t="shared" si="70" ref="M417:M427">SUM(I417:L417)</f>
        <v>22392</v>
      </c>
      <c r="N417" s="10"/>
    </row>
    <row r="418" spans="1:14" s="18" customFormat="1" ht="9.75" hidden="1">
      <c r="A418" s="41"/>
      <c r="B418" s="146"/>
      <c r="C418" s="51" t="s">
        <v>221</v>
      </c>
      <c r="D418" s="9"/>
      <c r="E418" s="9"/>
      <c r="F418" s="9"/>
      <c r="G418" s="9"/>
      <c r="H418" s="9">
        <f t="shared" si="69"/>
        <v>0</v>
      </c>
      <c r="I418" s="9"/>
      <c r="J418" s="9"/>
      <c r="K418" s="9"/>
      <c r="L418" s="9"/>
      <c r="M418" s="9">
        <f t="shared" si="70"/>
        <v>0</v>
      </c>
      <c r="N418" s="10" t="e">
        <f aca="true" t="shared" si="71" ref="N418:N430">M418/H418</f>
        <v>#DIV/0!</v>
      </c>
    </row>
    <row r="419" spans="1:14" s="18" customFormat="1" ht="9.75">
      <c r="A419" s="41"/>
      <c r="B419" s="52" t="s">
        <v>144</v>
      </c>
      <c r="C419" s="53"/>
      <c r="D419" s="11">
        <f>SUM(D418:D418)</f>
        <v>0</v>
      </c>
      <c r="E419" s="11">
        <f>SUM(E418:E418)</f>
        <v>0</v>
      </c>
      <c r="F419" s="11">
        <f>SUM(F418:F418)</f>
        <v>0</v>
      </c>
      <c r="G419" s="11">
        <f>SUM(G418:G418)</f>
        <v>0</v>
      </c>
      <c r="H419" s="11">
        <f t="shared" si="69"/>
        <v>0</v>
      </c>
      <c r="I419" s="11">
        <f>SUM(I417:I418)</f>
        <v>22392</v>
      </c>
      <c r="J419" s="11">
        <f>SUM(J417:J418)</f>
        <v>0</v>
      </c>
      <c r="K419" s="11">
        <f>SUM(K417:K418)</f>
        <v>0</v>
      </c>
      <c r="L419" s="11">
        <f>SUM(L417:L418)</f>
        <v>0</v>
      </c>
      <c r="M419" s="11">
        <f t="shared" si="70"/>
        <v>22392</v>
      </c>
      <c r="N419" s="39"/>
    </row>
    <row r="420" spans="1:14" s="18" customFormat="1" ht="9.75">
      <c r="A420" s="41"/>
      <c r="B420" s="142" t="s">
        <v>190</v>
      </c>
      <c r="C420" s="51" t="s">
        <v>219</v>
      </c>
      <c r="D420" s="9"/>
      <c r="E420" s="9"/>
      <c r="F420" s="9"/>
      <c r="G420" s="9"/>
      <c r="H420" s="9">
        <f t="shared" si="69"/>
        <v>0</v>
      </c>
      <c r="I420" s="9">
        <v>8956</v>
      </c>
      <c r="J420" s="9">
        <v>2352</v>
      </c>
      <c r="K420" s="9"/>
      <c r="L420" s="9"/>
      <c r="M420" s="9">
        <f t="shared" si="70"/>
        <v>11308</v>
      </c>
      <c r="N420" s="10"/>
    </row>
    <row r="421" spans="1:14" ht="39" hidden="1">
      <c r="A421" s="46"/>
      <c r="B421" s="146"/>
      <c r="C421" s="51" t="s">
        <v>272</v>
      </c>
      <c r="D421" s="9"/>
      <c r="E421" s="9"/>
      <c r="F421" s="9"/>
      <c r="G421" s="9"/>
      <c r="H421" s="9">
        <f t="shared" si="69"/>
        <v>0</v>
      </c>
      <c r="I421" s="9"/>
      <c r="J421" s="9"/>
      <c r="K421" s="9"/>
      <c r="L421" s="9"/>
      <c r="M421" s="9">
        <f t="shared" si="70"/>
        <v>0</v>
      </c>
      <c r="N421" s="10" t="e">
        <f t="shared" si="71"/>
        <v>#DIV/0!</v>
      </c>
    </row>
    <row r="422" spans="1:14" s="18" customFormat="1" ht="9.75">
      <c r="A422" s="46"/>
      <c r="B422" s="52" t="s">
        <v>191</v>
      </c>
      <c r="C422" s="53"/>
      <c r="D422" s="30">
        <f>SUM(D420:D421)</f>
        <v>0</v>
      </c>
      <c r="E422" s="30">
        <f>SUM(E420:E421)</f>
        <v>0</v>
      </c>
      <c r="F422" s="30">
        <f>SUM(F420:F421)</f>
        <v>0</v>
      </c>
      <c r="G422" s="30">
        <f>SUM(G420:G421)</f>
        <v>0</v>
      </c>
      <c r="H422" s="30">
        <f t="shared" si="69"/>
        <v>0</v>
      </c>
      <c r="I422" s="30">
        <f>SUM(I420:I421)</f>
        <v>8956</v>
      </c>
      <c r="J422" s="30">
        <f>SUM(J420:J421)</f>
        <v>2352</v>
      </c>
      <c r="K422" s="30">
        <f>SUM(K420:K421)</f>
        <v>0</v>
      </c>
      <c r="L422" s="30">
        <f>SUM(L420:L421)</f>
        <v>0</v>
      </c>
      <c r="M422" s="30">
        <f t="shared" si="70"/>
        <v>11308</v>
      </c>
      <c r="N422" s="39"/>
    </row>
    <row r="423" spans="1:14" s="18" customFormat="1" ht="39">
      <c r="A423" s="46"/>
      <c r="B423" s="99" t="s">
        <v>319</v>
      </c>
      <c r="C423" s="63" t="s">
        <v>262</v>
      </c>
      <c r="D423" s="100">
        <v>18720</v>
      </c>
      <c r="E423" s="100"/>
      <c r="F423" s="15"/>
      <c r="G423" s="100"/>
      <c r="H423" s="100">
        <f t="shared" si="69"/>
        <v>18720</v>
      </c>
      <c r="I423" s="100">
        <v>0</v>
      </c>
      <c r="J423" s="100"/>
      <c r="K423" s="100"/>
      <c r="L423" s="100"/>
      <c r="M423" s="9">
        <f t="shared" si="70"/>
        <v>0</v>
      </c>
      <c r="N423" s="10">
        <f t="shared" si="71"/>
        <v>0</v>
      </c>
    </row>
    <row r="424" spans="1:14" s="18" customFormat="1" ht="9.75">
      <c r="A424" s="46"/>
      <c r="B424" s="52" t="s">
        <v>320</v>
      </c>
      <c r="C424" s="90"/>
      <c r="D424" s="30">
        <f>SUM(D423)</f>
        <v>18720</v>
      </c>
      <c r="E424" s="30">
        <f>SUM(E423)</f>
        <v>0</v>
      </c>
      <c r="F424" s="30">
        <f>SUM(F423)</f>
        <v>0</v>
      </c>
      <c r="G424" s="30">
        <f>SUM(G423)</f>
        <v>0</v>
      </c>
      <c r="H424" s="30">
        <f t="shared" si="69"/>
        <v>18720</v>
      </c>
      <c r="I424" s="30">
        <f>SUM(I423)</f>
        <v>0</v>
      </c>
      <c r="J424" s="30">
        <f>SUM(J423)</f>
        <v>0</v>
      </c>
      <c r="K424" s="30">
        <f>SUM(K423)</f>
        <v>0</v>
      </c>
      <c r="L424" s="30">
        <f>SUM(L423)</f>
        <v>0</v>
      </c>
      <c r="M424" s="30">
        <f t="shared" si="70"/>
        <v>0</v>
      </c>
      <c r="N424" s="39">
        <f t="shared" si="71"/>
        <v>0</v>
      </c>
    </row>
    <row r="425" spans="1:14" s="18" customFormat="1" ht="39">
      <c r="A425" s="154"/>
      <c r="B425" s="172" t="s">
        <v>121</v>
      </c>
      <c r="C425" s="51" t="s">
        <v>232</v>
      </c>
      <c r="D425" s="9"/>
      <c r="E425" s="9"/>
      <c r="F425" s="9">
        <f>1417680+292394</f>
        <v>1710074</v>
      </c>
      <c r="G425" s="9"/>
      <c r="H425" s="9">
        <f t="shared" si="69"/>
        <v>1710074</v>
      </c>
      <c r="I425" s="9"/>
      <c r="J425" s="9"/>
      <c r="K425" s="9">
        <v>1710074</v>
      </c>
      <c r="L425" s="9"/>
      <c r="M425" s="15">
        <f t="shared" si="70"/>
        <v>1710074</v>
      </c>
      <c r="N425" s="10">
        <f t="shared" si="71"/>
        <v>1</v>
      </c>
    </row>
    <row r="426" spans="1:14" s="18" customFormat="1" ht="39" hidden="1">
      <c r="A426" s="154"/>
      <c r="B426" s="173"/>
      <c r="C426" s="51" t="s">
        <v>272</v>
      </c>
      <c r="D426" s="9"/>
      <c r="E426" s="9"/>
      <c r="F426" s="9"/>
      <c r="G426" s="9"/>
      <c r="H426" s="9">
        <f t="shared" si="69"/>
        <v>0</v>
      </c>
      <c r="I426" s="9"/>
      <c r="J426" s="9"/>
      <c r="K426" s="9"/>
      <c r="L426" s="9"/>
      <c r="M426" s="15">
        <f t="shared" si="70"/>
        <v>0</v>
      </c>
      <c r="N426" s="10" t="e">
        <f t="shared" si="71"/>
        <v>#DIV/0!</v>
      </c>
    </row>
    <row r="427" spans="1:14" s="18" customFormat="1" ht="19.5">
      <c r="A427" s="46"/>
      <c r="B427" s="123"/>
      <c r="C427" s="51" t="s">
        <v>265</v>
      </c>
      <c r="D427" s="9"/>
      <c r="E427" s="9"/>
      <c r="F427" s="9"/>
      <c r="G427" s="9"/>
      <c r="H427" s="9"/>
      <c r="I427" s="9">
        <v>50</v>
      </c>
      <c r="J427" s="9"/>
      <c r="K427" s="9"/>
      <c r="L427" s="9"/>
      <c r="M427" s="15">
        <f t="shared" si="70"/>
        <v>50</v>
      </c>
      <c r="N427" s="10"/>
    </row>
    <row r="428" spans="1:14" s="18" customFormat="1" ht="9.75">
      <c r="A428" s="46"/>
      <c r="B428" s="52" t="s">
        <v>122</v>
      </c>
      <c r="C428" s="53"/>
      <c r="D428" s="11">
        <f>SUM(D425:D426)</f>
        <v>0</v>
      </c>
      <c r="E428" s="11">
        <f>SUM(E425:E426)</f>
        <v>0</v>
      </c>
      <c r="F428" s="11">
        <f>SUM(F425:F426)</f>
        <v>1710074</v>
      </c>
      <c r="G428" s="11">
        <f>SUM(G425:G426)</f>
        <v>0</v>
      </c>
      <c r="H428" s="11">
        <f aca="true" t="shared" si="72" ref="H428:H437">SUM(D428:G428)</f>
        <v>1710074</v>
      </c>
      <c r="I428" s="11">
        <f>SUM(I425:I427)</f>
        <v>50</v>
      </c>
      <c r="J428" s="11">
        <f>SUM(J425:J427)</f>
        <v>0</v>
      </c>
      <c r="K428" s="11">
        <f>SUM(K425:K427)</f>
        <v>1710074</v>
      </c>
      <c r="L428" s="11">
        <f>SUM(L425:L427)</f>
        <v>0</v>
      </c>
      <c r="M428" s="11">
        <f aca="true" t="shared" si="73" ref="M428:M460">SUM(I428:L428)</f>
        <v>1710124</v>
      </c>
      <c r="N428" s="39">
        <f t="shared" si="71"/>
        <v>1.00002923850079</v>
      </c>
    </row>
    <row r="429" spans="1:14" s="18" customFormat="1" ht="48.75">
      <c r="A429" s="154"/>
      <c r="B429" s="142" t="s">
        <v>160</v>
      </c>
      <c r="C429" s="51" t="s">
        <v>278</v>
      </c>
      <c r="D429" s="9">
        <v>48220</v>
      </c>
      <c r="E429" s="9"/>
      <c r="F429" s="9"/>
      <c r="G429" s="9"/>
      <c r="H429" s="9">
        <f t="shared" si="72"/>
        <v>48220</v>
      </c>
      <c r="I429" s="9">
        <v>60679</v>
      </c>
      <c r="J429" s="9"/>
      <c r="K429" s="9"/>
      <c r="L429" s="9"/>
      <c r="M429" s="9">
        <f t="shared" si="73"/>
        <v>60679</v>
      </c>
      <c r="N429" s="10">
        <f t="shared" si="71"/>
        <v>1.258378266279552</v>
      </c>
    </row>
    <row r="430" spans="1:14" s="18" customFormat="1" ht="19.5">
      <c r="A430" s="154"/>
      <c r="B430" s="143"/>
      <c r="C430" s="51" t="s">
        <v>222</v>
      </c>
      <c r="D430" s="9">
        <v>246200</v>
      </c>
      <c r="E430" s="9"/>
      <c r="F430" s="9"/>
      <c r="G430" s="9"/>
      <c r="H430" s="9">
        <f t="shared" si="72"/>
        <v>246200</v>
      </c>
      <c r="I430" s="9">
        <v>246200</v>
      </c>
      <c r="J430" s="9"/>
      <c r="K430" s="9"/>
      <c r="L430" s="9"/>
      <c r="M430" s="9">
        <f t="shared" si="73"/>
        <v>246200</v>
      </c>
      <c r="N430" s="10">
        <f t="shared" si="71"/>
        <v>1</v>
      </c>
    </row>
    <row r="431" spans="1:14" s="18" customFormat="1" ht="9.75">
      <c r="A431" s="46"/>
      <c r="B431" s="146"/>
      <c r="C431" s="51" t="s">
        <v>219</v>
      </c>
      <c r="D431" s="9"/>
      <c r="E431" s="9"/>
      <c r="F431" s="9"/>
      <c r="G431" s="9"/>
      <c r="H431" s="9">
        <f t="shared" si="72"/>
        <v>0</v>
      </c>
      <c r="I431" s="9">
        <v>261</v>
      </c>
      <c r="J431" s="9"/>
      <c r="K431" s="9"/>
      <c r="L431" s="9"/>
      <c r="M431" s="9">
        <f t="shared" si="73"/>
        <v>261</v>
      </c>
      <c r="N431" s="10"/>
    </row>
    <row r="432" spans="1:14" s="18" customFormat="1" ht="9.75">
      <c r="A432" s="46"/>
      <c r="B432" s="52" t="s">
        <v>161</v>
      </c>
      <c r="C432" s="53"/>
      <c r="D432" s="11">
        <f>SUM(D429:D431)</f>
        <v>294420</v>
      </c>
      <c r="E432" s="11">
        <f>SUM(E429:E431)</f>
        <v>0</v>
      </c>
      <c r="F432" s="11">
        <f>SUM(F429:F431)</f>
        <v>0</v>
      </c>
      <c r="G432" s="11">
        <f>SUM(G429:G431)</f>
        <v>0</v>
      </c>
      <c r="H432" s="11">
        <f t="shared" si="72"/>
        <v>294420</v>
      </c>
      <c r="I432" s="11">
        <f>SUM(I429:I431)</f>
        <v>307140</v>
      </c>
      <c r="J432" s="11">
        <f>SUM(J429:J431)</f>
        <v>0</v>
      </c>
      <c r="K432" s="11">
        <f>SUM(K429:K431)</f>
        <v>0</v>
      </c>
      <c r="L432" s="11">
        <f>SUM(L429:L431)</f>
        <v>0</v>
      </c>
      <c r="M432" s="11">
        <f t="shared" si="73"/>
        <v>307140</v>
      </c>
      <c r="N432" s="39">
        <f aca="true" t="shared" si="74" ref="N432:N440">M432/H432</f>
        <v>1.0432035867128593</v>
      </c>
    </row>
    <row r="433" spans="1:14" s="18" customFormat="1" ht="19.5" hidden="1">
      <c r="A433" s="46"/>
      <c r="B433" s="28" t="s">
        <v>123</v>
      </c>
      <c r="C433" s="66" t="s">
        <v>270</v>
      </c>
      <c r="D433" s="9"/>
      <c r="E433" s="9"/>
      <c r="F433" s="9"/>
      <c r="G433" s="9"/>
      <c r="H433" s="9">
        <f t="shared" si="72"/>
        <v>0</v>
      </c>
      <c r="I433" s="9"/>
      <c r="J433" s="9"/>
      <c r="K433" s="9"/>
      <c r="L433" s="9"/>
      <c r="M433" s="9">
        <f t="shared" si="73"/>
        <v>0</v>
      </c>
      <c r="N433" s="10" t="e">
        <f t="shared" si="74"/>
        <v>#DIV/0!</v>
      </c>
    </row>
    <row r="434" spans="1:14" ht="9.75" hidden="1">
      <c r="A434" s="46"/>
      <c r="B434" s="26"/>
      <c r="C434" s="51" t="s">
        <v>221</v>
      </c>
      <c r="D434" s="9"/>
      <c r="E434" s="9"/>
      <c r="F434" s="9"/>
      <c r="G434" s="9"/>
      <c r="H434" s="9">
        <f t="shared" si="72"/>
        <v>0</v>
      </c>
      <c r="I434" s="9"/>
      <c r="J434" s="9"/>
      <c r="K434" s="9"/>
      <c r="L434" s="9"/>
      <c r="M434" s="9">
        <f t="shared" si="73"/>
        <v>0</v>
      </c>
      <c r="N434" s="10" t="e">
        <f t="shared" si="74"/>
        <v>#DIV/0!</v>
      </c>
    </row>
    <row r="435" spans="1:14" ht="39">
      <c r="A435" s="46"/>
      <c r="B435" s="28" t="s">
        <v>123</v>
      </c>
      <c r="C435" s="51" t="s">
        <v>271</v>
      </c>
      <c r="D435" s="9">
        <f>1000000+2800000-1741588</f>
        <v>2058412</v>
      </c>
      <c r="E435" s="9"/>
      <c r="F435" s="9"/>
      <c r="G435" s="9"/>
      <c r="H435" s="9">
        <f t="shared" si="72"/>
        <v>2058412</v>
      </c>
      <c r="I435" s="9">
        <v>2358404</v>
      </c>
      <c r="J435" s="9"/>
      <c r="K435" s="9"/>
      <c r="L435" s="9"/>
      <c r="M435" s="9">
        <f t="shared" si="73"/>
        <v>2358404</v>
      </c>
      <c r="N435" s="10">
        <f t="shared" si="74"/>
        <v>1.1457395312503036</v>
      </c>
    </row>
    <row r="436" spans="1:14" ht="39">
      <c r="A436" s="46"/>
      <c r="B436" s="27"/>
      <c r="C436" s="51" t="s">
        <v>229</v>
      </c>
      <c r="D436" s="9">
        <f>396559+636100</f>
        <v>1032659</v>
      </c>
      <c r="E436" s="9"/>
      <c r="F436" s="9"/>
      <c r="G436" s="9"/>
      <c r="H436" s="9">
        <f t="shared" si="72"/>
        <v>1032659</v>
      </c>
      <c r="I436" s="9">
        <v>608394</v>
      </c>
      <c r="J436" s="9"/>
      <c r="K436" s="9"/>
      <c r="L436" s="9"/>
      <c r="M436" s="9">
        <f t="shared" si="73"/>
        <v>608394</v>
      </c>
      <c r="N436" s="10">
        <f t="shared" si="74"/>
        <v>0.5891528568481949</v>
      </c>
    </row>
    <row r="437" spans="1:14" ht="9.75">
      <c r="A437" s="49"/>
      <c r="B437" s="52" t="s">
        <v>124</v>
      </c>
      <c r="C437" s="53"/>
      <c r="D437" s="11">
        <f>SUM(D433:D436)</f>
        <v>3091071</v>
      </c>
      <c r="E437" s="11">
        <f>SUM(E433:E436)</f>
        <v>0</v>
      </c>
      <c r="F437" s="11">
        <f>SUM(F433:F436)</f>
        <v>0</v>
      </c>
      <c r="G437" s="11">
        <f>SUM(G433:G436)</f>
        <v>0</v>
      </c>
      <c r="H437" s="11">
        <f t="shared" si="72"/>
        <v>3091071</v>
      </c>
      <c r="I437" s="11">
        <f>SUM(I433:I436)</f>
        <v>2966798</v>
      </c>
      <c r="J437" s="11">
        <f>SUM(J433:J436)</f>
        <v>0</v>
      </c>
      <c r="K437" s="11">
        <f>SUM(K433:K436)</f>
        <v>0</v>
      </c>
      <c r="L437" s="11">
        <f>SUM(L433:L436)</f>
        <v>0</v>
      </c>
      <c r="M437" s="11">
        <f t="shared" si="73"/>
        <v>2966798</v>
      </c>
      <c r="N437" s="39">
        <f t="shared" si="74"/>
        <v>0.9597961353847906</v>
      </c>
    </row>
    <row r="438" spans="1:14" ht="9.75">
      <c r="A438" s="79" t="s">
        <v>125</v>
      </c>
      <c r="B438" s="76"/>
      <c r="C438" s="77"/>
      <c r="D438" s="13">
        <f>SUM(D432,D428,D422,D419,D414,D437,D416,D424)</f>
        <v>3404211</v>
      </c>
      <c r="E438" s="13">
        <f>SUM(E432,E428,E422,E419,E414,E437,E416)</f>
        <v>0</v>
      </c>
      <c r="F438" s="13">
        <f>SUM(F432,F428,F422,F419,F414,F437,F416)</f>
        <v>1710074</v>
      </c>
      <c r="G438" s="13">
        <f>SUM(G432,G428,G422,G419,G414,G437,G416)</f>
        <v>0</v>
      </c>
      <c r="H438" s="13">
        <f>SUM(H432,H428,H422,H419,H414,H437,H424)</f>
        <v>5114285</v>
      </c>
      <c r="I438" s="13">
        <f>SUM(I432,I428,I422,I419,I414,I437,I416)</f>
        <v>3305336</v>
      </c>
      <c r="J438" s="13">
        <f>SUM(J432,J428,J422,J419,J414,J437,J416)</f>
        <v>2352</v>
      </c>
      <c r="K438" s="13">
        <f>SUM(K432,K428,K422,K419,K414,K437,K416)</f>
        <v>1710074</v>
      </c>
      <c r="L438" s="13">
        <f>SUM(L432,L428,L422,L419,L414,L437,L416)</f>
        <v>0</v>
      </c>
      <c r="M438" s="13">
        <f t="shared" si="73"/>
        <v>5017762</v>
      </c>
      <c r="N438" s="124">
        <f t="shared" si="74"/>
        <v>0.9811267850735733</v>
      </c>
    </row>
    <row r="439" spans="1:14" ht="39">
      <c r="A439" s="128" t="s">
        <v>145</v>
      </c>
      <c r="B439" s="64" t="s">
        <v>305</v>
      </c>
      <c r="C439" s="80" t="s">
        <v>307</v>
      </c>
      <c r="D439" s="15">
        <v>196000</v>
      </c>
      <c r="E439" s="15"/>
      <c r="F439" s="15"/>
      <c r="G439" s="15"/>
      <c r="H439" s="9">
        <f aca="true" t="shared" si="75" ref="H439:H460">SUM(D439:G439)</f>
        <v>196000</v>
      </c>
      <c r="I439" s="15">
        <v>178793</v>
      </c>
      <c r="J439" s="15"/>
      <c r="K439" s="15"/>
      <c r="L439" s="15"/>
      <c r="M439" s="9">
        <f t="shared" si="73"/>
        <v>178793</v>
      </c>
      <c r="N439" s="10">
        <f t="shared" si="74"/>
        <v>0.9122091836734694</v>
      </c>
    </row>
    <row r="440" spans="1:14" ht="9.75">
      <c r="A440" s="151"/>
      <c r="B440" s="147" t="s">
        <v>306</v>
      </c>
      <c r="C440" s="148"/>
      <c r="D440" s="32">
        <f>SUM(D439)</f>
        <v>196000</v>
      </c>
      <c r="E440" s="32">
        <f>SUM(E439)</f>
        <v>0</v>
      </c>
      <c r="F440" s="32">
        <f>SUM(F439)</f>
        <v>0</v>
      </c>
      <c r="G440" s="32">
        <f>SUM(G439)</f>
        <v>0</v>
      </c>
      <c r="H440" s="32">
        <f t="shared" si="75"/>
        <v>196000</v>
      </c>
      <c r="I440" s="32">
        <f>SUM(I439)</f>
        <v>178793</v>
      </c>
      <c r="J440" s="32">
        <f>SUM(J439)</f>
        <v>0</v>
      </c>
      <c r="K440" s="32">
        <f>SUM(K439)</f>
        <v>0</v>
      </c>
      <c r="L440" s="32">
        <f>SUM(L439)</f>
        <v>0</v>
      </c>
      <c r="M440" s="32">
        <f t="shared" si="73"/>
        <v>178793</v>
      </c>
      <c r="N440" s="39">
        <f t="shared" si="74"/>
        <v>0.9122091836734694</v>
      </c>
    </row>
    <row r="441" spans="1:14" ht="39">
      <c r="A441" s="151"/>
      <c r="B441" s="64" t="s">
        <v>336</v>
      </c>
      <c r="C441" s="80" t="s">
        <v>263</v>
      </c>
      <c r="D441" s="15"/>
      <c r="E441" s="15">
        <v>20000</v>
      </c>
      <c r="F441" s="15"/>
      <c r="G441" s="15"/>
      <c r="H441" s="9">
        <f>SUM(D441:G441)</f>
        <v>20000</v>
      </c>
      <c r="I441" s="15"/>
      <c r="J441" s="15">
        <v>20000</v>
      </c>
      <c r="K441" s="15"/>
      <c r="L441" s="15"/>
      <c r="M441" s="9">
        <f>SUM(I441:L441)</f>
        <v>20000</v>
      </c>
      <c r="N441" s="10">
        <f>M441/H441</f>
        <v>1</v>
      </c>
    </row>
    <row r="442" spans="1:14" ht="9.75">
      <c r="A442" s="151"/>
      <c r="B442" s="147" t="s">
        <v>339</v>
      </c>
      <c r="C442" s="148"/>
      <c r="D442" s="32">
        <f>SUM(D441)</f>
        <v>0</v>
      </c>
      <c r="E442" s="32">
        <f>SUM(E441)</f>
        <v>20000</v>
      </c>
      <c r="F442" s="32">
        <f>SUM(F441)</f>
        <v>0</v>
      </c>
      <c r="G442" s="32">
        <f>SUM(G441)</f>
        <v>0</v>
      </c>
      <c r="H442" s="32">
        <f>SUM(D442:G442)</f>
        <v>20000</v>
      </c>
      <c r="I442" s="32">
        <f>SUM(I441)</f>
        <v>0</v>
      </c>
      <c r="J442" s="32">
        <f>SUM(J441)</f>
        <v>20000</v>
      </c>
      <c r="K442" s="32">
        <f>SUM(K441)</f>
        <v>0</v>
      </c>
      <c r="L442" s="32">
        <f>SUM(L441)</f>
        <v>0</v>
      </c>
      <c r="M442" s="32">
        <f>SUM(I442:L442)</f>
        <v>20000</v>
      </c>
      <c r="N442" s="39">
        <f>M442/H442</f>
        <v>1</v>
      </c>
    </row>
    <row r="443" spans="1:14" ht="9.75">
      <c r="A443" s="151"/>
      <c r="B443" s="157" t="s">
        <v>149</v>
      </c>
      <c r="C443" s="112" t="s">
        <v>219</v>
      </c>
      <c r="D443" s="29"/>
      <c r="E443" s="29"/>
      <c r="F443" s="29"/>
      <c r="G443" s="29"/>
      <c r="H443" s="29">
        <f t="shared" si="75"/>
        <v>0</v>
      </c>
      <c r="I443" s="29">
        <v>2184</v>
      </c>
      <c r="J443" s="29"/>
      <c r="K443" s="29"/>
      <c r="L443" s="29"/>
      <c r="M443" s="9">
        <f t="shared" si="73"/>
        <v>2184</v>
      </c>
      <c r="N443" s="10"/>
    </row>
    <row r="444" spans="1:14" s="18" customFormat="1" ht="29.25">
      <c r="A444" s="151"/>
      <c r="B444" s="159"/>
      <c r="C444" s="111" t="s">
        <v>267</v>
      </c>
      <c r="D444" s="9"/>
      <c r="E444" s="9"/>
      <c r="F444" s="9"/>
      <c r="G444" s="9"/>
      <c r="H444" s="9">
        <f t="shared" si="75"/>
        <v>0</v>
      </c>
      <c r="I444" s="9">
        <v>12781</v>
      </c>
      <c r="J444" s="9"/>
      <c r="K444" s="9"/>
      <c r="L444" s="9"/>
      <c r="M444" s="9">
        <f t="shared" si="73"/>
        <v>12781</v>
      </c>
      <c r="N444" s="10"/>
    </row>
    <row r="445" spans="1:14" ht="9.75">
      <c r="A445" s="152"/>
      <c r="B445" s="89" t="s">
        <v>150</v>
      </c>
      <c r="C445" s="53"/>
      <c r="D445" s="11">
        <f>SUM(D444)</f>
        <v>0</v>
      </c>
      <c r="E445" s="11">
        <f>SUM(E444)</f>
        <v>0</v>
      </c>
      <c r="F445" s="11">
        <f>SUM(F444)</f>
        <v>0</v>
      </c>
      <c r="G445" s="11">
        <f>SUM(G444)</f>
        <v>0</v>
      </c>
      <c r="H445" s="11">
        <f t="shared" si="75"/>
        <v>0</v>
      </c>
      <c r="I445" s="11">
        <f>SUM(I443:I444)</f>
        <v>14965</v>
      </c>
      <c r="J445" s="11">
        <f>SUM(J444)</f>
        <v>0</v>
      </c>
      <c r="K445" s="11">
        <f>SUM(K444)</f>
        <v>0</v>
      </c>
      <c r="L445" s="11">
        <f>SUM(L444)</f>
        <v>0</v>
      </c>
      <c r="M445" s="11">
        <f t="shared" si="73"/>
        <v>14965</v>
      </c>
      <c r="N445" s="39"/>
    </row>
    <row r="446" spans="1:14" ht="9.75">
      <c r="A446" s="58" t="s">
        <v>146</v>
      </c>
      <c r="B446" s="55"/>
      <c r="C446" s="55"/>
      <c r="D446" s="13">
        <f>SUM(D445,D442,D440)</f>
        <v>196000</v>
      </c>
      <c r="E446" s="13">
        <f>SUM(E445,E442,E440)</f>
        <v>20000</v>
      </c>
      <c r="F446" s="13">
        <f>SUM(F445,F442,F440)</f>
        <v>0</v>
      </c>
      <c r="G446" s="13">
        <f>SUM(G445,G442,G440)</f>
        <v>0</v>
      </c>
      <c r="H446" s="13">
        <f t="shared" si="75"/>
        <v>216000</v>
      </c>
      <c r="I446" s="13">
        <f>SUM(I445,I442,I440)</f>
        <v>193758</v>
      </c>
      <c r="J446" s="13">
        <f>SUM(J445,J442,J440)</f>
        <v>20000</v>
      </c>
      <c r="K446" s="13">
        <f>SUM(K445,K442,K440)</f>
        <v>0</v>
      </c>
      <c r="L446" s="13">
        <f>SUM(L445,L442,L440)</f>
        <v>0</v>
      </c>
      <c r="M446" s="13">
        <f t="shared" si="73"/>
        <v>213758</v>
      </c>
      <c r="N446" s="124">
        <f aca="true" t="shared" si="76" ref="N446:N453">M446/H446</f>
        <v>0.9896203703703703</v>
      </c>
    </row>
    <row r="447" spans="1:14" s="18" customFormat="1" ht="19.5" customHeight="1">
      <c r="A447" s="45" t="s">
        <v>147</v>
      </c>
      <c r="B447" s="142" t="s">
        <v>187</v>
      </c>
      <c r="C447" s="51" t="s">
        <v>218</v>
      </c>
      <c r="D447" s="9">
        <v>100000</v>
      </c>
      <c r="E447" s="9"/>
      <c r="F447" s="9"/>
      <c r="G447" s="9"/>
      <c r="H447" s="9">
        <f t="shared" si="75"/>
        <v>100000</v>
      </c>
      <c r="I447" s="9">
        <v>97828</v>
      </c>
      <c r="J447" s="9"/>
      <c r="K447" s="9"/>
      <c r="L447" s="9"/>
      <c r="M447" s="9">
        <f t="shared" si="73"/>
        <v>97828</v>
      </c>
      <c r="N447" s="10">
        <f t="shared" si="76"/>
        <v>0.97828</v>
      </c>
    </row>
    <row r="448" spans="1:14" ht="9.75" customHeight="1" hidden="1">
      <c r="A448" s="41"/>
      <c r="B448" s="143"/>
      <c r="C448" s="51" t="s">
        <v>219</v>
      </c>
      <c r="D448" s="9"/>
      <c r="E448" s="9"/>
      <c r="F448" s="9"/>
      <c r="G448" s="9"/>
      <c r="H448" s="9">
        <f t="shared" si="75"/>
        <v>0</v>
      </c>
      <c r="I448" s="9"/>
      <c r="J448" s="9"/>
      <c r="K448" s="9"/>
      <c r="L448" s="9"/>
      <c r="M448" s="9">
        <f t="shared" si="73"/>
        <v>0</v>
      </c>
      <c r="N448" s="10" t="e">
        <f t="shared" si="76"/>
        <v>#DIV/0!</v>
      </c>
    </row>
    <row r="449" spans="1:14" ht="9.75" customHeight="1" hidden="1">
      <c r="A449" s="41"/>
      <c r="B449" s="143"/>
      <c r="C449" s="51" t="s">
        <v>221</v>
      </c>
      <c r="D449" s="9"/>
      <c r="E449" s="9"/>
      <c r="F449" s="9"/>
      <c r="G449" s="9"/>
      <c r="H449" s="9">
        <f t="shared" si="75"/>
        <v>0</v>
      </c>
      <c r="I449" s="9"/>
      <c r="J449" s="9"/>
      <c r="K449" s="9"/>
      <c r="L449" s="9"/>
      <c r="M449" s="9">
        <f t="shared" si="73"/>
        <v>0</v>
      </c>
      <c r="N449" s="10" t="e">
        <f t="shared" si="76"/>
        <v>#DIV/0!</v>
      </c>
    </row>
    <row r="450" spans="1:14" ht="29.25">
      <c r="A450" s="41"/>
      <c r="B450" s="143"/>
      <c r="C450" s="51" t="s">
        <v>340</v>
      </c>
      <c r="D450" s="9">
        <v>2500000</v>
      </c>
      <c r="E450" s="9"/>
      <c r="F450" s="9"/>
      <c r="G450" s="9"/>
      <c r="H450" s="9"/>
      <c r="I450" s="9">
        <v>2336767</v>
      </c>
      <c r="J450" s="9"/>
      <c r="K450" s="9"/>
      <c r="L450" s="9"/>
      <c r="M450" s="9">
        <f t="shared" si="73"/>
        <v>2336767</v>
      </c>
      <c r="N450" s="10"/>
    </row>
    <row r="451" spans="1:14" ht="9.75">
      <c r="A451" s="41"/>
      <c r="B451" s="52" t="s">
        <v>210</v>
      </c>
      <c r="C451" s="53"/>
      <c r="D451" s="11">
        <f>SUM(D447:D450)</f>
        <v>2600000</v>
      </c>
      <c r="E451" s="11">
        <f>SUM(E447:E450)</f>
        <v>0</v>
      </c>
      <c r="F451" s="11">
        <f>SUM(F447:F450)</f>
        <v>0</v>
      </c>
      <c r="G451" s="11">
        <f>SUM(G447:G450)</f>
        <v>0</v>
      </c>
      <c r="H451" s="11">
        <f t="shared" si="75"/>
        <v>2600000</v>
      </c>
      <c r="I451" s="11">
        <f>SUM(I447:I450)</f>
        <v>2434595</v>
      </c>
      <c r="J451" s="11">
        <f>SUM(J447:J450)</f>
        <v>0</v>
      </c>
      <c r="K451" s="11">
        <f>SUM(K447:K450)</f>
        <v>0</v>
      </c>
      <c r="L451" s="11">
        <f>SUM(L447:L450)</f>
        <v>0</v>
      </c>
      <c r="M451" s="11">
        <f t="shared" si="73"/>
        <v>2434595</v>
      </c>
      <c r="N451" s="39">
        <f t="shared" si="76"/>
        <v>0.9363826923076923</v>
      </c>
    </row>
    <row r="452" spans="1:14" ht="48.75">
      <c r="A452" s="41"/>
      <c r="B452" s="142" t="s">
        <v>151</v>
      </c>
      <c r="C452" s="51" t="s">
        <v>278</v>
      </c>
      <c r="D452" s="9">
        <v>300000</v>
      </c>
      <c r="E452" s="9"/>
      <c r="F452" s="9"/>
      <c r="G452" s="9"/>
      <c r="H452" s="9">
        <f t="shared" si="75"/>
        <v>300000</v>
      </c>
      <c r="I452" s="9">
        <v>292479</v>
      </c>
      <c r="J452" s="9"/>
      <c r="K452" s="9"/>
      <c r="L452" s="9"/>
      <c r="M452" s="9">
        <f t="shared" si="73"/>
        <v>292479</v>
      </c>
      <c r="N452" s="10">
        <f t="shared" si="76"/>
        <v>0.97493</v>
      </c>
    </row>
    <row r="453" spans="1:14" ht="19.5">
      <c r="A453" s="41"/>
      <c r="B453" s="143"/>
      <c r="C453" s="51" t="s">
        <v>222</v>
      </c>
      <c r="D453" s="9">
        <v>18000</v>
      </c>
      <c r="E453" s="9"/>
      <c r="F453" s="9"/>
      <c r="G453" s="9"/>
      <c r="H453" s="9">
        <f t="shared" si="75"/>
        <v>18000</v>
      </c>
      <c r="I453" s="9">
        <v>18100</v>
      </c>
      <c r="J453" s="9"/>
      <c r="K453" s="9"/>
      <c r="L453" s="9"/>
      <c r="M453" s="9">
        <f t="shared" si="73"/>
        <v>18100</v>
      </c>
      <c r="N453" s="10">
        <f t="shared" si="76"/>
        <v>1.0055555555555555</v>
      </c>
    </row>
    <row r="454" spans="1:14" ht="9.75">
      <c r="A454" s="41"/>
      <c r="B454" s="143"/>
      <c r="C454" s="51" t="s">
        <v>219</v>
      </c>
      <c r="D454" s="9"/>
      <c r="E454" s="9"/>
      <c r="F454" s="9"/>
      <c r="G454" s="9"/>
      <c r="H454" s="9">
        <f t="shared" si="75"/>
        <v>0</v>
      </c>
      <c r="I454" s="9">
        <v>17054</v>
      </c>
      <c r="J454" s="9"/>
      <c r="K454" s="9"/>
      <c r="L454" s="9"/>
      <c r="M454" s="9">
        <f t="shared" si="73"/>
        <v>17054</v>
      </c>
      <c r="N454" s="10"/>
    </row>
    <row r="455" spans="1:14" ht="9.75">
      <c r="A455" s="41"/>
      <c r="B455" s="143"/>
      <c r="C455" s="51" t="s">
        <v>221</v>
      </c>
      <c r="D455" s="9"/>
      <c r="E455" s="9"/>
      <c r="F455" s="9"/>
      <c r="G455" s="9"/>
      <c r="H455" s="9">
        <f t="shared" si="75"/>
        <v>0</v>
      </c>
      <c r="I455" s="9">
        <v>3718</v>
      </c>
      <c r="J455" s="9"/>
      <c r="K455" s="9"/>
      <c r="L455" s="9"/>
      <c r="M455" s="9">
        <f t="shared" si="73"/>
        <v>3718</v>
      </c>
      <c r="N455" s="10"/>
    </row>
    <row r="456" spans="1:14" ht="29.25" hidden="1">
      <c r="A456" s="41"/>
      <c r="B456" s="146"/>
      <c r="C456" s="36" t="s">
        <v>273</v>
      </c>
      <c r="D456" s="9"/>
      <c r="E456" s="9"/>
      <c r="F456" s="9"/>
      <c r="G456" s="9"/>
      <c r="H456" s="9">
        <f t="shared" si="75"/>
        <v>0</v>
      </c>
      <c r="I456" s="9"/>
      <c r="J456" s="9"/>
      <c r="K456" s="9"/>
      <c r="L456" s="9"/>
      <c r="M456" s="9">
        <f t="shared" si="73"/>
        <v>0</v>
      </c>
      <c r="N456" s="10" t="e">
        <f aca="true" t="shared" si="77" ref="N456:N464">M456/H456</f>
        <v>#DIV/0!</v>
      </c>
    </row>
    <row r="457" spans="1:14" ht="9.75">
      <c r="A457" s="41"/>
      <c r="B457" s="52" t="s">
        <v>152</v>
      </c>
      <c r="C457" s="60"/>
      <c r="D457" s="11">
        <f>SUM(D452:D456)</f>
        <v>318000</v>
      </c>
      <c r="E457" s="11">
        <f>SUM(E452:E456)</f>
        <v>0</v>
      </c>
      <c r="F457" s="11">
        <f>SUM(F452:F456)</f>
        <v>0</v>
      </c>
      <c r="G457" s="11">
        <f>SUM(G452:G456)</f>
        <v>0</v>
      </c>
      <c r="H457" s="11">
        <f t="shared" si="75"/>
        <v>318000</v>
      </c>
      <c r="I457" s="11">
        <f>SUM(I452:I456)</f>
        <v>331351</v>
      </c>
      <c r="J457" s="11">
        <f>SUM(J452:J456)</f>
        <v>0</v>
      </c>
      <c r="K457" s="11">
        <f>SUM(K452:K456)</f>
        <v>0</v>
      </c>
      <c r="L457" s="11">
        <f>SUM(L452:L456)</f>
        <v>0</v>
      </c>
      <c r="M457" s="11">
        <f t="shared" si="73"/>
        <v>331351</v>
      </c>
      <c r="N457" s="124">
        <f t="shared" si="77"/>
        <v>1.0419842767295597</v>
      </c>
    </row>
    <row r="458" spans="1:14" ht="9.75" hidden="1">
      <c r="A458" s="41"/>
      <c r="B458" s="20" t="s">
        <v>162</v>
      </c>
      <c r="C458" s="51" t="s">
        <v>221</v>
      </c>
      <c r="D458" s="9"/>
      <c r="E458" s="9"/>
      <c r="F458" s="9"/>
      <c r="G458" s="9"/>
      <c r="H458" s="9">
        <f t="shared" si="75"/>
        <v>0</v>
      </c>
      <c r="I458" s="9"/>
      <c r="J458" s="9"/>
      <c r="K458" s="9"/>
      <c r="L458" s="9"/>
      <c r="M458" s="9">
        <f t="shared" si="73"/>
        <v>0</v>
      </c>
      <c r="N458" s="10" t="e">
        <f t="shared" si="77"/>
        <v>#DIV/0!</v>
      </c>
    </row>
    <row r="459" spans="1:14" ht="9.75" hidden="1">
      <c r="A459" s="102"/>
      <c r="B459" s="52" t="s">
        <v>163</v>
      </c>
      <c r="C459" s="53"/>
      <c r="D459" s="11">
        <f>SUM(D458)</f>
        <v>0</v>
      </c>
      <c r="E459" s="11">
        <f>SUM(E458)</f>
        <v>0</v>
      </c>
      <c r="F459" s="11">
        <f>SUM(F458)</f>
        <v>0</v>
      </c>
      <c r="G459" s="11">
        <f>SUM(G458)</f>
        <v>0</v>
      </c>
      <c r="H459" s="11">
        <f t="shared" si="75"/>
        <v>0</v>
      </c>
      <c r="I459" s="11">
        <f>SUM(I458)</f>
        <v>0</v>
      </c>
      <c r="J459" s="11">
        <f>SUM(J458)</f>
        <v>0</v>
      </c>
      <c r="K459" s="11">
        <f>SUM(K458)</f>
        <v>0</v>
      </c>
      <c r="L459" s="11">
        <f>SUM(L458)</f>
        <v>0</v>
      </c>
      <c r="M459" s="11">
        <f t="shared" si="73"/>
        <v>0</v>
      </c>
      <c r="N459" s="10" t="e">
        <f t="shared" si="77"/>
        <v>#DIV/0!</v>
      </c>
    </row>
    <row r="460" spans="1:14" ht="9.75">
      <c r="A460" s="58" t="s">
        <v>148</v>
      </c>
      <c r="B460" s="55"/>
      <c r="C460" s="55"/>
      <c r="D460" s="13">
        <f>SUM(D459,D457,D451)</f>
        <v>2918000</v>
      </c>
      <c r="E460" s="13">
        <f>SUM(E459,E457,E451)</f>
        <v>0</v>
      </c>
      <c r="F460" s="13">
        <f>SUM(F459,F457,F451)</f>
        <v>0</v>
      </c>
      <c r="G460" s="13">
        <f>SUM(G459,G457,G451)</f>
        <v>0</v>
      </c>
      <c r="H460" s="13">
        <f t="shared" si="75"/>
        <v>2918000</v>
      </c>
      <c r="I460" s="13">
        <f>SUM(I459,I457,I451)</f>
        <v>2765946</v>
      </c>
      <c r="J460" s="13">
        <f>SUM(J459,J457,J451)</f>
        <v>0</v>
      </c>
      <c r="K460" s="13">
        <f>SUM(K459,K457,K451)</f>
        <v>0</v>
      </c>
      <c r="L460" s="13">
        <f>SUM(L459,L457,L451)</f>
        <v>0</v>
      </c>
      <c r="M460" s="13">
        <f t="shared" si="73"/>
        <v>2765946</v>
      </c>
      <c r="N460" s="124">
        <f t="shared" si="77"/>
        <v>0.9478910212474297</v>
      </c>
    </row>
    <row r="461" spans="1:14" ht="11.25">
      <c r="A461" s="81" t="s">
        <v>7</v>
      </c>
      <c r="B461" s="82"/>
      <c r="C461" s="82"/>
      <c r="D461" s="9">
        <f aca="true" t="shared" si="78" ref="D461:M461">SUM(D446,D460,D438,D412,D372,D345,D287,D258,D192,D168,D133,D120,D110,D79,D60,D34,D27,D14,D10,D7)</f>
        <v>365780610</v>
      </c>
      <c r="E461" s="9">
        <f t="shared" si="78"/>
        <v>107779507</v>
      </c>
      <c r="F461" s="9">
        <f t="shared" si="78"/>
        <v>28963316</v>
      </c>
      <c r="G461" s="9">
        <f t="shared" si="78"/>
        <v>12141669</v>
      </c>
      <c r="H461" s="9">
        <f t="shared" si="78"/>
        <v>514665102</v>
      </c>
      <c r="I461" s="9">
        <f t="shared" si="78"/>
        <v>362235365</v>
      </c>
      <c r="J461" s="9">
        <f t="shared" si="78"/>
        <v>107184764</v>
      </c>
      <c r="K461" s="9">
        <f t="shared" si="78"/>
        <v>28563734</v>
      </c>
      <c r="L461" s="9">
        <f t="shared" si="78"/>
        <v>12009944</v>
      </c>
      <c r="M461" s="9">
        <f t="shared" si="78"/>
        <v>509993807</v>
      </c>
      <c r="N461" s="10">
        <f t="shared" si="77"/>
        <v>0.990923622017799</v>
      </c>
    </row>
    <row r="462" spans="4:14" ht="9.75" hidden="1">
      <c r="D462" s="19">
        <f>SUM(D461:E461)</f>
        <v>473560117</v>
      </c>
      <c r="E462" s="19"/>
      <c r="F462" s="19">
        <f>SUM(F461:G461)</f>
        <v>41104985</v>
      </c>
      <c r="G462" s="19"/>
      <c r="H462" s="19">
        <v>-488290062</v>
      </c>
      <c r="I462" s="19"/>
      <c r="M462" s="19">
        <f>SUM(I461:L461)</f>
        <v>509993807</v>
      </c>
      <c r="N462" s="10">
        <f t="shared" si="77"/>
        <v>-1.044448467599572</v>
      </c>
    </row>
    <row r="463" spans="4:14" ht="9.75" hidden="1">
      <c r="D463" s="19">
        <f>D462-466238959</f>
        <v>7321158</v>
      </c>
      <c r="E463" s="19"/>
      <c r="F463" s="19"/>
      <c r="G463" s="19"/>
      <c r="H463" s="19">
        <f>SUM(H461:H462)</f>
        <v>26375040</v>
      </c>
      <c r="I463" s="19"/>
      <c r="M463" s="19">
        <f>M462-M461</f>
        <v>0</v>
      </c>
      <c r="N463" s="10">
        <f t="shared" si="77"/>
        <v>0</v>
      </c>
    </row>
    <row r="464" spans="4:14" ht="9.75" hidden="1">
      <c r="D464" s="19"/>
      <c r="E464" s="19"/>
      <c r="F464" s="19"/>
      <c r="G464" s="19"/>
      <c r="H464" s="19">
        <f>SUM(D461:G461)</f>
        <v>514665102</v>
      </c>
      <c r="I464" s="19"/>
      <c r="M464" s="19">
        <f>SUM(I461:L461)</f>
        <v>509993807</v>
      </c>
      <c r="N464" s="10">
        <f t="shared" si="77"/>
        <v>0.990923622017799</v>
      </c>
    </row>
    <row r="465" spans="4:13" ht="9.75" hidden="1">
      <c r="D465" s="19"/>
      <c r="E465" s="19"/>
      <c r="F465" s="19"/>
      <c r="G465" s="19"/>
      <c r="H465" s="19"/>
      <c r="I465" s="19">
        <v>-362235365</v>
      </c>
      <c r="M465" s="19">
        <v>-509993807</v>
      </c>
    </row>
    <row r="466" spans="4:13" ht="9.75" hidden="1">
      <c r="D466" s="19"/>
      <c r="E466" s="19"/>
      <c r="F466" s="19"/>
      <c r="G466" s="19"/>
      <c r="H466" s="19"/>
      <c r="I466" s="19">
        <f>SUM(I461:I465)</f>
        <v>0</v>
      </c>
      <c r="M466" s="19">
        <f>SUM(M464:M465)</f>
        <v>0</v>
      </c>
    </row>
    <row r="467" spans="4:13" ht="9.75" hidden="1">
      <c r="D467" s="19"/>
      <c r="E467" s="19"/>
      <c r="F467" s="19"/>
      <c r="G467" s="19"/>
      <c r="H467" s="19"/>
      <c r="I467" s="19"/>
      <c r="M467" s="19"/>
    </row>
    <row r="468" spans="4:13" ht="9.75" hidden="1">
      <c r="D468" s="19"/>
      <c r="E468" s="19"/>
      <c r="F468" s="19"/>
      <c r="G468" s="19"/>
      <c r="H468" s="19"/>
      <c r="I468" s="19"/>
      <c r="M468" s="19"/>
    </row>
    <row r="469" spans="4:13" ht="9.75" hidden="1">
      <c r="D469" s="19"/>
      <c r="E469" s="19"/>
      <c r="F469" s="19"/>
      <c r="G469" s="19"/>
      <c r="H469" s="19"/>
      <c r="I469" s="19"/>
      <c r="M469" s="19"/>
    </row>
    <row r="470" spans="4:13" ht="9.75" hidden="1">
      <c r="D470" s="19"/>
      <c r="E470" s="19"/>
      <c r="F470" s="19"/>
      <c r="G470" s="19"/>
      <c r="H470" s="19"/>
      <c r="I470" s="19"/>
      <c r="M470" s="19"/>
    </row>
    <row r="471" spans="4:13" ht="9.75" hidden="1">
      <c r="D471" s="19"/>
      <c r="E471" s="19"/>
      <c r="F471" s="19"/>
      <c r="G471" s="19"/>
      <c r="H471" s="19"/>
      <c r="I471" s="19"/>
      <c r="M471" s="19"/>
    </row>
    <row r="472" spans="4:13" ht="9.75" hidden="1">
      <c r="D472" s="19"/>
      <c r="E472" s="19"/>
      <c r="F472" s="19"/>
      <c r="G472" s="19"/>
      <c r="H472" s="19"/>
      <c r="I472" s="19"/>
      <c r="M472" s="19"/>
    </row>
    <row r="473" spans="4:13" ht="9.75" hidden="1">
      <c r="D473" s="19"/>
      <c r="E473" s="19"/>
      <c r="F473" s="19"/>
      <c r="G473" s="19"/>
      <c r="H473" s="19"/>
      <c r="I473" s="19"/>
      <c r="M473" s="19"/>
    </row>
    <row r="474" spans="8:13" ht="9.75">
      <c r="H474" s="19"/>
      <c r="I474" s="19"/>
      <c r="J474" s="19"/>
      <c r="L474" s="19"/>
      <c r="M474" s="19"/>
    </row>
    <row r="475" spans="3:13" ht="22.5">
      <c r="C475" s="84" t="s">
        <v>175</v>
      </c>
      <c r="D475" s="21" t="s">
        <v>212</v>
      </c>
      <c r="E475" s="21" t="s">
        <v>180</v>
      </c>
      <c r="F475" s="21" t="s">
        <v>176</v>
      </c>
      <c r="G475" s="19"/>
      <c r="H475" s="119"/>
      <c r="I475" s="119"/>
      <c r="M475" s="19"/>
    </row>
    <row r="476" spans="3:9" ht="12">
      <c r="C476" s="85" t="s">
        <v>177</v>
      </c>
      <c r="D476" s="22">
        <f>SUM(D477:D479)</f>
        <v>44935125</v>
      </c>
      <c r="E476" s="22">
        <f>SUM(E477:E479)</f>
        <v>44872144</v>
      </c>
      <c r="F476" s="23">
        <f>E476/D476*100</f>
        <v>99.85984015845065</v>
      </c>
      <c r="H476" s="120"/>
      <c r="I476" s="121"/>
    </row>
    <row r="477" spans="3:9" ht="11.25">
      <c r="C477" s="86" t="s">
        <v>178</v>
      </c>
      <c r="D477" s="24">
        <v>4135125</v>
      </c>
      <c r="E477" s="24">
        <v>4135125</v>
      </c>
      <c r="F477" s="25">
        <f>E477/D477*100</f>
        <v>100</v>
      </c>
      <c r="H477" s="122"/>
      <c r="I477" s="121"/>
    </row>
    <row r="478" spans="3:9" ht="11.25">
      <c r="C478" s="86" t="s">
        <v>211</v>
      </c>
      <c r="D478" s="24">
        <v>40000000</v>
      </c>
      <c r="E478" s="24">
        <v>40000000</v>
      </c>
      <c r="F478" s="25">
        <f>E478/D478*100</f>
        <v>100</v>
      </c>
      <c r="H478" s="122"/>
      <c r="I478" s="121"/>
    </row>
    <row r="479" spans="3:9" ht="11.25">
      <c r="C479" s="86" t="s">
        <v>318</v>
      </c>
      <c r="D479" s="24">
        <v>800000</v>
      </c>
      <c r="E479" s="24">
        <v>737019</v>
      </c>
      <c r="F479" s="25">
        <f>E479/D479*100</f>
        <v>92.127375</v>
      </c>
      <c r="H479" s="122"/>
      <c r="I479" s="121"/>
    </row>
    <row r="480" spans="3:9" ht="12">
      <c r="C480" s="85" t="s">
        <v>179</v>
      </c>
      <c r="D480" s="22">
        <f>SUM(H461+D476)</f>
        <v>559600227</v>
      </c>
      <c r="E480" s="22">
        <f>SUM(M461,E476)</f>
        <v>554865951</v>
      </c>
      <c r="F480" s="25">
        <f>E480/D480*100</f>
        <v>99.15398962123724</v>
      </c>
      <c r="H480" s="120"/>
      <c r="I480" s="121"/>
    </row>
  </sheetData>
  <mergeCells count="116">
    <mergeCell ref="B327:B330"/>
    <mergeCell ref="B211:B214"/>
    <mergeCell ref="B299:B301"/>
    <mergeCell ref="B255:B256"/>
    <mergeCell ref="B216:B219"/>
    <mergeCell ref="B221:B227"/>
    <mergeCell ref="B248:B253"/>
    <mergeCell ref="B288:B292"/>
    <mergeCell ref="B315:B318"/>
    <mergeCell ref="B303:B304"/>
    <mergeCell ref="A193:A257"/>
    <mergeCell ref="B193:B199"/>
    <mergeCell ref="B210:C210"/>
    <mergeCell ref="A15:A20"/>
    <mergeCell ref="B15:B17"/>
    <mergeCell ref="B138:B146"/>
    <mergeCell ref="B45:B54"/>
    <mergeCell ref="B119:C119"/>
    <mergeCell ref="B109:C109"/>
    <mergeCell ref="B86:B98"/>
    <mergeCell ref="A259:A286"/>
    <mergeCell ref="B241:B243"/>
    <mergeCell ref="B162:B163"/>
    <mergeCell ref="B165:B166"/>
    <mergeCell ref="A169:A191"/>
    <mergeCell ref="B206:B209"/>
    <mergeCell ref="B283:B285"/>
    <mergeCell ref="B229:B233"/>
    <mergeCell ref="B277:B281"/>
    <mergeCell ref="B259:B261"/>
    <mergeCell ref="A1:N1"/>
    <mergeCell ref="B84:B85"/>
    <mergeCell ref="A4:A6"/>
    <mergeCell ref="A121:A132"/>
    <mergeCell ref="A45:A59"/>
    <mergeCell ref="A11:A13"/>
    <mergeCell ref="B11:B12"/>
    <mergeCell ref="I2:M2"/>
    <mergeCell ref="D2:H2"/>
    <mergeCell ref="B19:B20"/>
    <mergeCell ref="B4:B5"/>
    <mergeCell ref="B28:B29"/>
    <mergeCell ref="B56:B58"/>
    <mergeCell ref="B76:B77"/>
    <mergeCell ref="B72:B74"/>
    <mergeCell ref="B67:B70"/>
    <mergeCell ref="B129:B131"/>
    <mergeCell ref="B294:B297"/>
    <mergeCell ref="B272:B273"/>
    <mergeCell ref="B201:B204"/>
    <mergeCell ref="B155:B160"/>
    <mergeCell ref="B263:B264"/>
    <mergeCell ref="A439:A445"/>
    <mergeCell ref="A392:A411"/>
    <mergeCell ref="B440:C440"/>
    <mergeCell ref="B429:B431"/>
    <mergeCell ref="A429:A430"/>
    <mergeCell ref="B408:B410"/>
    <mergeCell ref="B420:B421"/>
    <mergeCell ref="B417:B418"/>
    <mergeCell ref="B452:B456"/>
    <mergeCell ref="B386:B389"/>
    <mergeCell ref="B391:B395"/>
    <mergeCell ref="B443:B444"/>
    <mergeCell ref="B442:C442"/>
    <mergeCell ref="B399:B401"/>
    <mergeCell ref="B447:B450"/>
    <mergeCell ref="A22:A26"/>
    <mergeCell ref="B237:B239"/>
    <mergeCell ref="B245:B246"/>
    <mergeCell ref="A61:A75"/>
    <mergeCell ref="A35:A42"/>
    <mergeCell ref="B35:B42"/>
    <mergeCell ref="B22:B25"/>
    <mergeCell ref="B121:B122"/>
    <mergeCell ref="B171:B173"/>
    <mergeCell ref="B124:B127"/>
    <mergeCell ref="A288:A300"/>
    <mergeCell ref="A303:A306"/>
    <mergeCell ref="A76:A77"/>
    <mergeCell ref="B80:B82"/>
    <mergeCell ref="B107:B108"/>
    <mergeCell ref="A80:A108"/>
    <mergeCell ref="B117:C117"/>
    <mergeCell ref="B134:B135"/>
    <mergeCell ref="A111:A118"/>
    <mergeCell ref="B186:B188"/>
    <mergeCell ref="A315:A318"/>
    <mergeCell ref="B310:C310"/>
    <mergeCell ref="B323:B325"/>
    <mergeCell ref="A323:A325"/>
    <mergeCell ref="A307:A310"/>
    <mergeCell ref="B311:B313"/>
    <mergeCell ref="A311:A313"/>
    <mergeCell ref="B320:B321"/>
    <mergeCell ref="B306:B309"/>
    <mergeCell ref="A327:A329"/>
    <mergeCell ref="A332:A334"/>
    <mergeCell ref="B334:B337"/>
    <mergeCell ref="A346:A350"/>
    <mergeCell ref="B346:B348"/>
    <mergeCell ref="B350:B352"/>
    <mergeCell ref="A351:A353"/>
    <mergeCell ref="A335:A338"/>
    <mergeCell ref="A339:A343"/>
    <mergeCell ref="B339:B343"/>
    <mergeCell ref="B354:B360"/>
    <mergeCell ref="B425:B426"/>
    <mergeCell ref="A425:A426"/>
    <mergeCell ref="A375:A391"/>
    <mergeCell ref="B365:B368"/>
    <mergeCell ref="A365:A369"/>
    <mergeCell ref="B375:B379"/>
    <mergeCell ref="B381:B384"/>
    <mergeCell ref="B362:B363"/>
    <mergeCell ref="A362:A364"/>
  </mergeCells>
  <printOptions/>
  <pageMargins left="0.44" right="0.14" top="0.61" bottom="0.45" header="0.48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Radkiewicz</dc:creator>
  <cp:keywords/>
  <dc:description/>
  <cp:lastModifiedBy>jsa</cp:lastModifiedBy>
  <cp:lastPrinted>2005-03-08T09:53:02Z</cp:lastPrinted>
  <dcterms:created xsi:type="dcterms:W3CDTF">2001-04-03T07:57:11Z</dcterms:created>
  <dcterms:modified xsi:type="dcterms:W3CDTF">2005-03-08T10:01:29Z</dcterms:modified>
  <cp:category/>
  <cp:version/>
  <cp:contentType/>
  <cp:contentStatus/>
</cp:coreProperties>
</file>