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0"/>
  </bookViews>
  <sheets>
    <sheet name="źródła 2006 z przewidyw.wyk" sheetId="1" r:id="rId1"/>
  </sheets>
  <definedNames>
    <definedName name="_xlnm.Print_Titles" localSheetId="0">'źródła 2006 z przewidyw.wyk'!$2:$3</definedName>
  </definedNames>
  <calcPr fullCalcOnLoad="1"/>
</workbook>
</file>

<file path=xl/sharedStrings.xml><?xml version="1.0" encoding="utf-8"?>
<sst xmlns="http://schemas.openxmlformats.org/spreadsheetml/2006/main" count="172" uniqueCount="159">
  <si>
    <t>Lp.</t>
  </si>
  <si>
    <t>Treść</t>
  </si>
  <si>
    <t>Przewidywane wykonanie na 2005r.</t>
  </si>
  <si>
    <t>Gmina</t>
  </si>
  <si>
    <t>Powiat</t>
  </si>
  <si>
    <t>Razem</t>
  </si>
  <si>
    <t>DOCHODY OGÓŁEM</t>
  </si>
  <si>
    <t>Podatki i opłaty pobierane przez gminę</t>
  </si>
  <si>
    <t xml:space="preserve">podatek od nieruchomości </t>
  </si>
  <si>
    <t xml:space="preserve">podatek od środków transportowych </t>
  </si>
  <si>
    <t>opłata skarbowa</t>
  </si>
  <si>
    <t>opłaty lokalne</t>
  </si>
  <si>
    <t>pozostałe</t>
  </si>
  <si>
    <t>podatek rolny</t>
  </si>
  <si>
    <t xml:space="preserve">podatek leśny </t>
  </si>
  <si>
    <t>zaległości z podatków zniesionych</t>
  </si>
  <si>
    <t xml:space="preserve">opłata administracyjna </t>
  </si>
  <si>
    <t>podatek od posiadania psów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</si>
  <si>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</si>
  <si>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</si>
  <si>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</si>
  <si>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</si>
  <si>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</si>
  <si>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</si>
  <si>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 xml:space="preserve">Dochody z majątku 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</si>
  <si>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</si>
  <si>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</si>
  <si>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</si>
  <si>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</si>
  <si>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</si>
  <si>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</si>
  <si>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</si>
  <si>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</si>
  <si>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>dochody z najmu lokali mieszkalnych i pomieszczeń w szkołach i placówkach oświatowych</t>
  </si>
  <si>
    <t xml:space="preserve">Inne dochody własne </t>
  </si>
  <si>
    <t>opłaty administracyjne za miejsca na cmentarzach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</si>
  <si>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</si>
  <si>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</si>
  <si>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</si>
  <si>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</si>
  <si>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</si>
  <si>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</si>
  <si>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</si>
  <si>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</si>
  <si>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</si>
  <si>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tablice rejestracyjne, prawa jazdy, świadectwa kwal.itp.</t>
  </si>
  <si>
    <t>opłaty za usuwanie pojazdów z pasa drogowego</t>
  </si>
  <si>
    <t>środki z opłat za zajęcie pasa drogowego, umieszczanie reklam i stoisk w pasie drogowym i in.</t>
  </si>
  <si>
    <t>odsetki od środków na rachunkach bankowych</t>
  </si>
  <si>
    <t>wpływy z opłat za korzystanie z lodowiska</t>
  </si>
  <si>
    <t>pozostałe dochody</t>
  </si>
  <si>
    <t>grzywny i kary - Straż Miejska</t>
  </si>
  <si>
    <t>wpływy z opłat za pobyt dzieci w placówkach opiekuńczo - wychowawczych</t>
  </si>
  <si>
    <t>zwrot kosztów wyceny i kosztów postępowania sądowego</t>
  </si>
  <si>
    <t>otrzymane darowizny</t>
  </si>
  <si>
    <t>wpływy ze środków specjalnych</t>
  </si>
  <si>
    <t>różne dochody jednostek organizacyjnych miasta</t>
  </si>
  <si>
    <t>rozliczenia z lat ubiegłych</t>
  </si>
  <si>
    <t>Dotacje z jednostek samorządu terytorialnego na realizację zadań na podstawie porozumień</t>
  </si>
  <si>
    <t xml:space="preserve">zadania oświatowe </t>
  </si>
  <si>
    <t>Miejski Rzecznik Konsumentów</t>
  </si>
  <si>
    <t>obsługa mieszkańców Sopotu przez Powiatowy Urząd Pracy w Gdyni</t>
  </si>
  <si>
    <t xml:space="preserve">rodziny zastępcze </t>
  </si>
  <si>
    <t>środki dla Powiatowego Zespołu ds.. Orzekania o Niepełnosprawności zgodnie z zawartym porozumieniem pomiędzy Miastem Gdynia, a Mastem Sopot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</si>
  <si>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</si>
  <si>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</si>
  <si>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</si>
  <si>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z WFOŚ na projekt "Urząd przyjazny środowisku"</t>
  </si>
  <si>
    <t>realizacja zadania inwestycyjnego "Rozbudowa poddasza w budynku Zespołu Opiekuńczego"</t>
  </si>
  <si>
    <t>z WFOŚ na wyposażenie laboratoriów badawczych w Pomorskim Parku Naukowo - Technologicznym</t>
  </si>
  <si>
    <t>schronisko dla zwierząt</t>
  </si>
  <si>
    <t>środki z PEFRON-u - rekompensata utraconych dochodów z tytułu zwolnień w podatkach</t>
  </si>
  <si>
    <t>wpłaty przychodni lekarskich na współfinansowanie realizacji inwestycji</t>
  </si>
  <si>
    <t>środki na rozbudowę ul. J.Wiśniewskiego (porozumienie z Zarządem Morskiego Portu Gdynia S.A.)</t>
  </si>
  <si>
    <t>wkład beneficjentów w realizację zadania: rozwój turystyki w rejonie Zatoki Gdańskiej</t>
  </si>
  <si>
    <t xml:space="preserve"> lokalne inicjatywy inwestycyjne</t>
  </si>
  <si>
    <t>dotacja z funduszu rozwoju kultury fizycznej na dofinansowanie budowy hali widowiskowo - sportowej</t>
  </si>
  <si>
    <t>Środki z UE na dofinansowanie zadań własnych</t>
  </si>
  <si>
    <t>środki na rozbudowę ul. J.Wiśniewskiego</t>
  </si>
  <si>
    <t>środki na realizację zadania: rozwój turystyki w rejonie Zatoki Gdańskiej współfinansowanego ze środków funduszu PHARE</t>
  </si>
  <si>
    <t>środki z wkładu UE na realizację projektu SEBTrans - Link - nowoczesny Terminal Promowy w Porcie Wschodnim w Gdyni</t>
  </si>
  <si>
    <t>środki na budowę Trasy Kwiatkowskigo</t>
  </si>
  <si>
    <t>środki na dofinansowanie projektów: ABC Alians Miast Bałtyckich, "Młodzież - Lepszy start", projekt "Fundusz stypendialny dla uczniów gdyńskich szkół ponadgimnazjalnych, "Otwarta platforma usług Urzedu udostępnionych drogą Telefonii Komórkowej"</t>
  </si>
  <si>
    <t>środki na realizację zadania "Promocja zatrudnienia i rozwój zasobów ludzkich województwa pomorskiego"</t>
  </si>
  <si>
    <t>środki na dofinansowanie projektu SOCRATES COMENIUS</t>
  </si>
  <si>
    <t>środki na dofinansowanie projektu "Pomorski Park Naukowo - Technologiczny"</t>
  </si>
  <si>
    <t>Udziały we wpływach z podatków dochodowych</t>
  </si>
  <si>
    <t xml:space="preserve">udziały w podatku dochodowym od osób fizycznych </t>
  </si>
  <si>
    <t xml:space="preserve"> udziały w podatku dochodowym od osób prawnych</t>
  </si>
  <si>
    <t>II.  SUBWENCJA OGÓLNA</t>
  </si>
  <si>
    <t>część oświatowa</t>
  </si>
  <si>
    <t xml:space="preserve">uzupełnienie subwencji ogólnej </t>
  </si>
  <si>
    <t xml:space="preserve">część rekompensująca </t>
  </si>
  <si>
    <t>część równoważąca</t>
  </si>
  <si>
    <t>III.  DOTACJE CELOWE Z BUDŻETU PAŃSTWA</t>
  </si>
  <si>
    <t>NA ZADANIA ZLECONE</t>
  </si>
  <si>
    <t>Inspektorat Nadzoru Budowlanego</t>
  </si>
  <si>
    <t>Inspektorat Nadzoru Budowlanego - zakupy inwestycyjne</t>
  </si>
  <si>
    <t>Komenda Powiatowa Państwowej Straży Pożarnej (na zadania bieżące i inwestycyjne)</t>
  </si>
  <si>
    <t>oświetlenie ulic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</si>
  <si>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</si>
  <si>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</si>
  <si>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</si>
  <si>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</si>
  <si>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</si>
  <si>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>świadczenia rodzinne (zakupy inwestycyjne)</t>
  </si>
  <si>
    <t>zasiłki rodzinne, pielęgn.i wychow.</t>
  </si>
  <si>
    <t xml:space="preserve"> ośrodki pomocy społecznej</t>
  </si>
  <si>
    <t xml:space="preserve"> usługi opiekuńcze</t>
  </si>
  <si>
    <t>pomoc dla repatriantów</t>
  </si>
  <si>
    <t>zespół ds. orzekania o stopniu niepełnosprawn.</t>
  </si>
  <si>
    <t xml:space="preserve"> wyprawki szkolne</t>
  </si>
  <si>
    <t xml:space="preserve">składki na ubezpieczenia zdrowotne </t>
  </si>
  <si>
    <t>administracja państwowa</t>
  </si>
  <si>
    <t>wybory do Parlamentu Europejskiego</t>
  </si>
  <si>
    <t>wybory do Sejmu i Senatu</t>
  </si>
  <si>
    <t>wybory Prezydenta Rzeczypospolitej Polskiej</t>
  </si>
  <si>
    <t>rejestr wyborców</t>
  </si>
  <si>
    <t>funkcjonowanie Centrum Ratownictwa Medycznego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</si>
  <si>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</si>
  <si>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</si>
  <si>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</si>
  <si>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</si>
  <si>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</si>
  <si>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zadania z zakresu oświaty</t>
  </si>
  <si>
    <t>zakup książek do biblioteki</t>
  </si>
  <si>
    <t>dotacja dla Teatru Miejskiego</t>
  </si>
  <si>
    <t>utrzymanie grobów wojennych</t>
  </si>
  <si>
    <t>NA FINANSOWANIE LUB DOFINANSOWANIE ZADAŃ WŁASNYCH</t>
  </si>
  <si>
    <t>pomoc materialna dla uczniów</t>
  </si>
  <si>
    <t>uczniowskie praktyki zawodowe</t>
  </si>
  <si>
    <t>stypendia oraz inne formy pomocy pomocy dla uczniów</t>
  </si>
  <si>
    <t>budowa Muzeum miasta Gdyni</t>
  </si>
  <si>
    <t>komisje kwalifikacyjne i egzaminacyjne</t>
  </si>
  <si>
    <t>zadania z zakresu opieki społecznej:</t>
  </si>
  <si>
    <t>dożywianie uczniów</t>
  </si>
  <si>
    <t>program "Posiłek dla potrzebujących"</t>
  </si>
  <si>
    <t>DPS Legionów</t>
  </si>
  <si>
    <t>opieka w domach o zasięgu ponadgminnym</t>
  </si>
  <si>
    <t>zasiłki i pomoc w naturze</t>
  </si>
  <si>
    <t>ośrodki pomocy społecznej</t>
  </si>
  <si>
    <t>PRZYCHODY, w tym:</t>
  </si>
  <si>
    <t>wolne środki</t>
  </si>
  <si>
    <t xml:space="preserve">kredyt </t>
  </si>
  <si>
    <t>pożyczka z WFOŚ</t>
  </si>
  <si>
    <t>pożyczka na prefinansowanie</t>
  </si>
  <si>
    <t xml:space="preserve">RAZEM DOCHODY I PRZYCHODY 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</si>
  <si>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</si>
  <si>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Plan na 2005r wg stanu na 31-12-2005</t>
  </si>
  <si>
    <t>Centrum Powiadamiania Ratunkowego</t>
  </si>
  <si>
    <t>ośrodki interwencji kryzysowej</t>
  </si>
  <si>
    <t>wpłata właściciela na wykonanie remontu budynku prywatnoczynszowego przy ul. Reja 5, dofinansowanego z budżetu gminy</t>
  </si>
  <si>
    <t>środki na realizację zadania " Niepełnosprawny pracownik na rynku pracy"</t>
  </si>
  <si>
    <t>z Funduszu Pracy na finansowanie wynagrodzeń i składek na ubezpieczenie pracowników Powiatowego Urzędu Pracy</t>
  </si>
  <si>
    <t>środki na dofinansowanie projektów: "Tellus", " Otwarta platforma usług Urzędu udostępnianych drogą telefonii komórkowej"</t>
  </si>
  <si>
    <t xml:space="preserve">wkład krajowy na realizację projektu "Młodzież - lepszy start" </t>
  </si>
  <si>
    <t xml:space="preserve">Dochody budżetu miasta Gdyni na 2006 rok wg źródeł                                </t>
  </si>
  <si>
    <t>Plan na 2006 rok</t>
  </si>
  <si>
    <t>dynamika w % (kol. 11:8)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</si>
</sst>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</numFmts>
  <fonts count="18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name val="MS Sans Serif"/>
      <family val="2"/>
    </font>
    <font>
      <i/>
      <sz val="8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19" applyNumberFormat="1" applyFont="1" applyFill="1" applyAlignment="1">
      <alignment horizontal="center" vertical="center"/>
      <protection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>
      <alignment/>
      <protection/>
    </xf>
    <xf numFmtId="164" fontId="6" fillId="0" borderId="2" xfId="19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 wrapText="1"/>
      <protection/>
    </xf>
    <xf numFmtId="4" fontId="8" fillId="0" borderId="0" xfId="19" applyNumberFormat="1" applyFont="1" applyFill="1">
      <alignment/>
      <protection/>
    </xf>
    <xf numFmtId="3" fontId="7" fillId="0" borderId="3" xfId="19" applyNumberFormat="1" applyFont="1" applyFill="1" applyBorder="1" applyAlignment="1">
      <alignment horizontal="right" vertical="center" wrapText="1"/>
      <protection/>
    </xf>
    <xf numFmtId="164" fontId="6" fillId="0" borderId="1" xfId="19" applyNumberFormat="1" applyFont="1" applyFill="1" applyBorder="1" applyAlignment="1">
      <alignment horizontal="center" vertical="center" wrapText="1"/>
      <protection/>
    </xf>
    <xf numFmtId="3" fontId="11" fillId="0" borderId="0" xfId="19" applyNumberFormat="1" applyFont="1" applyFill="1" applyAlignment="1">
      <alignment horizontal="center" vertical="center" wrapText="1"/>
      <protection/>
    </xf>
    <xf numFmtId="3" fontId="12" fillId="0" borderId="3" xfId="19" applyNumberFormat="1" applyFont="1" applyFill="1" applyBorder="1" applyAlignment="1">
      <alignment vertical="center"/>
      <protection/>
    </xf>
    <xf numFmtId="4" fontId="6" fillId="0" borderId="0" xfId="19" applyNumberFormat="1" applyFont="1" applyFill="1" applyAlignment="1">
      <alignment vertical="center"/>
      <protection/>
    </xf>
    <xf numFmtId="3" fontId="7" fillId="0" borderId="1" xfId="19" applyNumberFormat="1" applyFont="1" applyFill="1" applyBorder="1" applyAlignment="1">
      <alignment vertical="center"/>
      <protection/>
    </xf>
    <xf numFmtId="4" fontId="10" fillId="0" borderId="0" xfId="19" applyNumberFormat="1" applyFont="1" applyFill="1" applyAlignment="1">
      <alignment vertical="center"/>
      <protection/>
    </xf>
    <xf numFmtId="4" fontId="11" fillId="0" borderId="0" xfId="19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vertical="center" wrapText="1"/>
      <protection/>
    </xf>
    <xf numFmtId="0" fontId="8" fillId="0" borderId="1" xfId="18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14" fillId="0" borderId="1" xfId="19" applyNumberFormat="1" applyFont="1" applyFill="1" applyBorder="1" applyAlignment="1">
      <alignment horizontal="right" vertical="center" wrapText="1"/>
      <protection/>
    </xf>
    <xf numFmtId="3" fontId="8" fillId="0" borderId="1" xfId="19" applyNumberFormat="1" applyFont="1" applyFill="1" applyBorder="1" applyAlignment="1">
      <alignment horizontal="right" vertical="center" wrapText="1"/>
      <protection/>
    </xf>
    <xf numFmtId="164" fontId="14" fillId="0" borderId="2" xfId="19" applyNumberFormat="1" applyFont="1" applyFill="1" applyBorder="1" applyAlignment="1">
      <alignment horizontal="center" vertical="center" wrapText="1"/>
      <protection/>
    </xf>
    <xf numFmtId="0" fontId="8" fillId="0" borderId="0" xfId="18" applyFont="1" applyFill="1">
      <alignment/>
      <protection/>
    </xf>
    <xf numFmtId="0" fontId="8" fillId="0" borderId="1" xfId="18" applyFont="1" applyFill="1" applyBorder="1" applyAlignment="1">
      <alignment horizontal="left" vertical="center" wrapText="1"/>
      <protection/>
    </xf>
    <xf numFmtId="0" fontId="8" fillId="0" borderId="0" xfId="18" applyFont="1" applyFill="1" applyAlignment="1">
      <alignment vertical="center"/>
      <protection/>
    </xf>
    <xf numFmtId="4" fontId="8" fillId="0" borderId="1" xfId="19" applyNumberFormat="1" applyFont="1" applyFill="1" applyBorder="1" applyAlignment="1">
      <alignment vertical="center" wrapText="1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4" fontId="7" fillId="0" borderId="1" xfId="19" applyNumberFormat="1" applyFont="1" applyFill="1" applyBorder="1" applyAlignment="1">
      <alignment horizontal="left" vertical="center" wrapText="1"/>
      <protection/>
    </xf>
    <xf numFmtId="3" fontId="15" fillId="0" borderId="1" xfId="19" applyNumberFormat="1" applyFont="1" applyFill="1" applyBorder="1" applyAlignment="1">
      <alignment vertical="center"/>
      <protection/>
    </xf>
    <xf numFmtId="4" fontId="7" fillId="0" borderId="1" xfId="19" applyNumberFormat="1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4" fontId="14" fillId="0" borderId="0" xfId="19" applyNumberFormat="1" applyFont="1" applyFill="1">
      <alignment/>
      <protection/>
    </xf>
    <xf numFmtId="0" fontId="16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0" fontId="16" fillId="0" borderId="1" xfId="18" applyFont="1" applyFill="1" applyBorder="1" applyAlignment="1">
      <alignment horizontal="left" vertical="center" wrapText="1"/>
      <protection/>
    </xf>
    <xf numFmtId="4" fontId="14" fillId="0" borderId="0" xfId="19" applyNumberFormat="1" applyFont="1" applyFill="1" applyAlignment="1">
      <alignment vertical="center"/>
      <protection/>
    </xf>
    <xf numFmtId="3" fontId="12" fillId="0" borderId="1" xfId="19" applyNumberFormat="1" applyFont="1" applyFill="1" applyBorder="1" applyAlignment="1">
      <alignment vertical="center"/>
      <protection/>
    </xf>
    <xf numFmtId="3" fontId="12" fillId="0" borderId="1" xfId="19" applyNumberFormat="1" applyFont="1" applyFill="1" applyBorder="1" applyAlignment="1">
      <alignment horizontal="right" vertical="center" wrapText="1"/>
      <protection/>
    </xf>
    <xf numFmtId="4" fontId="8" fillId="0" borderId="0" xfId="19" applyNumberFormat="1" applyFont="1" applyFill="1" applyAlignment="1">
      <alignment vertical="center"/>
      <protection/>
    </xf>
    <xf numFmtId="3" fontId="7" fillId="0" borderId="1" xfId="19" applyNumberFormat="1" applyFont="1" applyFill="1" applyBorder="1" applyAlignment="1">
      <alignment horizontal="left" vertical="center" wrapText="1"/>
      <protection/>
    </xf>
    <xf numFmtId="3" fontId="6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8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8" applyNumberFormat="1" applyFont="1" applyFill="1" applyBorder="1" applyAlignment="1">
      <alignment vertical="center"/>
      <protection/>
    </xf>
    <xf numFmtId="0" fontId="8" fillId="0" borderId="1" xfId="18" applyFont="1" applyFill="1" applyBorder="1" applyAlignment="1">
      <alignment horizontal="right" vertical="center" wrapText="1"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3" fontId="12" fillId="0" borderId="1" xfId="19" applyNumberFormat="1" applyFont="1" applyFill="1" applyBorder="1" applyAlignment="1">
      <alignment horizontal="right" vertical="center"/>
      <protection/>
    </xf>
    <xf numFmtId="4" fontId="0" fillId="0" borderId="1" xfId="19" applyNumberFormat="1" applyFont="1" applyFill="1" applyBorder="1" applyAlignment="1">
      <alignment vertical="center"/>
      <protection/>
    </xf>
    <xf numFmtId="3" fontId="15" fillId="0" borderId="1" xfId="19" applyNumberFormat="1" applyFont="1" applyFill="1" applyBorder="1" applyAlignment="1">
      <alignment horizontal="left" vertical="center" wrapText="1"/>
      <protection/>
    </xf>
    <xf numFmtId="3" fontId="14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 wrapText="1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center" vertical="center"/>
      <protection/>
    </xf>
    <xf numFmtId="1" fontId="8" fillId="0" borderId="1" xfId="19" applyNumberFormat="1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14" fillId="0" borderId="1" xfId="19" applyNumberFormat="1" applyFont="1" applyFill="1" applyBorder="1" applyAlignment="1">
      <alignment horizontal="center" vertical="center"/>
      <protection/>
    </xf>
    <xf numFmtId="3" fontId="7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3" fontId="14" fillId="0" borderId="1" xfId="19" applyNumberFormat="1" applyFont="1" applyFill="1" applyBorder="1" applyAlignment="1">
      <alignment horizontal="center" vertical="center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4" fontId="9" fillId="0" borderId="1" xfId="19" applyNumberFormat="1" applyFont="1" applyFill="1" applyBorder="1" applyAlignment="1">
      <alignment horizontal="center" vertical="center" wrapText="1"/>
      <protection/>
    </xf>
    <xf numFmtId="4" fontId="13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1" fontId="13" fillId="0" borderId="1" xfId="19" applyNumberFormat="1" applyFont="1" applyFill="1" applyBorder="1" applyAlignment="1">
      <alignment horizontal="left" vertical="center" wrapText="1"/>
      <protection/>
    </xf>
    <xf numFmtId="4" fontId="5" fillId="0" borderId="0" xfId="19" applyNumberFormat="1" applyFont="1" applyFill="1" applyBorder="1" applyAlignment="1">
      <alignment horizontal="center" vertical="center" wrapText="1"/>
      <protection/>
    </xf>
    <xf numFmtId="1" fontId="0" fillId="0" borderId="1" xfId="19" applyNumberFormat="1" applyFont="1" applyFill="1" applyBorder="1" applyAlignment="1">
      <alignment horizontal="center" vertical="center" wrapText="1"/>
      <protection/>
    </xf>
    <xf numFmtId="4" fontId="6" fillId="0" borderId="1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7" fillId="0" borderId="4" xfId="19" applyNumberFormat="1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 wrapText="1"/>
      <protection/>
    </xf>
    <xf numFmtId="1" fontId="7" fillId="0" borderId="3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141">
      <selection activeCell="G159" sqref="G159"/>
    </sheetView>
  </sheetViews>
  <sheetFormatPr defaultColWidth="9.140625" defaultRowHeight="12"/>
  <cols>
    <col min="1" max="1" width="7.140625" style="1" customWidth="1"/>
    <col min="2" max="2" width="45.140625" style="66" customWidth="1"/>
    <col min="3" max="3" width="4.421875" style="4" hidden="1" customWidth="1"/>
    <col min="4" max="4" width="14.8515625" style="4" hidden="1" customWidth="1"/>
    <col min="5" max="5" width="14.00390625" style="4" hidden="1" customWidth="1"/>
    <col min="6" max="6" width="19.421875" style="4" customWidth="1"/>
    <col min="7" max="7" width="19.8515625" style="2" customWidth="1"/>
    <col min="8" max="8" width="19.00390625" style="2" customWidth="1"/>
    <col min="9" max="9" width="17.00390625" style="2" customWidth="1"/>
    <col min="10" max="10" width="15.8515625" style="2" customWidth="1"/>
    <col min="11" max="11" width="18.7109375" style="2" customWidth="1"/>
    <col min="12" max="12" width="13.00390625" style="2" customWidth="1"/>
    <col min="13" max="16384" width="9.28125" style="3" customWidth="1"/>
  </cols>
  <sheetData>
    <row r="1" spans="1:12" s="4" customFormat="1" ht="29.25" customHeight="1">
      <c r="A1" s="83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6" customFormat="1" ht="29.25" customHeight="1">
      <c r="A2" s="84" t="s">
        <v>0</v>
      </c>
      <c r="B2" s="85" t="s">
        <v>1</v>
      </c>
      <c r="C2" s="86" t="s">
        <v>148</v>
      </c>
      <c r="D2" s="86"/>
      <c r="E2" s="86"/>
      <c r="F2" s="86" t="s">
        <v>2</v>
      </c>
      <c r="G2" s="86"/>
      <c r="H2" s="86"/>
      <c r="I2" s="87" t="s">
        <v>157</v>
      </c>
      <c r="J2" s="88"/>
      <c r="K2" s="88"/>
      <c r="L2" s="89"/>
    </row>
    <row r="3" spans="1:12" s="6" customFormat="1" ht="32.25" customHeight="1">
      <c r="A3" s="84"/>
      <c r="B3" s="85"/>
      <c r="C3" s="5" t="s">
        <v>3</v>
      </c>
      <c r="D3" s="5" t="s">
        <v>4</v>
      </c>
      <c r="E3" s="5" t="s">
        <v>5</v>
      </c>
      <c r="F3" s="5" t="s">
        <v>3</v>
      </c>
      <c r="G3" s="5" t="s">
        <v>4</v>
      </c>
      <c r="H3" s="5" t="s">
        <v>5</v>
      </c>
      <c r="I3" s="5" t="s">
        <v>3</v>
      </c>
      <c r="J3" s="5" t="s">
        <v>4</v>
      </c>
      <c r="K3" s="5" t="s">
        <v>5</v>
      </c>
      <c r="L3" s="5" t="s">
        <v>158</v>
      </c>
    </row>
    <row r="4" spans="1:12" s="11" customFormat="1" ht="12.75" customHeight="1">
      <c r="A4" s="67">
        <v>1</v>
      </c>
      <c r="B4" s="36">
        <v>2</v>
      </c>
      <c r="C4" s="8">
        <v>3</v>
      </c>
      <c r="D4" s="9">
        <v>4</v>
      </c>
      <c r="E4" s="10">
        <v>5</v>
      </c>
      <c r="F4" s="8">
        <v>6</v>
      </c>
      <c r="G4" s="9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</row>
    <row r="5" spans="1:12" s="14" customFormat="1" ht="16.5" customHeight="1">
      <c r="A5" s="79" t="s">
        <v>6</v>
      </c>
      <c r="B5" s="79"/>
      <c r="C5" s="40">
        <f>SUM(C6,C98,C103)</f>
        <v>522096669</v>
      </c>
      <c r="D5" s="40">
        <f>SUM(D6,D98,D103)</f>
        <v>168864941</v>
      </c>
      <c r="E5" s="40">
        <f>SUM(E6,E98,E103,)</f>
        <v>690961610</v>
      </c>
      <c r="F5" s="40">
        <f>SUM(F6,F98,F103)</f>
        <v>527057764</v>
      </c>
      <c r="G5" s="40">
        <f>SUM(G6,G98,G103)</f>
        <v>153278199</v>
      </c>
      <c r="H5" s="40">
        <f>SUM(H6,H98,H103,)</f>
        <v>680335963</v>
      </c>
      <c r="I5" s="12">
        <f>SUM(I6,I98,I103)</f>
        <v>545894622</v>
      </c>
      <c r="J5" s="12">
        <f>SUM(J6,J98,J103)</f>
        <v>213021115</v>
      </c>
      <c r="K5" s="12">
        <f>SUM(I5:J5)</f>
        <v>758915737</v>
      </c>
      <c r="L5" s="7">
        <f aca="true" t="shared" si="0" ref="L5:L28">K5/H5</f>
        <v>1.1155014261681768</v>
      </c>
    </row>
    <row r="6" spans="1:12" s="16" customFormat="1" ht="18" customHeight="1">
      <c r="A6" s="80" t="s">
        <v>147</v>
      </c>
      <c r="B6" s="81"/>
      <c r="C6" s="50">
        <f>SUM(C7,C19,C24,C35,C60,C69,C84,C95)</f>
        <v>412662692</v>
      </c>
      <c r="D6" s="50">
        <f>SUM(D7,D19,D24,D35,D60,D69,D84,D95)</f>
        <v>86157525</v>
      </c>
      <c r="E6" s="50">
        <f>SUM(C6:D6)</f>
        <v>498820217</v>
      </c>
      <c r="F6" s="50">
        <f>SUM(F7,F19,F24,F35,F69,F84,F60,F95)</f>
        <v>417623787</v>
      </c>
      <c r="G6" s="50">
        <f>SUM(G7,G19,G24,G35,G69,G84,G60,G95)</f>
        <v>70570783</v>
      </c>
      <c r="H6" s="50">
        <f>SUM(F6:G6)</f>
        <v>488194570</v>
      </c>
      <c r="I6" s="15">
        <f>SUM(I7,I19,I24,I35,I69,I84,I60,I95)</f>
        <v>428697858</v>
      </c>
      <c r="J6" s="15">
        <f>SUM(J7,J19,J24,J35,J69,J84,J60,J95)</f>
        <v>135818210</v>
      </c>
      <c r="K6" s="15">
        <f>SUM(I6:J6)</f>
        <v>564516068</v>
      </c>
      <c r="L6" s="7">
        <f t="shared" si="0"/>
        <v>1.156334180447767</v>
      </c>
    </row>
    <row r="7" spans="1:12" s="19" customFormat="1" ht="12">
      <c r="A7" s="36">
        <v>1</v>
      </c>
      <c r="B7" s="39" t="s">
        <v>7</v>
      </c>
      <c r="C7" s="17">
        <f aca="true" t="shared" si="1" ref="C7:K7">SUM(C8:C12)</f>
        <v>100037200</v>
      </c>
      <c r="D7" s="17">
        <f t="shared" si="1"/>
        <v>0</v>
      </c>
      <c r="E7" s="17">
        <f t="shared" si="1"/>
        <v>100037200</v>
      </c>
      <c r="F7" s="17">
        <f t="shared" si="1"/>
        <v>101357500</v>
      </c>
      <c r="G7" s="17">
        <f t="shared" si="1"/>
        <v>0</v>
      </c>
      <c r="H7" s="17">
        <f t="shared" si="1"/>
        <v>101357500</v>
      </c>
      <c r="I7" s="17">
        <f t="shared" si="1"/>
        <v>109715600</v>
      </c>
      <c r="J7" s="17">
        <f t="shared" si="1"/>
        <v>0</v>
      </c>
      <c r="K7" s="17">
        <f t="shared" si="1"/>
        <v>109715600</v>
      </c>
      <c r="L7" s="7">
        <f t="shared" si="0"/>
        <v>1.0824615839972376</v>
      </c>
    </row>
    <row r="8" spans="1:12" s="24" customFormat="1" ht="15" customHeight="1">
      <c r="A8" s="68"/>
      <c r="B8" s="20" t="s">
        <v>8</v>
      </c>
      <c r="C8" s="21">
        <v>87500000</v>
      </c>
      <c r="D8" s="21"/>
      <c r="E8" s="22">
        <f>SUM(C8:D8)</f>
        <v>87500000</v>
      </c>
      <c r="F8" s="21">
        <f>75600000+12500000</f>
        <v>88100000</v>
      </c>
      <c r="G8" s="21"/>
      <c r="H8" s="22">
        <f>SUM(F8:G8)</f>
        <v>88100000</v>
      </c>
      <c r="I8" s="23">
        <f>83100000+13350000</f>
        <v>96450000</v>
      </c>
      <c r="J8" s="23">
        <v>0</v>
      </c>
      <c r="K8" s="22">
        <f aca="true" t="shared" si="2" ref="K8:K39">SUM(I8:J8)</f>
        <v>96450000</v>
      </c>
      <c r="L8" s="7">
        <f t="shared" si="0"/>
        <v>1.09477866061294</v>
      </c>
    </row>
    <row r="9" spans="1:12" s="24" customFormat="1" ht="15" customHeight="1">
      <c r="A9" s="68"/>
      <c r="B9" s="20" t="s">
        <v>9</v>
      </c>
      <c r="C9" s="21">
        <v>4500000</v>
      </c>
      <c r="D9" s="21"/>
      <c r="E9" s="22">
        <f>SUM(C9:D9)</f>
        <v>4500000</v>
      </c>
      <c r="F9" s="21">
        <f>3550000+1850000</f>
        <v>5400000</v>
      </c>
      <c r="G9" s="21"/>
      <c r="H9" s="22">
        <f>SUM(F9:G9)</f>
        <v>5400000</v>
      </c>
      <c r="I9" s="23">
        <f>2000000+3600000</f>
        <v>5600000</v>
      </c>
      <c r="J9" s="23">
        <v>0</v>
      </c>
      <c r="K9" s="22">
        <f t="shared" si="2"/>
        <v>5600000</v>
      </c>
      <c r="L9" s="7">
        <f t="shared" si="0"/>
        <v>1.037037037037037</v>
      </c>
    </row>
    <row r="10" spans="1:12" s="24" customFormat="1" ht="12" customHeight="1">
      <c r="A10" s="68"/>
      <c r="B10" s="20" t="s">
        <v>10</v>
      </c>
      <c r="C10" s="21">
        <v>4738000</v>
      </c>
      <c r="D10" s="21"/>
      <c r="E10" s="22">
        <f>SUM(C10:D10)</f>
        <v>4738000</v>
      </c>
      <c r="F10" s="21">
        <v>4738000</v>
      </c>
      <c r="G10" s="21"/>
      <c r="H10" s="22">
        <f>SUM(F10:G10)</f>
        <v>4738000</v>
      </c>
      <c r="I10" s="23">
        <v>4738000</v>
      </c>
      <c r="J10" s="23">
        <v>0</v>
      </c>
      <c r="K10" s="22">
        <f t="shared" si="2"/>
        <v>4738000</v>
      </c>
      <c r="L10" s="7">
        <f t="shared" si="0"/>
        <v>1</v>
      </c>
    </row>
    <row r="11" spans="1:12" s="24" customFormat="1" ht="12.75" customHeight="1">
      <c r="A11" s="68"/>
      <c r="B11" s="26" t="s">
        <v>11</v>
      </c>
      <c r="C11" s="21">
        <f>125200+1450000+20000</f>
        <v>1595200</v>
      </c>
      <c r="D11" s="21"/>
      <c r="E11" s="22">
        <f>SUM(C11:D11)</f>
        <v>1595200</v>
      </c>
      <c r="F11" s="21">
        <f>1200000+210000</f>
        <v>1410000</v>
      </c>
      <c r="G11" s="21"/>
      <c r="H11" s="22">
        <f>SUM(F11:G11)</f>
        <v>1410000</v>
      </c>
      <c r="I11" s="23">
        <f>1300000+220000</f>
        <v>1520000</v>
      </c>
      <c r="J11" s="23">
        <v>0</v>
      </c>
      <c r="K11" s="22">
        <f t="shared" si="2"/>
        <v>1520000</v>
      </c>
      <c r="L11" s="7">
        <f t="shared" si="0"/>
        <v>1.0780141843971631</v>
      </c>
    </row>
    <row r="12" spans="1:12" s="24" customFormat="1" ht="12" customHeight="1">
      <c r="A12" s="68"/>
      <c r="B12" s="26" t="s">
        <v>12</v>
      </c>
      <c r="C12" s="21">
        <f aca="true" t="shared" si="3" ref="C12:J12">SUM(C13:C18)</f>
        <v>1704000</v>
      </c>
      <c r="D12" s="21">
        <f t="shared" si="3"/>
        <v>0</v>
      </c>
      <c r="E12" s="22">
        <f t="shared" si="3"/>
        <v>1704000</v>
      </c>
      <c r="F12" s="21">
        <f t="shared" si="3"/>
        <v>1709500</v>
      </c>
      <c r="G12" s="21">
        <f t="shared" si="3"/>
        <v>0</v>
      </c>
      <c r="H12" s="22">
        <f t="shared" si="3"/>
        <v>1709500</v>
      </c>
      <c r="I12" s="23">
        <f t="shared" si="3"/>
        <v>1407600</v>
      </c>
      <c r="J12" s="23">
        <f t="shared" si="3"/>
        <v>0</v>
      </c>
      <c r="K12" s="22">
        <f t="shared" si="2"/>
        <v>1407600</v>
      </c>
      <c r="L12" s="7">
        <f t="shared" si="0"/>
        <v>0.8233986545773618</v>
      </c>
    </row>
    <row r="13" spans="1:12" s="32" customFormat="1" ht="12" customHeight="1">
      <c r="A13" s="69"/>
      <c r="B13" s="27" t="s">
        <v>13</v>
      </c>
      <c r="C13" s="28">
        <v>28000</v>
      </c>
      <c r="D13" s="28"/>
      <c r="E13" s="29">
        <f aca="true" t="shared" si="4" ref="E13:E18">SUM(C13:D13)</f>
        <v>28000</v>
      </c>
      <c r="F13" s="28">
        <f>400+29000</f>
        <v>29400</v>
      </c>
      <c r="G13" s="28"/>
      <c r="H13" s="29">
        <f aca="true" t="shared" si="5" ref="H13:H18">SUM(F13:G13)</f>
        <v>29400</v>
      </c>
      <c r="I13" s="30">
        <f>400+29000</f>
        <v>29400</v>
      </c>
      <c r="J13" s="30">
        <v>0</v>
      </c>
      <c r="K13" s="29">
        <f t="shared" si="2"/>
        <v>29400</v>
      </c>
      <c r="L13" s="31">
        <f t="shared" si="0"/>
        <v>1</v>
      </c>
    </row>
    <row r="14" spans="1:12" s="32" customFormat="1" ht="11.25" customHeight="1">
      <c r="A14" s="69"/>
      <c r="B14" s="33" t="s">
        <v>14</v>
      </c>
      <c r="C14" s="28">
        <v>68000</v>
      </c>
      <c r="D14" s="28"/>
      <c r="E14" s="29">
        <f t="shared" si="4"/>
        <v>68000</v>
      </c>
      <c r="F14" s="28">
        <f>67400+3200</f>
        <v>70600</v>
      </c>
      <c r="G14" s="28"/>
      <c r="H14" s="29">
        <f t="shared" si="5"/>
        <v>70600</v>
      </c>
      <c r="I14" s="30">
        <f>3200+67000</f>
        <v>70200</v>
      </c>
      <c r="J14" s="30">
        <v>0</v>
      </c>
      <c r="K14" s="29">
        <f t="shared" si="2"/>
        <v>70200</v>
      </c>
      <c r="L14" s="31">
        <f t="shared" si="0"/>
        <v>0.9943342776203966</v>
      </c>
    </row>
    <row r="15" spans="1:12" s="34" customFormat="1" ht="12.75" customHeight="1">
      <c r="A15" s="69"/>
      <c r="B15" s="27" t="s">
        <v>15</v>
      </c>
      <c r="C15" s="28">
        <v>2000</v>
      </c>
      <c r="D15" s="28"/>
      <c r="E15" s="29">
        <f t="shared" si="4"/>
        <v>2000</v>
      </c>
      <c r="F15" s="28">
        <v>3500</v>
      </c>
      <c r="G15" s="28"/>
      <c r="H15" s="29">
        <f t="shared" si="5"/>
        <v>3500</v>
      </c>
      <c r="I15" s="30">
        <v>2000</v>
      </c>
      <c r="J15" s="30">
        <v>0</v>
      </c>
      <c r="K15" s="29">
        <f t="shared" si="2"/>
        <v>2000</v>
      </c>
      <c r="L15" s="31">
        <f t="shared" si="0"/>
        <v>0.5714285714285714</v>
      </c>
    </row>
    <row r="16" spans="1:12" s="32" customFormat="1" ht="12.75" customHeight="1">
      <c r="A16" s="69"/>
      <c r="B16" s="27" t="s">
        <v>16</v>
      </c>
      <c r="C16" s="28">
        <v>6000</v>
      </c>
      <c r="D16" s="28"/>
      <c r="E16" s="29">
        <f t="shared" si="4"/>
        <v>6000</v>
      </c>
      <c r="F16" s="28">
        <v>6000</v>
      </c>
      <c r="G16" s="28"/>
      <c r="H16" s="29">
        <f t="shared" si="5"/>
        <v>6000</v>
      </c>
      <c r="I16" s="30">
        <v>6000</v>
      </c>
      <c r="J16" s="30">
        <v>0</v>
      </c>
      <c r="K16" s="29">
        <f t="shared" si="2"/>
        <v>6000</v>
      </c>
      <c r="L16" s="31">
        <f t="shared" si="0"/>
        <v>1</v>
      </c>
    </row>
    <row r="17" spans="1:12" s="32" customFormat="1" ht="12.75" customHeight="1">
      <c r="A17" s="69"/>
      <c r="B17" s="27" t="s">
        <v>17</v>
      </c>
      <c r="C17" s="28">
        <v>100000</v>
      </c>
      <c r="D17" s="28"/>
      <c r="E17" s="29">
        <f t="shared" si="4"/>
        <v>100000</v>
      </c>
      <c r="F17" s="28">
        <v>100000</v>
      </c>
      <c r="G17" s="28"/>
      <c r="H17" s="29">
        <f t="shared" si="5"/>
        <v>100000</v>
      </c>
      <c r="I17" s="30">
        <v>100000</v>
      </c>
      <c r="J17" s="30">
        <v>0</v>
      </c>
      <c r="K17" s="29">
        <f t="shared" si="2"/>
        <v>100000</v>
      </c>
      <c r="L17" s="31">
        <f t="shared" si="0"/>
        <v>1</v>
      </c>
    </row>
    <row r="18" spans="1:12" s="11" customFormat="1" ht="12" customHeight="1">
      <c r="A18" s="70"/>
      <c r="B18" s="35" t="s">
        <v>18</v>
      </c>
      <c r="C18" s="28">
        <v>1500000</v>
      </c>
      <c r="D18" s="28"/>
      <c r="E18" s="29">
        <f t="shared" si="4"/>
        <v>1500000</v>
      </c>
      <c r="F18" s="28">
        <v>1500000</v>
      </c>
      <c r="G18" s="28"/>
      <c r="H18" s="29">
        <f t="shared" si="5"/>
        <v>1500000</v>
      </c>
      <c r="I18" s="30">
        <f>1200000</f>
        <v>1200000</v>
      </c>
      <c r="J18" s="30">
        <v>0</v>
      </c>
      <c r="K18" s="29">
        <f t="shared" si="2"/>
        <v>1200000</v>
      </c>
      <c r="L18" s="31">
        <f t="shared" si="0"/>
        <v>0.8</v>
      </c>
    </row>
    <row r="19" spans="1:12" s="18" customFormat="1" ht="15" customHeight="1">
      <c r="A19" s="36">
        <v>2</v>
      </c>
      <c r="B19" s="37" t="s">
        <v>19</v>
      </c>
      <c r="C19" s="38">
        <f aca="true" t="shared" si="6" ref="C19:J19">SUM(C20:C23)</f>
        <v>18500000</v>
      </c>
      <c r="D19" s="17">
        <f t="shared" si="6"/>
        <v>0</v>
      </c>
      <c r="E19" s="17">
        <f t="shared" si="6"/>
        <v>18500000</v>
      </c>
      <c r="F19" s="17">
        <f t="shared" si="6"/>
        <v>20500000</v>
      </c>
      <c r="G19" s="17">
        <f t="shared" si="6"/>
        <v>0</v>
      </c>
      <c r="H19" s="17">
        <f t="shared" si="6"/>
        <v>20500000</v>
      </c>
      <c r="I19" s="17">
        <f t="shared" si="6"/>
        <v>21600000</v>
      </c>
      <c r="J19" s="17">
        <f t="shared" si="6"/>
        <v>0</v>
      </c>
      <c r="K19" s="17">
        <f t="shared" si="2"/>
        <v>21600000</v>
      </c>
      <c r="L19" s="7">
        <f t="shared" si="0"/>
        <v>1.053658536585366</v>
      </c>
    </row>
    <row r="20" spans="1:12" s="24" customFormat="1" ht="12" customHeight="1">
      <c r="A20" s="68"/>
      <c r="B20" s="26" t="s">
        <v>20</v>
      </c>
      <c r="C20" s="21">
        <v>1000000</v>
      </c>
      <c r="D20" s="21"/>
      <c r="E20" s="22">
        <f aca="true" t="shared" si="7" ref="E20:E67">SUM(C20:D20)</f>
        <v>1000000</v>
      </c>
      <c r="F20" s="21">
        <v>1000000</v>
      </c>
      <c r="G20" s="21"/>
      <c r="H20" s="22">
        <f aca="true" t="shared" si="8" ref="H20:H67">SUM(F20:G20)</f>
        <v>1000000</v>
      </c>
      <c r="I20" s="23">
        <f>900000+100000</f>
        <v>1000000</v>
      </c>
      <c r="J20" s="23"/>
      <c r="K20" s="22">
        <f t="shared" si="2"/>
        <v>1000000</v>
      </c>
      <c r="L20" s="7">
        <f t="shared" si="0"/>
        <v>1</v>
      </c>
    </row>
    <row r="21" spans="1:12" s="24" customFormat="1" ht="14.25" customHeight="1">
      <c r="A21" s="68"/>
      <c r="B21" s="26" t="s">
        <v>21</v>
      </c>
      <c r="C21" s="21">
        <v>3400000</v>
      </c>
      <c r="D21" s="21"/>
      <c r="E21" s="22">
        <f t="shared" si="7"/>
        <v>3400000</v>
      </c>
      <c r="F21" s="21">
        <v>3400000</v>
      </c>
      <c r="G21" s="21"/>
      <c r="H21" s="22">
        <f t="shared" si="8"/>
        <v>3400000</v>
      </c>
      <c r="I21" s="23">
        <f>3200000+200000+100000</f>
        <v>3500000</v>
      </c>
      <c r="J21" s="23"/>
      <c r="K21" s="22">
        <f t="shared" si="2"/>
        <v>3500000</v>
      </c>
      <c r="L21" s="7">
        <f t="shared" si="0"/>
        <v>1.0294117647058822</v>
      </c>
    </row>
    <row r="22" spans="1:12" s="24" customFormat="1" ht="16.5" customHeight="1">
      <c r="A22" s="68"/>
      <c r="B22" s="26" t="s">
        <v>22</v>
      </c>
      <c r="C22" s="21">
        <f>3100000+10900000</f>
        <v>14000000</v>
      </c>
      <c r="D22" s="21"/>
      <c r="E22" s="22">
        <f t="shared" si="7"/>
        <v>14000000</v>
      </c>
      <c r="F22" s="21">
        <v>16000000</v>
      </c>
      <c r="G22" s="21"/>
      <c r="H22" s="22">
        <f t="shared" si="8"/>
        <v>16000000</v>
      </c>
      <c r="I22" s="23">
        <v>17000000</v>
      </c>
      <c r="J22" s="23"/>
      <c r="K22" s="22">
        <f t="shared" si="2"/>
        <v>17000000</v>
      </c>
      <c r="L22" s="7">
        <f>K22/H22</f>
        <v>1.0625</v>
      </c>
    </row>
    <row r="23" spans="1:12" s="24" customFormat="1" ht="23.25" customHeight="1">
      <c r="A23" s="68"/>
      <c r="B23" s="26" t="s">
        <v>23</v>
      </c>
      <c r="C23" s="21">
        <v>100000</v>
      </c>
      <c r="D23" s="21"/>
      <c r="E23" s="22">
        <f t="shared" si="7"/>
        <v>100000</v>
      </c>
      <c r="F23" s="21">
        <v>100000</v>
      </c>
      <c r="G23" s="21"/>
      <c r="H23" s="22">
        <f t="shared" si="8"/>
        <v>100000</v>
      </c>
      <c r="I23" s="23">
        <v>100000</v>
      </c>
      <c r="J23" s="23"/>
      <c r="K23" s="22">
        <f t="shared" si="2"/>
        <v>100000</v>
      </c>
      <c r="L23" s="7">
        <f t="shared" si="0"/>
        <v>1</v>
      </c>
    </row>
    <row r="24" spans="1:12" s="19" customFormat="1" ht="14.25" customHeight="1">
      <c r="A24" s="36">
        <v>3</v>
      </c>
      <c r="B24" s="39" t="s">
        <v>24</v>
      </c>
      <c r="C24" s="17">
        <f>SUM(C25:C30)</f>
        <v>38363185</v>
      </c>
      <c r="D24" s="17">
        <f>SUM(D25:D30)</f>
        <v>679691</v>
      </c>
      <c r="E24" s="40">
        <f t="shared" si="7"/>
        <v>39042876</v>
      </c>
      <c r="F24" s="17">
        <f>SUM(F25:F30)</f>
        <v>38443185</v>
      </c>
      <c r="G24" s="17">
        <f>SUM(G25:G30)</f>
        <v>679691</v>
      </c>
      <c r="H24" s="40">
        <f t="shared" si="8"/>
        <v>39122876</v>
      </c>
      <c r="I24" s="17">
        <f>SUM(I25:I30)</f>
        <v>39632403</v>
      </c>
      <c r="J24" s="17">
        <f>SUM(J25:J30)</f>
        <v>98361</v>
      </c>
      <c r="K24" s="40">
        <f t="shared" si="2"/>
        <v>39730764</v>
      </c>
      <c r="L24" s="7">
        <f t="shared" si="0"/>
        <v>1.0155379169977177</v>
      </c>
    </row>
    <row r="25" spans="1:12" s="24" customFormat="1" ht="13.5" customHeight="1">
      <c r="A25" s="68"/>
      <c r="B25" s="26" t="s">
        <v>25</v>
      </c>
      <c r="C25" s="21">
        <f>19760000+150000+1500000</f>
        <v>21410000</v>
      </c>
      <c r="D25" s="21"/>
      <c r="E25" s="22">
        <f t="shared" si="7"/>
        <v>21410000</v>
      </c>
      <c r="F25" s="21">
        <f>19760000+150000+1500000</f>
        <v>21410000</v>
      </c>
      <c r="G25" s="21"/>
      <c r="H25" s="22">
        <f t="shared" si="8"/>
        <v>21410000</v>
      </c>
      <c r="I25" s="23">
        <v>23410000</v>
      </c>
      <c r="J25" s="23"/>
      <c r="K25" s="22">
        <f t="shared" si="2"/>
        <v>23410000</v>
      </c>
      <c r="L25" s="7">
        <f t="shared" si="0"/>
        <v>1.0934142923867352</v>
      </c>
    </row>
    <row r="26" spans="1:12" s="24" customFormat="1" ht="12" customHeight="1">
      <c r="A26" s="68"/>
      <c r="B26" s="26" t="s">
        <v>26</v>
      </c>
      <c r="C26" s="21">
        <f>6800000</f>
        <v>6800000</v>
      </c>
      <c r="D26" s="21"/>
      <c r="E26" s="22">
        <f t="shared" si="7"/>
        <v>6800000</v>
      </c>
      <c r="F26" s="21">
        <f>6600000</f>
        <v>6600000</v>
      </c>
      <c r="G26" s="21"/>
      <c r="H26" s="22">
        <f t="shared" si="8"/>
        <v>6600000</v>
      </c>
      <c r="I26" s="23">
        <v>6800000</v>
      </c>
      <c r="J26" s="23"/>
      <c r="K26" s="22">
        <f t="shared" si="2"/>
        <v>6800000</v>
      </c>
      <c r="L26" s="7">
        <f t="shared" si="0"/>
        <v>1.0303030303030303</v>
      </c>
    </row>
    <row r="27" spans="1:12" s="24" customFormat="1" ht="13.5" customHeight="1">
      <c r="A27" s="68"/>
      <c r="B27" s="26" t="s">
        <v>27</v>
      </c>
      <c r="C27" s="21">
        <v>5500000</v>
      </c>
      <c r="D27" s="21"/>
      <c r="E27" s="22">
        <f t="shared" si="7"/>
        <v>5500000</v>
      </c>
      <c r="F27" s="21">
        <v>5550000</v>
      </c>
      <c r="G27" s="21"/>
      <c r="H27" s="22">
        <f t="shared" si="8"/>
        <v>5550000</v>
      </c>
      <c r="I27" s="23">
        <v>5550000</v>
      </c>
      <c r="J27" s="23"/>
      <c r="K27" s="22">
        <f t="shared" si="2"/>
        <v>5550000</v>
      </c>
      <c r="L27" s="7">
        <f t="shared" si="0"/>
        <v>1</v>
      </c>
    </row>
    <row r="28" spans="1:12" s="24" customFormat="1" ht="12.75" customHeight="1">
      <c r="A28" s="68"/>
      <c r="B28" s="26" t="s">
        <v>28</v>
      </c>
      <c r="C28" s="21">
        <v>2200000</v>
      </c>
      <c r="D28" s="21"/>
      <c r="E28" s="22">
        <f t="shared" si="7"/>
        <v>2200000</v>
      </c>
      <c r="F28" s="21">
        <v>2200000</v>
      </c>
      <c r="G28" s="21"/>
      <c r="H28" s="22">
        <f t="shared" si="8"/>
        <v>2200000</v>
      </c>
      <c r="I28" s="23">
        <v>2200000</v>
      </c>
      <c r="J28" s="23"/>
      <c r="K28" s="22">
        <f t="shared" si="2"/>
        <v>2200000</v>
      </c>
      <c r="L28" s="7">
        <f t="shared" si="0"/>
        <v>1</v>
      </c>
    </row>
    <row r="29" spans="1:12" s="34" customFormat="1" ht="13.5" customHeight="1">
      <c r="A29" s="71"/>
      <c r="B29" s="20" t="s">
        <v>29</v>
      </c>
      <c r="C29" s="21"/>
      <c r="D29" s="21"/>
      <c r="E29" s="22">
        <f t="shared" si="7"/>
        <v>0</v>
      </c>
      <c r="F29" s="21"/>
      <c r="G29" s="21"/>
      <c r="H29" s="22">
        <f t="shared" si="8"/>
        <v>0</v>
      </c>
      <c r="I29" s="23">
        <v>250000</v>
      </c>
      <c r="J29" s="23"/>
      <c r="K29" s="22">
        <f t="shared" si="2"/>
        <v>250000</v>
      </c>
      <c r="L29" s="7"/>
    </row>
    <row r="30" spans="1:12" s="24" customFormat="1" ht="14.25" customHeight="1">
      <c r="A30" s="68"/>
      <c r="B30" s="26" t="s">
        <v>12</v>
      </c>
      <c r="C30" s="21">
        <f>SUM(C31:C34)</f>
        <v>2453185</v>
      </c>
      <c r="D30" s="21">
        <f>SUM(D31:D34)</f>
        <v>679691</v>
      </c>
      <c r="E30" s="22">
        <f t="shared" si="7"/>
        <v>3132876</v>
      </c>
      <c r="F30" s="21">
        <f>SUM(F31:F34)</f>
        <v>2683185</v>
      </c>
      <c r="G30" s="21">
        <f>SUM(G31:G34)</f>
        <v>679691</v>
      </c>
      <c r="H30" s="22">
        <f t="shared" si="8"/>
        <v>3362876</v>
      </c>
      <c r="I30" s="23">
        <f>SUM(I31:I34)</f>
        <v>1422403</v>
      </c>
      <c r="J30" s="23">
        <f>SUM(J31:J34)</f>
        <v>98361</v>
      </c>
      <c r="K30" s="22">
        <f t="shared" si="2"/>
        <v>1520764</v>
      </c>
      <c r="L30" s="7">
        <f aca="true" t="shared" si="9" ref="L30:L67">K30/H30</f>
        <v>0.4522212534747044</v>
      </c>
    </row>
    <row r="31" spans="1:12" s="32" customFormat="1" ht="13.5" customHeight="1">
      <c r="A31" s="71"/>
      <c r="B31" s="27" t="s">
        <v>30</v>
      </c>
      <c r="C31" s="28">
        <v>230000</v>
      </c>
      <c r="D31" s="28"/>
      <c r="E31" s="29">
        <f t="shared" si="7"/>
        <v>230000</v>
      </c>
      <c r="F31" s="30">
        <v>460000</v>
      </c>
      <c r="G31" s="28"/>
      <c r="H31" s="29">
        <f t="shared" si="8"/>
        <v>460000</v>
      </c>
      <c r="I31" s="30">
        <v>460000</v>
      </c>
      <c r="J31" s="30"/>
      <c r="K31" s="29">
        <f t="shared" si="2"/>
        <v>460000</v>
      </c>
      <c r="L31" s="31">
        <f t="shared" si="9"/>
        <v>1</v>
      </c>
    </row>
    <row r="32" spans="1:12" s="34" customFormat="1" ht="36" customHeight="1">
      <c r="A32" s="71"/>
      <c r="B32" s="27" t="s">
        <v>31</v>
      </c>
      <c r="C32" s="28">
        <f>26220+290000+385000+36690+119000-21459</f>
        <v>835451</v>
      </c>
      <c r="D32" s="28">
        <v>80000</v>
      </c>
      <c r="E32" s="29">
        <f t="shared" si="7"/>
        <v>915451</v>
      </c>
      <c r="F32" s="28">
        <f>26220+290000+385000+36690+119000-21459</f>
        <v>835451</v>
      </c>
      <c r="G32" s="28">
        <v>80000</v>
      </c>
      <c r="H32" s="29">
        <f t="shared" si="8"/>
        <v>915451</v>
      </c>
      <c r="I32" s="30">
        <f>31200+26620+290000+510000</f>
        <v>857820</v>
      </c>
      <c r="J32" s="30">
        <v>82000</v>
      </c>
      <c r="K32" s="29">
        <f t="shared" si="2"/>
        <v>939820</v>
      </c>
      <c r="L32" s="31">
        <f t="shared" si="9"/>
        <v>1.0266196661536227</v>
      </c>
    </row>
    <row r="33" spans="1:12" s="34" customFormat="1" ht="15.75" customHeight="1">
      <c r="A33" s="71"/>
      <c r="B33" s="27" t="s">
        <v>32</v>
      </c>
      <c r="C33" s="28">
        <f>94911+8095</f>
        <v>103006</v>
      </c>
      <c r="D33" s="28">
        <v>47761</v>
      </c>
      <c r="E33" s="29">
        <f t="shared" si="7"/>
        <v>150767</v>
      </c>
      <c r="F33" s="28">
        <f>94911+8095</f>
        <v>103006</v>
      </c>
      <c r="G33" s="28">
        <v>47761</v>
      </c>
      <c r="H33" s="29">
        <f t="shared" si="8"/>
        <v>150767</v>
      </c>
      <c r="I33" s="30">
        <f>96488+8095</f>
        <v>104583</v>
      </c>
      <c r="J33" s="30">
        <f>11700+4661</f>
        <v>16361</v>
      </c>
      <c r="K33" s="29">
        <f t="shared" si="2"/>
        <v>120944</v>
      </c>
      <c r="L33" s="31">
        <f t="shared" si="9"/>
        <v>0.8021914609961066</v>
      </c>
    </row>
    <row r="34" spans="1:12" s="34" customFormat="1" ht="27" customHeight="1">
      <c r="A34" s="71"/>
      <c r="B34" s="33" t="s">
        <v>33</v>
      </c>
      <c r="C34" s="28">
        <f>1436259-103006-65000+16475</f>
        <v>1284728</v>
      </c>
      <c r="D34" s="28">
        <f>686701+32990-120000-47761</f>
        <v>551930</v>
      </c>
      <c r="E34" s="29">
        <f t="shared" si="7"/>
        <v>1836658</v>
      </c>
      <c r="F34" s="28">
        <f>1436259-103006-65000+16475</f>
        <v>1284728</v>
      </c>
      <c r="G34" s="28">
        <f>686701+32990-120000-47761</f>
        <v>551930</v>
      </c>
      <c r="H34" s="29">
        <f t="shared" si="8"/>
        <v>1836658</v>
      </c>
      <c r="I34" s="30"/>
      <c r="J34" s="30"/>
      <c r="K34" s="29">
        <f t="shared" si="2"/>
        <v>0</v>
      </c>
      <c r="L34" s="31">
        <f t="shared" si="9"/>
        <v>0</v>
      </c>
    </row>
    <row r="35" spans="1:12" s="19" customFormat="1" ht="13.5" customHeight="1">
      <c r="A35" s="36">
        <v>4</v>
      </c>
      <c r="B35" s="39" t="s">
        <v>34</v>
      </c>
      <c r="C35" s="17">
        <f>SUM(C36:C51)</f>
        <v>74770272</v>
      </c>
      <c r="D35" s="17">
        <f>SUM(D36:D51)</f>
        <v>9791298</v>
      </c>
      <c r="E35" s="40">
        <f t="shared" si="7"/>
        <v>84561570</v>
      </c>
      <c r="F35" s="17">
        <f>SUM(F36:F51)</f>
        <v>76331317</v>
      </c>
      <c r="G35" s="17">
        <f>SUM(G36:G51)</f>
        <v>11249355</v>
      </c>
      <c r="H35" s="40">
        <f t="shared" si="8"/>
        <v>87580672</v>
      </c>
      <c r="I35" s="17">
        <f>SUM(I36:I51)</f>
        <v>70947097</v>
      </c>
      <c r="J35" s="17">
        <f>SUM(J36:J51)</f>
        <v>7935350</v>
      </c>
      <c r="K35" s="40">
        <f t="shared" si="2"/>
        <v>78882447</v>
      </c>
      <c r="L35" s="7">
        <f t="shared" si="9"/>
        <v>0.9006832808955839</v>
      </c>
    </row>
    <row r="36" spans="1:12" s="24" customFormat="1" ht="11.25" hidden="1">
      <c r="A36" s="68"/>
      <c r="B36" s="26" t="s">
        <v>35</v>
      </c>
      <c r="C36" s="21"/>
      <c r="D36" s="21"/>
      <c r="E36" s="22">
        <f t="shared" si="7"/>
        <v>0</v>
      </c>
      <c r="F36" s="21"/>
      <c r="G36" s="21"/>
      <c r="H36" s="22">
        <f t="shared" si="8"/>
        <v>0</v>
      </c>
      <c r="I36" s="22"/>
      <c r="J36" s="22"/>
      <c r="K36" s="22">
        <f t="shared" si="2"/>
        <v>0</v>
      </c>
      <c r="L36" s="7" t="e">
        <f t="shared" si="9"/>
        <v>#DIV/0!</v>
      </c>
    </row>
    <row r="37" spans="1:12" s="24" customFormat="1" ht="11.25" customHeight="1">
      <c r="A37" s="68"/>
      <c r="B37" s="26" t="s">
        <v>36</v>
      </c>
      <c r="C37" s="21">
        <f>66502430+131350</f>
        <v>66633780</v>
      </c>
      <c r="D37" s="21"/>
      <c r="E37" s="22">
        <f t="shared" si="7"/>
        <v>66633780</v>
      </c>
      <c r="F37" s="21">
        <f>63950000</f>
        <v>63950000</v>
      </c>
      <c r="G37" s="21"/>
      <c r="H37" s="22">
        <f t="shared" si="8"/>
        <v>63950000</v>
      </c>
      <c r="I37" s="23">
        <f>64092607-26620</f>
        <v>64065987</v>
      </c>
      <c r="J37" s="23"/>
      <c r="K37" s="22">
        <f t="shared" si="2"/>
        <v>64065987</v>
      </c>
      <c r="L37" s="7">
        <f t="shared" si="9"/>
        <v>1.0018137138389367</v>
      </c>
    </row>
    <row r="38" spans="1:12" s="24" customFormat="1" ht="15.75" customHeight="1">
      <c r="A38" s="68"/>
      <c r="B38" s="26" t="s">
        <v>37</v>
      </c>
      <c r="C38" s="21">
        <v>165000</v>
      </c>
      <c r="D38" s="21"/>
      <c r="E38" s="22">
        <f t="shared" si="7"/>
        <v>165000</v>
      </c>
      <c r="F38" s="21">
        <v>179000</v>
      </c>
      <c r="G38" s="21"/>
      <c r="H38" s="22">
        <f t="shared" si="8"/>
        <v>179000</v>
      </c>
      <c r="I38" s="23">
        <v>184000</v>
      </c>
      <c r="J38" s="23"/>
      <c r="K38" s="22">
        <f t="shared" si="2"/>
        <v>184000</v>
      </c>
      <c r="L38" s="7">
        <f t="shared" si="9"/>
        <v>1.0279329608938548</v>
      </c>
    </row>
    <row r="39" spans="1:12" s="24" customFormat="1" ht="21.75" customHeight="1">
      <c r="A39" s="68"/>
      <c r="B39" s="26" t="s">
        <v>38</v>
      </c>
      <c r="C39" s="21">
        <v>715000</v>
      </c>
      <c r="D39" s="21"/>
      <c r="E39" s="22">
        <f t="shared" si="7"/>
        <v>715000</v>
      </c>
      <c r="F39" s="21">
        <v>690000</v>
      </c>
      <c r="G39" s="21"/>
      <c r="H39" s="22">
        <f t="shared" si="8"/>
        <v>690000</v>
      </c>
      <c r="I39" s="23">
        <v>700000</v>
      </c>
      <c r="J39" s="23"/>
      <c r="K39" s="22">
        <f t="shared" si="2"/>
        <v>700000</v>
      </c>
      <c r="L39" s="7">
        <f t="shared" si="9"/>
        <v>1.0144927536231885</v>
      </c>
    </row>
    <row r="40" spans="1:12" s="24" customFormat="1" ht="11.25" customHeight="1">
      <c r="A40" s="68"/>
      <c r="B40" s="26" t="s">
        <v>39</v>
      </c>
      <c r="C40" s="21">
        <f>48000+62000+266500-60034</f>
        <v>316466</v>
      </c>
      <c r="D40" s="21"/>
      <c r="E40" s="22">
        <f t="shared" si="7"/>
        <v>316466</v>
      </c>
      <c r="F40" s="21">
        <f>48000+62000+266500-60034</f>
        <v>316466</v>
      </c>
      <c r="G40" s="21"/>
      <c r="H40" s="22">
        <f t="shared" si="8"/>
        <v>316466</v>
      </c>
      <c r="I40" s="23">
        <f>990000-510000</f>
        <v>480000</v>
      </c>
      <c r="J40" s="23"/>
      <c r="K40" s="22">
        <f aca="true" t="shared" si="10" ref="K40:K67">SUM(I40:J40)</f>
        <v>480000</v>
      </c>
      <c r="L40" s="7">
        <f t="shared" si="9"/>
        <v>1.5167506145999887</v>
      </c>
    </row>
    <row r="41" spans="1:12" s="24" customFormat="1" ht="15.75" customHeight="1">
      <c r="A41" s="68"/>
      <c r="B41" s="26" t="s">
        <v>40</v>
      </c>
      <c r="C41" s="21"/>
      <c r="D41" s="21">
        <v>420000</v>
      </c>
      <c r="E41" s="22">
        <f t="shared" si="7"/>
        <v>420000</v>
      </c>
      <c r="F41" s="21"/>
      <c r="G41" s="21">
        <v>420000</v>
      </c>
      <c r="H41" s="22">
        <f t="shared" si="8"/>
        <v>420000</v>
      </c>
      <c r="I41" s="23"/>
      <c r="J41" s="23">
        <v>420000</v>
      </c>
      <c r="K41" s="22">
        <f t="shared" si="10"/>
        <v>420000</v>
      </c>
      <c r="L41" s="7">
        <f t="shared" si="9"/>
        <v>1</v>
      </c>
    </row>
    <row r="42" spans="1:12" s="24" customFormat="1" ht="46.5" customHeight="1">
      <c r="A42" s="68"/>
      <c r="B42" s="26" t="s">
        <v>41</v>
      </c>
      <c r="C42" s="21">
        <f>390000+20600</f>
        <v>410600</v>
      </c>
      <c r="D42" s="21">
        <f>29400+10000</f>
        <v>39400</v>
      </c>
      <c r="E42" s="22">
        <f t="shared" si="7"/>
        <v>450000</v>
      </c>
      <c r="F42" s="21">
        <f>390000+15850</f>
        <v>405850</v>
      </c>
      <c r="G42" s="21">
        <v>69850</v>
      </c>
      <c r="H42" s="22">
        <f t="shared" si="8"/>
        <v>475700</v>
      </c>
      <c r="I42" s="23">
        <f>9000+26000+420000</f>
        <v>455000</v>
      </c>
      <c r="J42" s="23">
        <f>33000+2000+23000</f>
        <v>58000</v>
      </c>
      <c r="K42" s="22">
        <f t="shared" si="10"/>
        <v>513000</v>
      </c>
      <c r="L42" s="7">
        <f t="shared" si="9"/>
        <v>1.0784107630859785</v>
      </c>
    </row>
    <row r="43" spans="1:12" s="24" customFormat="1" ht="14.25" customHeight="1">
      <c r="A43" s="72"/>
      <c r="B43" s="20" t="s">
        <v>42</v>
      </c>
      <c r="C43" s="21"/>
      <c r="D43" s="21">
        <v>2285000</v>
      </c>
      <c r="E43" s="22">
        <f t="shared" si="7"/>
        <v>2285000</v>
      </c>
      <c r="F43" s="21"/>
      <c r="G43" s="21">
        <v>1800000</v>
      </c>
      <c r="H43" s="22">
        <f t="shared" si="8"/>
        <v>1800000</v>
      </c>
      <c r="I43" s="23"/>
      <c r="J43" s="23">
        <v>2125000</v>
      </c>
      <c r="K43" s="22">
        <f t="shared" si="10"/>
        <v>2125000</v>
      </c>
      <c r="L43" s="7">
        <f t="shared" si="9"/>
        <v>1.1805555555555556</v>
      </c>
    </row>
    <row r="44" spans="1:12" s="24" customFormat="1" ht="21.75" customHeight="1">
      <c r="A44" s="72"/>
      <c r="B44" s="26" t="s">
        <v>43</v>
      </c>
      <c r="C44" s="21">
        <f>81000+350+750-11765</f>
        <v>70335</v>
      </c>
      <c r="D44" s="21">
        <f>1250+1100+250</f>
        <v>2600</v>
      </c>
      <c r="E44" s="22">
        <f t="shared" si="7"/>
        <v>72935</v>
      </c>
      <c r="F44" s="21">
        <f>81000+350+750-11765</f>
        <v>70335</v>
      </c>
      <c r="G44" s="21">
        <f>1250+1100+250</f>
        <v>2600</v>
      </c>
      <c r="H44" s="22">
        <f t="shared" si="8"/>
        <v>72935</v>
      </c>
      <c r="I44" s="23">
        <f>61325+325+460</f>
        <v>62110</v>
      </c>
      <c r="J44" s="23">
        <v>850</v>
      </c>
      <c r="K44" s="22">
        <f t="shared" si="10"/>
        <v>62960</v>
      </c>
      <c r="L44" s="7">
        <f t="shared" si="9"/>
        <v>0.8632343867827518</v>
      </c>
    </row>
    <row r="45" spans="1:12" s="24" customFormat="1" ht="21" customHeight="1">
      <c r="A45" s="68"/>
      <c r="B45" s="20" t="s">
        <v>44</v>
      </c>
      <c r="C45" s="21">
        <f>3300000+500000+100000</f>
        <v>3900000</v>
      </c>
      <c r="D45" s="21"/>
      <c r="E45" s="22">
        <f t="shared" si="7"/>
        <v>3900000</v>
      </c>
      <c r="F45" s="21">
        <v>4100000</v>
      </c>
      <c r="G45" s="21"/>
      <c r="H45" s="22">
        <f t="shared" si="8"/>
        <v>4100000</v>
      </c>
      <c r="I45" s="23">
        <v>4180000</v>
      </c>
      <c r="J45" s="23"/>
      <c r="K45" s="22">
        <f t="shared" si="10"/>
        <v>4180000</v>
      </c>
      <c r="L45" s="7">
        <f t="shared" si="9"/>
        <v>1.0195121951219512</v>
      </c>
    </row>
    <row r="46" spans="1:12" s="24" customFormat="1" ht="22.5" customHeight="1">
      <c r="A46" s="73"/>
      <c r="B46" s="41" t="s">
        <v>45</v>
      </c>
      <c r="C46" s="21"/>
      <c r="D46" s="21">
        <v>4510000</v>
      </c>
      <c r="E46" s="22">
        <f t="shared" si="7"/>
        <v>4510000</v>
      </c>
      <c r="F46" s="13"/>
      <c r="G46" s="21">
        <v>4510000</v>
      </c>
      <c r="H46" s="22">
        <f t="shared" si="8"/>
        <v>4510000</v>
      </c>
      <c r="I46" s="23"/>
      <c r="J46" s="23">
        <v>4500000</v>
      </c>
      <c r="K46" s="22">
        <f t="shared" si="10"/>
        <v>4500000</v>
      </c>
      <c r="L46" s="7">
        <f t="shared" si="9"/>
        <v>0.9977827050997783</v>
      </c>
    </row>
    <row r="47" spans="1:12" s="24" customFormat="1" ht="15.75" customHeight="1">
      <c r="A47" s="68"/>
      <c r="B47" s="26" t="s">
        <v>46</v>
      </c>
      <c r="C47" s="21">
        <v>100000</v>
      </c>
      <c r="D47" s="21"/>
      <c r="E47" s="22">
        <f t="shared" si="7"/>
        <v>100000</v>
      </c>
      <c r="F47" s="21">
        <v>70000</v>
      </c>
      <c r="G47" s="21"/>
      <c r="H47" s="22">
        <f t="shared" si="8"/>
        <v>70000</v>
      </c>
      <c r="I47" s="23">
        <v>70000</v>
      </c>
      <c r="J47" s="23"/>
      <c r="K47" s="22">
        <f t="shared" si="10"/>
        <v>70000</v>
      </c>
      <c r="L47" s="7">
        <f t="shared" si="9"/>
        <v>1</v>
      </c>
    </row>
    <row r="48" spans="1:12" s="25" customFormat="1" ht="24.75" customHeight="1">
      <c r="A48" s="72"/>
      <c r="B48" s="26" t="s">
        <v>47</v>
      </c>
      <c r="C48" s="21"/>
      <c r="D48" s="21">
        <f>780000+40000</f>
        <v>820000</v>
      </c>
      <c r="E48" s="22">
        <f t="shared" si="7"/>
        <v>820000</v>
      </c>
      <c r="F48" s="21"/>
      <c r="G48" s="21">
        <f>900000-80000</f>
        <v>820000</v>
      </c>
      <c r="H48" s="22">
        <f t="shared" si="8"/>
        <v>820000</v>
      </c>
      <c r="I48" s="23"/>
      <c r="J48" s="23">
        <f>913500-82000</f>
        <v>831500</v>
      </c>
      <c r="K48" s="22">
        <f t="shared" si="10"/>
        <v>831500</v>
      </c>
      <c r="L48" s="7">
        <f t="shared" si="9"/>
        <v>1.0140243902439023</v>
      </c>
    </row>
    <row r="49" spans="1:12" s="2" customFormat="1" ht="11.25">
      <c r="A49" s="73"/>
      <c r="B49" s="41" t="s">
        <v>48</v>
      </c>
      <c r="C49" s="21">
        <v>700000</v>
      </c>
      <c r="D49" s="21"/>
      <c r="E49" s="22">
        <f t="shared" si="7"/>
        <v>700000</v>
      </c>
      <c r="F49" s="21">
        <v>700000</v>
      </c>
      <c r="G49" s="21"/>
      <c r="H49" s="22">
        <f t="shared" si="8"/>
        <v>700000</v>
      </c>
      <c r="I49" s="23">
        <v>700000</v>
      </c>
      <c r="J49" s="23"/>
      <c r="K49" s="22">
        <f t="shared" si="10"/>
        <v>700000</v>
      </c>
      <c r="L49" s="7">
        <f t="shared" si="9"/>
        <v>1</v>
      </c>
    </row>
    <row r="50" spans="1:12" s="24" customFormat="1" ht="11.25">
      <c r="A50" s="68"/>
      <c r="B50" s="26" t="s">
        <v>49</v>
      </c>
      <c r="C50" s="21">
        <v>100000</v>
      </c>
      <c r="D50" s="21"/>
      <c r="E50" s="22">
        <f t="shared" si="7"/>
        <v>100000</v>
      </c>
      <c r="F50" s="21">
        <v>100000</v>
      </c>
      <c r="G50" s="21"/>
      <c r="H50" s="22">
        <f t="shared" si="8"/>
        <v>100000</v>
      </c>
      <c r="I50" s="23">
        <f>110000-110000</f>
        <v>0</v>
      </c>
      <c r="J50" s="23"/>
      <c r="K50" s="22">
        <f t="shared" si="10"/>
        <v>0</v>
      </c>
      <c r="L50" s="7">
        <f t="shared" si="9"/>
        <v>0</v>
      </c>
    </row>
    <row r="51" spans="1:12" s="24" customFormat="1" ht="12" customHeight="1">
      <c r="A51" s="68"/>
      <c r="B51" s="26" t="s">
        <v>50</v>
      </c>
      <c r="C51" s="21">
        <f>SUM(C52:C59)</f>
        <v>1659091</v>
      </c>
      <c r="D51" s="21">
        <f>SUM(D52:D59)</f>
        <v>1714298</v>
      </c>
      <c r="E51" s="22">
        <f t="shared" si="7"/>
        <v>3373389</v>
      </c>
      <c r="F51" s="21">
        <f>SUM(F52:F59)</f>
        <v>5749666</v>
      </c>
      <c r="G51" s="21">
        <f>SUM(G52:G59)</f>
        <v>3626905</v>
      </c>
      <c r="H51" s="22">
        <f t="shared" si="8"/>
        <v>9376571</v>
      </c>
      <c r="I51" s="23">
        <f>SUM(I52:I58)</f>
        <v>50000</v>
      </c>
      <c r="J51" s="23">
        <f>SUM(J52:J58)</f>
        <v>0</v>
      </c>
      <c r="K51" s="22">
        <f t="shared" si="10"/>
        <v>50000</v>
      </c>
      <c r="L51" s="7">
        <f t="shared" si="9"/>
        <v>0.005332439758628181</v>
      </c>
    </row>
    <row r="52" spans="1:12" s="32" customFormat="1" ht="12.75" customHeight="1">
      <c r="A52" s="71"/>
      <c r="B52" s="27" t="s">
        <v>51</v>
      </c>
      <c r="C52" s="28">
        <v>50000</v>
      </c>
      <c r="D52" s="28"/>
      <c r="E52" s="29">
        <f t="shared" si="7"/>
        <v>50000</v>
      </c>
      <c r="F52" s="28">
        <v>50000</v>
      </c>
      <c r="G52" s="28"/>
      <c r="H52" s="29">
        <f t="shared" si="8"/>
        <v>50000</v>
      </c>
      <c r="I52" s="30">
        <v>50000</v>
      </c>
      <c r="J52" s="30"/>
      <c r="K52" s="29">
        <f t="shared" si="10"/>
        <v>50000</v>
      </c>
      <c r="L52" s="31">
        <f t="shared" si="9"/>
        <v>1</v>
      </c>
    </row>
    <row r="53" spans="1:12" s="32" customFormat="1" ht="22.5" hidden="1">
      <c r="A53" s="69"/>
      <c r="B53" s="27" t="s">
        <v>52</v>
      </c>
      <c r="C53" s="28"/>
      <c r="D53" s="28"/>
      <c r="E53" s="29">
        <f t="shared" si="7"/>
        <v>0</v>
      </c>
      <c r="F53" s="28"/>
      <c r="G53" s="28"/>
      <c r="H53" s="29">
        <f t="shared" si="8"/>
        <v>0</v>
      </c>
      <c r="I53" s="30"/>
      <c r="J53" s="30"/>
      <c r="K53" s="29">
        <f t="shared" si="10"/>
        <v>0</v>
      </c>
      <c r="L53" s="31" t="e">
        <f t="shared" si="9"/>
        <v>#DIV/0!</v>
      </c>
    </row>
    <row r="54" spans="1:12" s="32" customFormat="1" ht="22.5" hidden="1">
      <c r="A54" s="69"/>
      <c r="B54" s="27" t="s">
        <v>53</v>
      </c>
      <c r="C54" s="28"/>
      <c r="D54" s="28"/>
      <c r="E54" s="29">
        <f t="shared" si="7"/>
        <v>0</v>
      </c>
      <c r="F54" s="28"/>
      <c r="G54" s="28"/>
      <c r="H54" s="29">
        <f t="shared" si="8"/>
        <v>0</v>
      </c>
      <c r="I54" s="30"/>
      <c r="J54" s="30"/>
      <c r="K54" s="29">
        <f t="shared" si="10"/>
        <v>0</v>
      </c>
      <c r="L54" s="31" t="e">
        <f t="shared" si="9"/>
        <v>#DIV/0!</v>
      </c>
    </row>
    <row r="55" spans="1:12" s="32" customFormat="1" ht="12" customHeight="1" hidden="1">
      <c r="A55" s="69"/>
      <c r="B55" s="27" t="s">
        <v>54</v>
      </c>
      <c r="C55" s="28"/>
      <c r="D55" s="28"/>
      <c r="E55" s="29">
        <f t="shared" si="7"/>
        <v>0</v>
      </c>
      <c r="F55" s="28"/>
      <c r="G55" s="28"/>
      <c r="H55" s="29">
        <f t="shared" si="8"/>
        <v>0</v>
      </c>
      <c r="I55" s="30"/>
      <c r="J55" s="30"/>
      <c r="K55" s="29">
        <f t="shared" si="10"/>
        <v>0</v>
      </c>
      <c r="L55" s="31" t="e">
        <f t="shared" si="9"/>
        <v>#DIV/0!</v>
      </c>
    </row>
    <row r="56" spans="1:12" s="32" customFormat="1" ht="27" customHeight="1" hidden="1">
      <c r="A56" s="69"/>
      <c r="B56" s="27" t="s">
        <v>53</v>
      </c>
      <c r="C56" s="28"/>
      <c r="D56" s="28"/>
      <c r="E56" s="29">
        <f t="shared" si="7"/>
        <v>0</v>
      </c>
      <c r="F56" s="28"/>
      <c r="G56" s="28"/>
      <c r="H56" s="29">
        <f t="shared" si="8"/>
        <v>0</v>
      </c>
      <c r="I56" s="30"/>
      <c r="J56" s="30"/>
      <c r="K56" s="29">
        <f t="shared" si="10"/>
        <v>0</v>
      </c>
      <c r="L56" s="31" t="e">
        <f t="shared" si="9"/>
        <v>#DIV/0!</v>
      </c>
    </row>
    <row r="57" spans="1:12" s="32" customFormat="1" ht="12" customHeight="1">
      <c r="A57" s="69"/>
      <c r="B57" s="27" t="s">
        <v>55</v>
      </c>
      <c r="C57" s="28">
        <f>53180+18332+281204+58730+258037+3859+9</f>
        <v>673351</v>
      </c>
      <c r="D57" s="28">
        <f>417392+7062+406206+118914+38671+3581+66420+155789+151989</f>
        <v>1366024</v>
      </c>
      <c r="E57" s="29">
        <f t="shared" si="7"/>
        <v>2039375</v>
      </c>
      <c r="F57" s="28">
        <f>53180+18332+281204+58730+258037+3859+9</f>
        <v>673351</v>
      </c>
      <c r="G57" s="28">
        <f>417392+7062+406206+118914+38671+3581+66420+155789+151989</f>
        <v>1366024</v>
      </c>
      <c r="H57" s="29">
        <f t="shared" si="8"/>
        <v>2039375</v>
      </c>
      <c r="I57" s="30"/>
      <c r="J57" s="30"/>
      <c r="K57" s="29">
        <f t="shared" si="10"/>
        <v>0</v>
      </c>
      <c r="L57" s="31">
        <f t="shared" si="9"/>
        <v>0</v>
      </c>
    </row>
    <row r="58" spans="1:12" s="32" customFormat="1" ht="12.75" customHeight="1">
      <c r="A58" s="69"/>
      <c r="B58" s="27" t="s">
        <v>56</v>
      </c>
      <c r="C58" s="28">
        <v>935740</v>
      </c>
      <c r="D58" s="28">
        <v>348274</v>
      </c>
      <c r="E58" s="29">
        <f t="shared" si="7"/>
        <v>1284014</v>
      </c>
      <c r="F58" s="28">
        <v>935740</v>
      </c>
      <c r="G58" s="28">
        <v>348274</v>
      </c>
      <c r="H58" s="29">
        <f t="shared" si="8"/>
        <v>1284014</v>
      </c>
      <c r="I58" s="30"/>
      <c r="J58" s="30"/>
      <c r="K58" s="29">
        <f t="shared" si="10"/>
        <v>0</v>
      </c>
      <c r="L58" s="31">
        <f t="shared" si="9"/>
        <v>0</v>
      </c>
    </row>
    <row r="59" spans="1:12" s="32" customFormat="1" ht="11.25" customHeight="1">
      <c r="A59" s="69"/>
      <c r="B59" s="27" t="s">
        <v>57</v>
      </c>
      <c r="C59" s="28"/>
      <c r="D59" s="28"/>
      <c r="E59" s="29">
        <f t="shared" si="7"/>
        <v>0</v>
      </c>
      <c r="F59" s="28">
        <f>2640244+2015+1194478+253838</f>
        <v>4090575</v>
      </c>
      <c r="G59" s="28">
        <v>1912607</v>
      </c>
      <c r="H59" s="29">
        <f t="shared" si="8"/>
        <v>6003182</v>
      </c>
      <c r="I59" s="30"/>
      <c r="J59" s="30"/>
      <c r="K59" s="29">
        <f t="shared" si="10"/>
        <v>0</v>
      </c>
      <c r="L59" s="31">
        <f t="shared" si="9"/>
        <v>0</v>
      </c>
    </row>
    <row r="60" spans="1:12" s="19" customFormat="1" ht="38.25" customHeight="1">
      <c r="A60" s="36">
        <v>5</v>
      </c>
      <c r="B60" s="39" t="s">
        <v>58</v>
      </c>
      <c r="C60" s="17">
        <f>SUM(C61:C68)</f>
        <v>3403217</v>
      </c>
      <c r="D60" s="17">
        <f>SUM(D61:D68)</f>
        <v>1175192</v>
      </c>
      <c r="E60" s="40">
        <f t="shared" si="7"/>
        <v>4578409</v>
      </c>
      <c r="F60" s="17">
        <f>SUM(F61:F68)</f>
        <v>3403217</v>
      </c>
      <c r="G60" s="17">
        <f>SUM(G61:G68)</f>
        <v>1175192</v>
      </c>
      <c r="H60" s="40">
        <f t="shared" si="8"/>
        <v>4578409</v>
      </c>
      <c r="I60" s="17">
        <f>SUM(I61:I68)</f>
        <v>3454264</v>
      </c>
      <c r="J60" s="17">
        <f>SUM(J61:J68)</f>
        <v>1051445</v>
      </c>
      <c r="K60" s="40">
        <f t="shared" si="10"/>
        <v>4505709</v>
      </c>
      <c r="L60" s="7">
        <f t="shared" si="9"/>
        <v>0.9841211215511764</v>
      </c>
    </row>
    <row r="61" spans="1:12" s="44" customFormat="1" ht="14.25" customHeight="1">
      <c r="A61" s="73"/>
      <c r="B61" s="42" t="s">
        <v>59</v>
      </c>
      <c r="C61" s="21"/>
      <c r="D61" s="43">
        <f>500000+150111+38823</f>
        <v>688934</v>
      </c>
      <c r="E61" s="22">
        <f t="shared" si="7"/>
        <v>688934</v>
      </c>
      <c r="F61" s="21"/>
      <c r="G61" s="43">
        <f>500000+150111+38823</f>
        <v>688934</v>
      </c>
      <c r="H61" s="22">
        <f t="shared" si="8"/>
        <v>688934</v>
      </c>
      <c r="I61" s="23"/>
      <c r="J61" s="23">
        <f>507500+78420+56265</f>
        <v>642185</v>
      </c>
      <c r="K61" s="22">
        <f t="shared" si="10"/>
        <v>642185</v>
      </c>
      <c r="L61" s="7">
        <f t="shared" si="9"/>
        <v>0.9321429919266577</v>
      </c>
    </row>
    <row r="62" spans="1:12" ht="12" customHeight="1">
      <c r="A62" s="73"/>
      <c r="B62" s="45" t="s">
        <v>60</v>
      </c>
      <c r="C62" s="21"/>
      <c r="D62" s="21">
        <v>12300</v>
      </c>
      <c r="E62" s="22">
        <f t="shared" si="7"/>
        <v>12300</v>
      </c>
      <c r="F62" s="21"/>
      <c r="G62" s="21">
        <v>12300</v>
      </c>
      <c r="H62" s="22">
        <f t="shared" si="8"/>
        <v>12300</v>
      </c>
      <c r="I62" s="23"/>
      <c r="J62" s="23">
        <v>12500</v>
      </c>
      <c r="K62" s="22">
        <f t="shared" si="10"/>
        <v>12500</v>
      </c>
      <c r="L62" s="7">
        <f t="shared" si="9"/>
        <v>1.016260162601626</v>
      </c>
    </row>
    <row r="63" spans="1:12" s="11" customFormat="1" ht="21.75" customHeight="1">
      <c r="A63" s="73"/>
      <c r="B63" s="46" t="s">
        <v>61</v>
      </c>
      <c r="C63" s="21"/>
      <c r="D63" s="43">
        <f>144478+3802</f>
        <v>148280</v>
      </c>
      <c r="E63" s="22">
        <f t="shared" si="7"/>
        <v>148280</v>
      </c>
      <c r="F63" s="21"/>
      <c r="G63" s="43">
        <f>144478+3802</f>
        <v>148280</v>
      </c>
      <c r="H63" s="22">
        <f t="shared" si="8"/>
        <v>148280</v>
      </c>
      <c r="I63" s="23"/>
      <c r="J63" s="23">
        <v>150000</v>
      </c>
      <c r="K63" s="22">
        <f t="shared" si="10"/>
        <v>150000</v>
      </c>
      <c r="L63" s="7">
        <f t="shared" si="9"/>
        <v>1.0115996762881037</v>
      </c>
    </row>
    <row r="64" spans="1:12" s="11" customFormat="1" ht="13.5" customHeight="1">
      <c r="A64" s="73"/>
      <c r="B64" s="46" t="s">
        <v>62</v>
      </c>
      <c r="C64" s="21"/>
      <c r="D64" s="43">
        <f>46700+30478</f>
        <v>77178</v>
      </c>
      <c r="E64" s="22">
        <f t="shared" si="7"/>
        <v>77178</v>
      </c>
      <c r="F64" s="21"/>
      <c r="G64" s="43">
        <f>46700+30478</f>
        <v>77178</v>
      </c>
      <c r="H64" s="22">
        <f t="shared" si="8"/>
        <v>77178</v>
      </c>
      <c r="I64" s="23"/>
      <c r="J64" s="23">
        <v>162560</v>
      </c>
      <c r="K64" s="22">
        <f t="shared" si="10"/>
        <v>162560</v>
      </c>
      <c r="L64" s="7">
        <f t="shared" si="9"/>
        <v>2.1062997227189095</v>
      </c>
    </row>
    <row r="65" spans="1:12" s="11" customFormat="1" ht="45.75" customHeight="1">
      <c r="A65" s="73"/>
      <c r="B65" s="46" t="s">
        <v>63</v>
      </c>
      <c r="C65" s="21"/>
      <c r="D65" s="43">
        <v>44840</v>
      </c>
      <c r="E65" s="22">
        <f t="shared" si="7"/>
        <v>44840</v>
      </c>
      <c r="F65" s="21"/>
      <c r="G65" s="43">
        <v>44840</v>
      </c>
      <c r="H65" s="22">
        <f t="shared" si="8"/>
        <v>44840</v>
      </c>
      <c r="I65" s="23"/>
      <c r="J65" s="23">
        <v>45000</v>
      </c>
      <c r="K65" s="22">
        <f t="shared" si="10"/>
        <v>45000</v>
      </c>
      <c r="L65" s="7">
        <f t="shared" si="9"/>
        <v>1.0035682426404995</v>
      </c>
    </row>
    <row r="66" spans="1:12" s="11" customFormat="1" ht="11.25" customHeight="1">
      <c r="A66" s="73"/>
      <c r="B66" s="46" t="s">
        <v>64</v>
      </c>
      <c r="C66" s="21"/>
      <c r="D66" s="43">
        <f>100000+103660</f>
        <v>203660</v>
      </c>
      <c r="E66" s="22">
        <f t="shared" si="7"/>
        <v>203660</v>
      </c>
      <c r="F66" s="21"/>
      <c r="G66" s="43">
        <f>100000+103660</f>
        <v>203660</v>
      </c>
      <c r="H66" s="22">
        <f t="shared" si="8"/>
        <v>203660</v>
      </c>
      <c r="I66" s="23"/>
      <c r="J66" s="23">
        <v>39200</v>
      </c>
      <c r="K66" s="22">
        <f t="shared" si="10"/>
        <v>39200</v>
      </c>
      <c r="L66" s="7">
        <f t="shared" si="9"/>
        <v>0.19247765884317</v>
      </c>
    </row>
    <row r="67" spans="1:12" s="24" customFormat="1" ht="34.5" customHeight="1">
      <c r="A67" s="72"/>
      <c r="B67" s="20" t="s">
        <v>65</v>
      </c>
      <c r="C67" s="21">
        <v>3403217</v>
      </c>
      <c r="D67" s="21"/>
      <c r="E67" s="22">
        <f t="shared" si="7"/>
        <v>3403217</v>
      </c>
      <c r="F67" s="21">
        <v>3403217</v>
      </c>
      <c r="G67" s="21"/>
      <c r="H67" s="22">
        <f t="shared" si="8"/>
        <v>3403217</v>
      </c>
      <c r="I67" s="23">
        <v>3454264</v>
      </c>
      <c r="J67" s="23"/>
      <c r="K67" s="22">
        <f t="shared" si="10"/>
        <v>3454264</v>
      </c>
      <c r="L67" s="7">
        <f t="shared" si="9"/>
        <v>1.0149996312312732</v>
      </c>
    </row>
    <row r="68" spans="1:12" s="19" customFormat="1" ht="33" customHeight="1" hidden="1">
      <c r="A68" s="36"/>
      <c r="B68" s="39"/>
      <c r="C68" s="17"/>
      <c r="D68" s="17"/>
      <c r="E68" s="40"/>
      <c r="F68" s="17"/>
      <c r="G68" s="17"/>
      <c r="H68" s="40"/>
      <c r="I68" s="17"/>
      <c r="J68" s="17"/>
      <c r="K68" s="40"/>
      <c r="L68" s="7"/>
    </row>
    <row r="69" spans="1:12" s="19" customFormat="1" ht="27.75" customHeight="1">
      <c r="A69" s="36">
        <v>6</v>
      </c>
      <c r="B69" s="39" t="s">
        <v>66</v>
      </c>
      <c r="C69" s="17">
        <f>SUM(C70:C83)</f>
        <v>6709982</v>
      </c>
      <c r="D69" s="17">
        <f>SUM(D70:D83)</f>
        <v>21564891</v>
      </c>
      <c r="E69" s="40">
        <f aca="true" t="shared" si="11" ref="E69:E107">SUM(C69:D69)</f>
        <v>28274873</v>
      </c>
      <c r="F69" s="17">
        <f>SUM(F70:F83)</f>
        <v>6709982</v>
      </c>
      <c r="G69" s="17">
        <f>SUM(G70:G83)</f>
        <v>14200000</v>
      </c>
      <c r="H69" s="40">
        <f aca="true" t="shared" si="12" ref="H69:H107">SUM(F69:G69)</f>
        <v>20909982</v>
      </c>
      <c r="I69" s="17">
        <f>SUM(I70:I83)</f>
        <v>8000000</v>
      </c>
      <c r="J69" s="17">
        <f>SUM(J70:J83)</f>
        <v>2832900</v>
      </c>
      <c r="K69" s="40">
        <f aca="true" t="shared" si="13" ref="K69:K93">SUM(I69:J69)</f>
        <v>10832900</v>
      </c>
      <c r="L69" s="7">
        <f>K69/H69</f>
        <v>0.5180731384656381</v>
      </c>
    </row>
    <row r="70" spans="1:12" s="11" customFormat="1" ht="21.75" customHeight="1" hidden="1">
      <c r="A70" s="73"/>
      <c r="B70" s="46" t="s">
        <v>67</v>
      </c>
      <c r="C70" s="21"/>
      <c r="D70" s="43"/>
      <c r="E70" s="22">
        <f t="shared" si="11"/>
        <v>0</v>
      </c>
      <c r="F70" s="21"/>
      <c r="G70" s="43"/>
      <c r="H70" s="22">
        <f t="shared" si="12"/>
        <v>0</v>
      </c>
      <c r="I70" s="23"/>
      <c r="J70" s="23"/>
      <c r="K70" s="22">
        <f t="shared" si="13"/>
        <v>0</v>
      </c>
      <c r="L70" s="7" t="e">
        <f>K70/H70</f>
        <v>#DIV/0!</v>
      </c>
    </row>
    <row r="71" spans="1:12" s="11" customFormat="1" ht="34.5" customHeight="1">
      <c r="A71" s="73"/>
      <c r="B71" s="46" t="s">
        <v>153</v>
      </c>
      <c r="C71" s="21"/>
      <c r="D71" s="43"/>
      <c r="E71" s="22">
        <f t="shared" si="11"/>
        <v>0</v>
      </c>
      <c r="F71" s="21"/>
      <c r="G71" s="43"/>
      <c r="H71" s="22">
        <f t="shared" si="12"/>
        <v>0</v>
      </c>
      <c r="I71" s="23"/>
      <c r="J71" s="23">
        <v>202900</v>
      </c>
      <c r="K71" s="22">
        <f t="shared" si="13"/>
        <v>202900</v>
      </c>
      <c r="L71" s="7"/>
    </row>
    <row r="72" spans="1:12" s="11" customFormat="1" ht="24" customHeight="1">
      <c r="A72" s="73"/>
      <c r="B72" s="46" t="s">
        <v>68</v>
      </c>
      <c r="C72" s="21">
        <v>405300</v>
      </c>
      <c r="D72" s="43"/>
      <c r="E72" s="22">
        <f t="shared" si="11"/>
        <v>405300</v>
      </c>
      <c r="F72" s="21">
        <v>405300</v>
      </c>
      <c r="G72" s="43"/>
      <c r="H72" s="22">
        <f t="shared" si="12"/>
        <v>405300</v>
      </c>
      <c r="I72" s="43"/>
      <c r="J72" s="43"/>
      <c r="K72" s="22">
        <f t="shared" si="13"/>
        <v>0</v>
      </c>
      <c r="L72" s="7">
        <f aca="true" t="shared" si="14" ref="L72:L82">K72/H72</f>
        <v>0</v>
      </c>
    </row>
    <row r="73" spans="1:12" s="24" customFormat="1" ht="26.25" customHeight="1">
      <c r="A73" s="72"/>
      <c r="B73" s="20" t="s">
        <v>69</v>
      </c>
      <c r="C73" s="21">
        <f>1741588-300000</f>
        <v>1441588</v>
      </c>
      <c r="D73" s="21"/>
      <c r="E73" s="22">
        <f t="shared" si="11"/>
        <v>1441588</v>
      </c>
      <c r="F73" s="21">
        <f>1741588-300000</f>
        <v>1441588</v>
      </c>
      <c r="G73" s="21"/>
      <c r="H73" s="22">
        <f t="shared" si="12"/>
        <v>1441588</v>
      </c>
      <c r="I73" s="23"/>
      <c r="J73" s="23"/>
      <c r="K73" s="22">
        <f t="shared" si="13"/>
        <v>0</v>
      </c>
      <c r="L73" s="7">
        <f t="shared" si="14"/>
        <v>0</v>
      </c>
    </row>
    <row r="74" spans="1:12" s="24" customFormat="1" ht="14.25" customHeight="1" hidden="1">
      <c r="A74" s="72"/>
      <c r="B74" s="20" t="s">
        <v>70</v>
      </c>
      <c r="C74" s="21"/>
      <c r="D74" s="21"/>
      <c r="E74" s="22">
        <f t="shared" si="11"/>
        <v>0</v>
      </c>
      <c r="F74" s="21"/>
      <c r="G74" s="21"/>
      <c r="H74" s="22">
        <f t="shared" si="12"/>
        <v>0</v>
      </c>
      <c r="I74" s="23"/>
      <c r="J74" s="23"/>
      <c r="K74" s="22">
        <f t="shared" si="13"/>
        <v>0</v>
      </c>
      <c r="L74" s="7" t="e">
        <f t="shared" si="14"/>
        <v>#DIV/0!</v>
      </c>
    </row>
    <row r="75" spans="1:12" s="24" customFormat="1" ht="25.5" customHeight="1" hidden="1">
      <c r="A75" s="72"/>
      <c r="B75" s="46" t="s">
        <v>71</v>
      </c>
      <c r="C75" s="21"/>
      <c r="D75" s="21"/>
      <c r="E75" s="22">
        <f t="shared" si="11"/>
        <v>0</v>
      </c>
      <c r="F75" s="21"/>
      <c r="G75" s="21"/>
      <c r="H75" s="22">
        <f t="shared" si="12"/>
        <v>0</v>
      </c>
      <c r="I75" s="23"/>
      <c r="J75" s="23"/>
      <c r="K75" s="22">
        <f t="shared" si="13"/>
        <v>0</v>
      </c>
      <c r="L75" s="7" t="e">
        <f t="shared" si="14"/>
        <v>#DIV/0!</v>
      </c>
    </row>
    <row r="76" spans="1:12" s="24" customFormat="1" ht="23.25" customHeight="1" hidden="1">
      <c r="A76" s="72"/>
      <c r="B76" s="46" t="s">
        <v>72</v>
      </c>
      <c r="C76" s="21"/>
      <c r="D76" s="21"/>
      <c r="E76" s="22">
        <f t="shared" si="11"/>
        <v>0</v>
      </c>
      <c r="F76" s="21"/>
      <c r="G76" s="21"/>
      <c r="H76" s="22">
        <f t="shared" si="12"/>
        <v>0</v>
      </c>
      <c r="I76" s="23"/>
      <c r="J76" s="23"/>
      <c r="K76" s="22">
        <f t="shared" si="13"/>
        <v>0</v>
      </c>
      <c r="L76" s="7" t="e">
        <f t="shared" si="14"/>
        <v>#DIV/0!</v>
      </c>
    </row>
    <row r="77" spans="1:12" s="24" customFormat="1" ht="25.5" customHeight="1">
      <c r="A77" s="72"/>
      <c r="B77" s="46" t="s">
        <v>72</v>
      </c>
      <c r="C77" s="21">
        <v>8275</v>
      </c>
      <c r="D77" s="21"/>
      <c r="E77" s="22">
        <f t="shared" si="11"/>
        <v>8275</v>
      </c>
      <c r="F77" s="21">
        <v>8275</v>
      </c>
      <c r="G77" s="21"/>
      <c r="H77" s="22">
        <f t="shared" si="12"/>
        <v>8275</v>
      </c>
      <c r="I77" s="23"/>
      <c r="J77" s="23"/>
      <c r="K77" s="22">
        <f t="shared" si="13"/>
        <v>0</v>
      </c>
      <c r="L77" s="7">
        <f t="shared" si="14"/>
        <v>0</v>
      </c>
    </row>
    <row r="78" spans="1:12" s="24" customFormat="1" ht="37.5" customHeight="1">
      <c r="A78" s="72"/>
      <c r="B78" s="46" t="s">
        <v>151</v>
      </c>
      <c r="C78" s="21">
        <v>15335</v>
      </c>
      <c r="D78" s="21"/>
      <c r="E78" s="22">
        <f t="shared" si="11"/>
        <v>15335</v>
      </c>
      <c r="F78" s="21">
        <v>15335</v>
      </c>
      <c r="G78" s="21"/>
      <c r="H78" s="22">
        <f t="shared" si="12"/>
        <v>15335</v>
      </c>
      <c r="I78" s="23"/>
      <c r="J78" s="23"/>
      <c r="K78" s="22">
        <f t="shared" si="13"/>
        <v>0</v>
      </c>
      <c r="L78" s="7">
        <f t="shared" si="14"/>
        <v>0</v>
      </c>
    </row>
    <row r="79" spans="1:12" s="24" customFormat="1" ht="35.25" customHeight="1">
      <c r="A79" s="72"/>
      <c r="B79" s="20" t="s">
        <v>73</v>
      </c>
      <c r="C79" s="21"/>
      <c r="D79" s="21">
        <v>21564891</v>
      </c>
      <c r="E79" s="22">
        <f t="shared" si="11"/>
        <v>21564891</v>
      </c>
      <c r="F79" s="21"/>
      <c r="G79" s="21">
        <v>14200000</v>
      </c>
      <c r="H79" s="22">
        <f t="shared" si="12"/>
        <v>14200000</v>
      </c>
      <c r="I79" s="23"/>
      <c r="J79" s="23">
        <v>2630000</v>
      </c>
      <c r="K79" s="22">
        <f t="shared" si="13"/>
        <v>2630000</v>
      </c>
      <c r="L79" s="7">
        <f t="shared" si="14"/>
        <v>0.1852112676056338</v>
      </c>
    </row>
    <row r="80" spans="1:12" s="24" customFormat="1" ht="25.5" customHeight="1">
      <c r="A80" s="72"/>
      <c r="B80" s="20" t="s">
        <v>74</v>
      </c>
      <c r="C80" s="21">
        <v>4800000</v>
      </c>
      <c r="D80" s="21"/>
      <c r="E80" s="22">
        <f>SUM(C80:D80)</f>
        <v>4800000</v>
      </c>
      <c r="F80" s="21">
        <v>4800000</v>
      </c>
      <c r="G80" s="21"/>
      <c r="H80" s="22">
        <f>SUM(F80:G80)</f>
        <v>4800000</v>
      </c>
      <c r="I80" s="21"/>
      <c r="J80" s="21"/>
      <c r="K80" s="22">
        <f>SUM(I80:J80)</f>
        <v>0</v>
      </c>
      <c r="L80" s="7">
        <f>K80/H80</f>
        <v>0</v>
      </c>
    </row>
    <row r="81" spans="1:12" s="24" customFormat="1" ht="22.5" customHeight="1">
      <c r="A81" s="72"/>
      <c r="B81" s="20" t="s">
        <v>155</v>
      </c>
      <c r="C81" s="21">
        <v>39484</v>
      </c>
      <c r="D81" s="21"/>
      <c r="E81" s="22">
        <f t="shared" si="11"/>
        <v>39484</v>
      </c>
      <c r="F81" s="21">
        <v>39484</v>
      </c>
      <c r="G81" s="21"/>
      <c r="H81" s="22">
        <f t="shared" si="12"/>
        <v>39484</v>
      </c>
      <c r="I81" s="21"/>
      <c r="J81" s="21"/>
      <c r="K81" s="22">
        <f t="shared" si="13"/>
        <v>0</v>
      </c>
      <c r="L81" s="7">
        <f t="shared" si="14"/>
        <v>0</v>
      </c>
    </row>
    <row r="82" spans="1:12" s="24" customFormat="1" ht="13.5" customHeight="1" hidden="1">
      <c r="A82" s="72"/>
      <c r="B82" s="20" t="s">
        <v>75</v>
      </c>
      <c r="C82" s="21"/>
      <c r="D82" s="21"/>
      <c r="E82" s="22">
        <f t="shared" si="11"/>
        <v>0</v>
      </c>
      <c r="F82" s="21"/>
      <c r="G82" s="21"/>
      <c r="H82" s="22">
        <f t="shared" si="12"/>
        <v>0</v>
      </c>
      <c r="I82" s="23"/>
      <c r="J82" s="23"/>
      <c r="K82" s="22">
        <f t="shared" si="13"/>
        <v>0</v>
      </c>
      <c r="L82" s="7" t="e">
        <f t="shared" si="14"/>
        <v>#DIV/0!</v>
      </c>
    </row>
    <row r="83" spans="1:12" s="49" customFormat="1" ht="28.5" customHeight="1">
      <c r="A83" s="74"/>
      <c r="B83" s="48" t="s">
        <v>76</v>
      </c>
      <c r="C83" s="21"/>
      <c r="D83" s="21"/>
      <c r="E83" s="22">
        <f t="shared" si="11"/>
        <v>0</v>
      </c>
      <c r="F83" s="21"/>
      <c r="G83" s="21"/>
      <c r="H83" s="22">
        <f t="shared" si="12"/>
        <v>0</v>
      </c>
      <c r="I83" s="23">
        <v>8000000</v>
      </c>
      <c r="J83" s="23">
        <f>D83*101.5%</f>
        <v>0</v>
      </c>
      <c r="K83" s="22">
        <f t="shared" si="13"/>
        <v>8000000</v>
      </c>
      <c r="L83" s="7"/>
    </row>
    <row r="84" spans="1:12" s="19" customFormat="1" ht="24" customHeight="1">
      <c r="A84" s="36">
        <v>7</v>
      </c>
      <c r="B84" s="39" t="s">
        <v>77</v>
      </c>
      <c r="C84" s="17">
        <f>SUM(C85:C94)</f>
        <v>21340024</v>
      </c>
      <c r="D84" s="17">
        <f>SUM(D85:D94)</f>
        <v>10373227</v>
      </c>
      <c r="E84" s="40">
        <f t="shared" si="11"/>
        <v>31713251</v>
      </c>
      <c r="F84" s="17">
        <f>SUM(F85:F94)</f>
        <v>21339774</v>
      </c>
      <c r="G84" s="17">
        <f>SUM(G85:G94)</f>
        <v>693319</v>
      </c>
      <c r="H84" s="40">
        <f t="shared" si="12"/>
        <v>22033093</v>
      </c>
      <c r="I84" s="40">
        <f>SUM(I85:I94)</f>
        <v>5523324</v>
      </c>
      <c r="J84" s="40">
        <f>SUM(J85:J94)</f>
        <v>75926246</v>
      </c>
      <c r="K84" s="40">
        <f t="shared" si="13"/>
        <v>81449570</v>
      </c>
      <c r="L84" s="7">
        <f>K84/H84</f>
        <v>3.6966925161165527</v>
      </c>
    </row>
    <row r="85" spans="1:12" ht="13.5" customHeight="1">
      <c r="A85" s="73"/>
      <c r="B85" s="41" t="s">
        <v>78</v>
      </c>
      <c r="C85" s="21"/>
      <c r="D85" s="21">
        <v>9643674</v>
      </c>
      <c r="E85" s="22">
        <f t="shared" si="11"/>
        <v>9643674</v>
      </c>
      <c r="F85" s="21"/>
      <c r="G85" s="21">
        <v>0</v>
      </c>
      <c r="H85" s="22">
        <f t="shared" si="12"/>
        <v>0</v>
      </c>
      <c r="I85" s="23"/>
      <c r="J85" s="23">
        <f>22053605+4751702</f>
        <v>26805307</v>
      </c>
      <c r="K85" s="22">
        <f t="shared" si="13"/>
        <v>26805307</v>
      </c>
      <c r="L85" s="7"/>
    </row>
    <row r="86" spans="1:12" ht="33" customHeight="1">
      <c r="A86" s="73"/>
      <c r="B86" s="41" t="s">
        <v>79</v>
      </c>
      <c r="C86" s="21">
        <v>15170000</v>
      </c>
      <c r="D86" s="21"/>
      <c r="E86" s="22">
        <f t="shared" si="11"/>
        <v>15170000</v>
      </c>
      <c r="F86" s="21">
        <v>15170000</v>
      </c>
      <c r="G86" s="21"/>
      <c r="H86" s="22">
        <f t="shared" si="12"/>
        <v>15170000</v>
      </c>
      <c r="I86" s="23"/>
      <c r="J86" s="23"/>
      <c r="K86" s="22">
        <f t="shared" si="13"/>
        <v>0</v>
      </c>
      <c r="L86" s="7">
        <f>K86/H86</f>
        <v>0</v>
      </c>
    </row>
    <row r="87" spans="1:12" ht="39" customHeight="1">
      <c r="A87" s="73"/>
      <c r="B87" s="41" t="s">
        <v>80</v>
      </c>
      <c r="C87" s="21">
        <v>161709</v>
      </c>
      <c r="D87" s="21"/>
      <c r="E87" s="22">
        <f t="shared" si="11"/>
        <v>161709</v>
      </c>
      <c r="F87" s="21">
        <v>161709</v>
      </c>
      <c r="G87" s="21"/>
      <c r="H87" s="22">
        <f t="shared" si="12"/>
        <v>161709</v>
      </c>
      <c r="I87" s="23"/>
      <c r="J87" s="23"/>
      <c r="K87" s="22">
        <f t="shared" si="13"/>
        <v>0</v>
      </c>
      <c r="L87" s="7">
        <f>K87/H87</f>
        <v>0</v>
      </c>
    </row>
    <row r="88" spans="1:12" ht="12.75" customHeight="1">
      <c r="A88" s="73"/>
      <c r="B88" s="41" t="s">
        <v>81</v>
      </c>
      <c r="C88" s="21"/>
      <c r="D88" s="21"/>
      <c r="E88" s="22">
        <f t="shared" si="11"/>
        <v>0</v>
      </c>
      <c r="F88" s="21"/>
      <c r="G88" s="21"/>
      <c r="H88" s="22">
        <f t="shared" si="12"/>
        <v>0</v>
      </c>
      <c r="I88" s="23"/>
      <c r="J88" s="23">
        <f>33939900+15000000</f>
        <v>48939900</v>
      </c>
      <c r="K88" s="22">
        <f t="shared" si="13"/>
        <v>48939900</v>
      </c>
      <c r="L88" s="7"/>
    </row>
    <row r="89" spans="1:12" ht="59.25" customHeight="1">
      <c r="A89" s="73"/>
      <c r="B89" s="20" t="s">
        <v>82</v>
      </c>
      <c r="C89" s="21">
        <f>103960+7960+104616</f>
        <v>216536</v>
      </c>
      <c r="D89" s="21">
        <v>402033</v>
      </c>
      <c r="E89" s="22">
        <f t="shared" si="11"/>
        <v>618569</v>
      </c>
      <c r="F89" s="21">
        <v>216536</v>
      </c>
      <c r="G89" s="21">
        <f>319345+82688</f>
        <v>402033</v>
      </c>
      <c r="H89" s="22">
        <f t="shared" si="12"/>
        <v>618569</v>
      </c>
      <c r="I89" s="23"/>
      <c r="J89" s="23">
        <v>119839</v>
      </c>
      <c r="K89" s="22">
        <f t="shared" si="13"/>
        <v>119839</v>
      </c>
      <c r="L89" s="7">
        <f aca="true" t="shared" si="15" ref="L89:L133">K89/H89</f>
        <v>0.19373586455189315</v>
      </c>
    </row>
    <row r="90" spans="1:12" s="24" customFormat="1" ht="36.75" customHeight="1">
      <c r="A90" s="72"/>
      <c r="B90" s="46" t="s">
        <v>154</v>
      </c>
      <c r="C90" s="21">
        <f>13000</f>
        <v>13000</v>
      </c>
      <c r="D90" s="21">
        <f>186234</f>
        <v>186234</v>
      </c>
      <c r="E90" s="22">
        <f>SUM(C90:D90)</f>
        <v>199234</v>
      </c>
      <c r="F90" s="21">
        <f>12750</f>
        <v>12750</v>
      </c>
      <c r="G90" s="21">
        <f>150000</f>
        <v>150000</v>
      </c>
      <c r="H90" s="22">
        <f>SUM(F90:G90)</f>
        <v>162750</v>
      </c>
      <c r="I90" s="23">
        <v>10000</v>
      </c>
      <c r="J90" s="23">
        <v>61200</v>
      </c>
      <c r="K90" s="22">
        <f>SUM(I90:J90)</f>
        <v>71200</v>
      </c>
      <c r="L90" s="7">
        <f>K90/H90</f>
        <v>0.43748079877112134</v>
      </c>
    </row>
    <row r="91" spans="1:12" ht="27" customHeight="1">
      <c r="A91" s="73"/>
      <c r="B91" s="20" t="s">
        <v>152</v>
      </c>
      <c r="C91" s="21"/>
      <c r="D91" s="21"/>
      <c r="E91" s="22">
        <f t="shared" si="11"/>
        <v>0</v>
      </c>
      <c r="F91" s="21"/>
      <c r="G91" s="21"/>
      <c r="H91" s="22">
        <f t="shared" si="12"/>
        <v>0</v>
      </c>
      <c r="I91" s="23">
        <v>103324</v>
      </c>
      <c r="J91" s="23"/>
      <c r="K91" s="22">
        <f t="shared" si="13"/>
        <v>103324</v>
      </c>
      <c r="L91" s="7"/>
    </row>
    <row r="92" spans="1:12" s="24" customFormat="1" ht="33" customHeight="1">
      <c r="A92" s="72"/>
      <c r="B92" s="20" t="s">
        <v>83</v>
      </c>
      <c r="C92" s="21"/>
      <c r="D92" s="21">
        <v>80526</v>
      </c>
      <c r="E92" s="22">
        <f t="shared" si="11"/>
        <v>80526</v>
      </c>
      <c r="F92" s="21"/>
      <c r="G92" s="21">
        <v>80526</v>
      </c>
      <c r="H92" s="22">
        <f t="shared" si="12"/>
        <v>80526</v>
      </c>
      <c r="I92" s="21"/>
      <c r="J92" s="21"/>
      <c r="K92" s="22">
        <f t="shared" si="13"/>
        <v>0</v>
      </c>
      <c r="L92" s="7">
        <f t="shared" si="15"/>
        <v>0</v>
      </c>
    </row>
    <row r="93" spans="1:12" s="24" customFormat="1" ht="24" customHeight="1">
      <c r="A93" s="72"/>
      <c r="B93" s="20" t="s">
        <v>84</v>
      </c>
      <c r="C93" s="21">
        <v>38779</v>
      </c>
      <c r="D93" s="21">
        <v>60760</v>
      </c>
      <c r="E93" s="22">
        <f t="shared" si="11"/>
        <v>99539</v>
      </c>
      <c r="F93" s="21">
        <v>38779</v>
      </c>
      <c r="G93" s="21">
        <v>60760</v>
      </c>
      <c r="H93" s="22">
        <f t="shared" si="12"/>
        <v>99539</v>
      </c>
      <c r="I93" s="21"/>
      <c r="J93" s="21"/>
      <c r="K93" s="22">
        <f t="shared" si="13"/>
        <v>0</v>
      </c>
      <c r="L93" s="7">
        <f t="shared" si="15"/>
        <v>0</v>
      </c>
    </row>
    <row r="94" spans="1:12" ht="23.25" customHeight="1">
      <c r="A94" s="73"/>
      <c r="B94" s="41" t="s">
        <v>85</v>
      </c>
      <c r="C94" s="21">
        <v>5740000</v>
      </c>
      <c r="D94" s="21"/>
      <c r="E94" s="22">
        <f t="shared" si="11"/>
        <v>5740000</v>
      </c>
      <c r="F94" s="21">
        <v>5740000</v>
      </c>
      <c r="G94" s="21"/>
      <c r="H94" s="22">
        <f t="shared" si="12"/>
        <v>5740000</v>
      </c>
      <c r="I94" s="23">
        <v>5410000</v>
      </c>
      <c r="K94" s="22">
        <f>SUM(I94:I94)</f>
        <v>5410000</v>
      </c>
      <c r="L94" s="7">
        <f t="shared" si="15"/>
        <v>0.9425087108013938</v>
      </c>
    </row>
    <row r="95" spans="1:12" s="19" customFormat="1" ht="24.75" customHeight="1">
      <c r="A95" s="36">
        <v>8</v>
      </c>
      <c r="B95" s="39" t="s">
        <v>86</v>
      </c>
      <c r="C95" s="17">
        <f>SUM(C96:C97)</f>
        <v>149538812</v>
      </c>
      <c r="D95" s="17">
        <f>SUM(D96:D97)</f>
        <v>42573226</v>
      </c>
      <c r="E95" s="40">
        <f t="shared" si="11"/>
        <v>192112038</v>
      </c>
      <c r="F95" s="17">
        <f>SUM(F96:F97)</f>
        <v>149538812</v>
      </c>
      <c r="G95" s="17">
        <f>SUM(G96:G97)</f>
        <v>42573226</v>
      </c>
      <c r="H95" s="40">
        <f t="shared" si="12"/>
        <v>192112038</v>
      </c>
      <c r="I95" s="40">
        <f>SUM(I96:I97)</f>
        <v>169825170</v>
      </c>
      <c r="J95" s="40">
        <f>SUM(J96:J97)</f>
        <v>47973908</v>
      </c>
      <c r="K95" s="40">
        <f aca="true" t="shared" si="16" ref="K95:K138">SUM(I95:J95)</f>
        <v>217799078</v>
      </c>
      <c r="L95" s="7">
        <f t="shared" si="15"/>
        <v>1.1337086434947923</v>
      </c>
    </row>
    <row r="96" spans="1:12" ht="18.75" customHeight="1">
      <c r="A96" s="73"/>
      <c r="B96" s="41" t="s">
        <v>87</v>
      </c>
      <c r="C96" s="21">
        <f>137843412+923116</f>
        <v>138766528</v>
      </c>
      <c r="D96" s="21">
        <f>39676916+265710</f>
        <v>39942626</v>
      </c>
      <c r="E96" s="22">
        <f t="shared" si="11"/>
        <v>178709154</v>
      </c>
      <c r="F96" s="21">
        <f>137843412+923116</f>
        <v>138766528</v>
      </c>
      <c r="G96" s="21">
        <f>39676916+265710</f>
        <v>39942626</v>
      </c>
      <c r="H96" s="22">
        <f t="shared" si="12"/>
        <v>178709154</v>
      </c>
      <c r="I96" s="23">
        <v>158895170</v>
      </c>
      <c r="J96" s="23">
        <v>45303908</v>
      </c>
      <c r="K96" s="22">
        <f t="shared" si="16"/>
        <v>204199078</v>
      </c>
      <c r="L96" s="7">
        <f t="shared" si="15"/>
        <v>1.142633566493186</v>
      </c>
    </row>
    <row r="97" spans="1:12" ht="18" customHeight="1">
      <c r="A97" s="73"/>
      <c r="B97" s="41" t="s">
        <v>88</v>
      </c>
      <c r="C97" s="21">
        <f>8600000+2172284</f>
        <v>10772284</v>
      </c>
      <c r="D97" s="21">
        <f>2100000+530600</f>
        <v>2630600</v>
      </c>
      <c r="E97" s="22">
        <f t="shared" si="11"/>
        <v>13402884</v>
      </c>
      <c r="F97" s="21">
        <f>8600000+2172284</f>
        <v>10772284</v>
      </c>
      <c r="G97" s="21">
        <f>2100000+530600</f>
        <v>2630600</v>
      </c>
      <c r="H97" s="22">
        <f t="shared" si="12"/>
        <v>13402884</v>
      </c>
      <c r="I97" s="23">
        <v>10930000</v>
      </c>
      <c r="J97" s="23">
        <v>2670000</v>
      </c>
      <c r="K97" s="22">
        <f t="shared" si="16"/>
        <v>13600000</v>
      </c>
      <c r="L97" s="7">
        <f t="shared" si="15"/>
        <v>1.0147069839595717</v>
      </c>
    </row>
    <row r="98" spans="1:12" s="16" customFormat="1" ht="18" customHeight="1">
      <c r="A98" s="80" t="s">
        <v>89</v>
      </c>
      <c r="B98" s="80"/>
      <c r="C98" s="50">
        <f>SUM(C99:C102)</f>
        <v>69148223</v>
      </c>
      <c r="D98" s="50">
        <f>SUM(D99:D102)</f>
        <v>68106278</v>
      </c>
      <c r="E98" s="51">
        <f t="shared" si="11"/>
        <v>137254501</v>
      </c>
      <c r="F98" s="50">
        <f>SUM(F99:F102)</f>
        <v>69148223</v>
      </c>
      <c r="G98" s="50">
        <f>SUM(G99:G102)</f>
        <v>68106278</v>
      </c>
      <c r="H98" s="51">
        <f t="shared" si="12"/>
        <v>137254501</v>
      </c>
      <c r="I98" s="51">
        <f>SUM(I99:I102)</f>
        <v>70256679</v>
      </c>
      <c r="J98" s="51">
        <f>SUM(J99:J102)</f>
        <v>63852045</v>
      </c>
      <c r="K98" s="51">
        <f t="shared" si="16"/>
        <v>134108724</v>
      </c>
      <c r="L98" s="7">
        <f t="shared" si="15"/>
        <v>0.9770807006176067</v>
      </c>
    </row>
    <row r="99" spans="1:12" s="2" customFormat="1" ht="12.75" customHeight="1">
      <c r="A99" s="73">
        <v>1</v>
      </c>
      <c r="B99" s="41" t="s">
        <v>90</v>
      </c>
      <c r="C99" s="21">
        <f>70446038-2286984+81728+3400+833147</f>
        <v>69077329</v>
      </c>
      <c r="D99" s="21">
        <f>61525907-1221568+137458+114600+445016</f>
        <v>61001413</v>
      </c>
      <c r="E99" s="22">
        <f t="shared" si="11"/>
        <v>130078742</v>
      </c>
      <c r="F99" s="21">
        <f>70446038-2286984+81728+3400+833147</f>
        <v>69077329</v>
      </c>
      <c r="G99" s="21">
        <f>61525907-1221568+137458+114600+445016</f>
        <v>61001413</v>
      </c>
      <c r="H99" s="22">
        <f t="shared" si="12"/>
        <v>130078742</v>
      </c>
      <c r="I99" s="23">
        <v>70256679</v>
      </c>
      <c r="J99" s="23">
        <v>62042698</v>
      </c>
      <c r="K99" s="22">
        <f t="shared" si="16"/>
        <v>132299377</v>
      </c>
      <c r="L99" s="7">
        <f t="shared" si="15"/>
        <v>1.0170714673732009</v>
      </c>
    </row>
    <row r="100" spans="1:12" s="2" customFormat="1" ht="15" customHeight="1">
      <c r="A100" s="73">
        <v>2</v>
      </c>
      <c r="B100" s="41" t="s">
        <v>91</v>
      </c>
      <c r="C100" s="21">
        <v>70894</v>
      </c>
      <c r="D100" s="21">
        <v>6500000</v>
      </c>
      <c r="E100" s="22">
        <f t="shared" si="11"/>
        <v>6570894</v>
      </c>
      <c r="F100" s="21">
        <v>70894</v>
      </c>
      <c r="G100" s="21">
        <v>6500000</v>
      </c>
      <c r="H100" s="22">
        <f t="shared" si="12"/>
        <v>6570894</v>
      </c>
      <c r="I100" s="23"/>
      <c r="J100" s="23"/>
      <c r="K100" s="22">
        <f t="shared" si="16"/>
        <v>0</v>
      </c>
      <c r="L100" s="7">
        <f t="shared" si="15"/>
        <v>0</v>
      </c>
    </row>
    <row r="101" spans="1:12" s="2" customFormat="1" ht="15" customHeight="1" hidden="1">
      <c r="A101" s="73">
        <v>3</v>
      </c>
      <c r="B101" s="45" t="s">
        <v>92</v>
      </c>
      <c r="C101" s="21"/>
      <c r="D101" s="21"/>
      <c r="E101" s="22">
        <f t="shared" si="11"/>
        <v>0</v>
      </c>
      <c r="F101" s="21"/>
      <c r="G101" s="21"/>
      <c r="H101" s="22">
        <f t="shared" si="12"/>
        <v>0</v>
      </c>
      <c r="I101" s="23"/>
      <c r="J101" s="23"/>
      <c r="K101" s="22">
        <f t="shared" si="16"/>
        <v>0</v>
      </c>
      <c r="L101" s="7" t="e">
        <f t="shared" si="15"/>
        <v>#DIV/0!</v>
      </c>
    </row>
    <row r="102" spans="1:12" s="2" customFormat="1" ht="15" customHeight="1">
      <c r="A102" s="73">
        <v>3</v>
      </c>
      <c r="B102" s="45" t="s">
        <v>93</v>
      </c>
      <c r="C102" s="21"/>
      <c r="D102" s="21">
        <v>604865</v>
      </c>
      <c r="E102" s="22">
        <f t="shared" si="11"/>
        <v>604865</v>
      </c>
      <c r="F102" s="21"/>
      <c r="G102" s="21">
        <v>604865</v>
      </c>
      <c r="H102" s="22">
        <f t="shared" si="12"/>
        <v>604865</v>
      </c>
      <c r="I102" s="23"/>
      <c r="J102" s="23">
        <v>1809347</v>
      </c>
      <c r="K102" s="22">
        <f t="shared" si="16"/>
        <v>1809347</v>
      </c>
      <c r="L102" s="7">
        <f t="shared" si="15"/>
        <v>2.991323683797211</v>
      </c>
    </row>
    <row r="103" spans="1:12" s="52" customFormat="1" ht="30" customHeight="1">
      <c r="A103" s="82" t="s">
        <v>94</v>
      </c>
      <c r="B103" s="82"/>
      <c r="C103" s="50">
        <f>C104+C133+C138</f>
        <v>40285754</v>
      </c>
      <c r="D103" s="50">
        <f>D104+D133+D138</f>
        <v>14601138</v>
      </c>
      <c r="E103" s="51">
        <f t="shared" si="11"/>
        <v>54886892</v>
      </c>
      <c r="F103" s="50">
        <f>F104+F133+F138</f>
        <v>40285754</v>
      </c>
      <c r="G103" s="50">
        <f>G104+G133+G138</f>
        <v>14601138</v>
      </c>
      <c r="H103" s="51">
        <f t="shared" si="12"/>
        <v>54886892</v>
      </c>
      <c r="I103" s="50">
        <f>I104+I133+I138</f>
        <v>46940085</v>
      </c>
      <c r="J103" s="50">
        <f>J104+J133+J138</f>
        <v>13350860</v>
      </c>
      <c r="K103" s="51">
        <f t="shared" si="16"/>
        <v>60290945</v>
      </c>
      <c r="L103" s="7">
        <f t="shared" si="15"/>
        <v>1.0984579888400312</v>
      </c>
    </row>
    <row r="104" spans="1:12" s="54" customFormat="1" ht="16.5" customHeight="1">
      <c r="A104" s="75">
        <v>1</v>
      </c>
      <c r="B104" s="53" t="s">
        <v>95</v>
      </c>
      <c r="C104" s="17">
        <f>SUM(C105:C110,C122:C132)</f>
        <v>36892258</v>
      </c>
      <c r="D104" s="17">
        <f>SUM(D105:D110,D122:D132)</f>
        <v>13133218</v>
      </c>
      <c r="E104" s="40">
        <f t="shared" si="11"/>
        <v>50025476</v>
      </c>
      <c r="F104" s="17">
        <f>SUM(F105:F110,F122:F132)</f>
        <v>36892258</v>
      </c>
      <c r="G104" s="17">
        <f>SUM(G105:G110,G122:G132)</f>
        <v>13133218</v>
      </c>
      <c r="H104" s="40">
        <f t="shared" si="12"/>
        <v>50025476</v>
      </c>
      <c r="I104" s="17">
        <f>SUM(I105:I110,I122:I132)</f>
        <v>45251470</v>
      </c>
      <c r="J104" s="17">
        <f>SUM(J105:J110,J122:J132)</f>
        <v>12071660</v>
      </c>
      <c r="K104" s="40">
        <f t="shared" si="16"/>
        <v>57323130</v>
      </c>
      <c r="L104" s="7">
        <f t="shared" si="15"/>
        <v>1.145878751858353</v>
      </c>
    </row>
    <row r="105" spans="1:12" s="2" customFormat="1" ht="12.75" customHeight="1">
      <c r="A105" s="73"/>
      <c r="B105" s="55" t="s">
        <v>96</v>
      </c>
      <c r="C105" s="21"/>
      <c r="D105" s="21">
        <v>434400</v>
      </c>
      <c r="E105" s="22">
        <f t="shared" si="11"/>
        <v>434400</v>
      </c>
      <c r="F105" s="21"/>
      <c r="G105" s="21">
        <v>434400</v>
      </c>
      <c r="H105" s="22">
        <f t="shared" si="12"/>
        <v>434400</v>
      </c>
      <c r="I105" s="23"/>
      <c r="J105" s="23">
        <v>492000</v>
      </c>
      <c r="K105" s="22">
        <f t="shared" si="16"/>
        <v>492000</v>
      </c>
      <c r="L105" s="7">
        <f>K105/H105</f>
        <v>1.132596685082873</v>
      </c>
    </row>
    <row r="106" spans="1:12" s="2" customFormat="1" ht="24.75" customHeight="1" hidden="1">
      <c r="A106" s="73"/>
      <c r="B106" s="55" t="s">
        <v>97</v>
      </c>
      <c r="C106" s="21"/>
      <c r="D106" s="21"/>
      <c r="E106" s="22">
        <f t="shared" si="11"/>
        <v>0</v>
      </c>
      <c r="F106" s="21"/>
      <c r="G106" s="21"/>
      <c r="H106" s="22">
        <f t="shared" si="12"/>
        <v>0</v>
      </c>
      <c r="I106" s="23"/>
      <c r="J106" s="23"/>
      <c r="K106" s="22">
        <f t="shared" si="16"/>
        <v>0</v>
      </c>
      <c r="L106" s="7" t="e">
        <f>K106/H106</f>
        <v>#DIV/0!</v>
      </c>
    </row>
    <row r="107" spans="1:12" s="2" customFormat="1" ht="13.5" customHeight="1">
      <c r="A107" s="73"/>
      <c r="B107" s="55" t="s">
        <v>149</v>
      </c>
      <c r="C107" s="21"/>
      <c r="D107" s="21">
        <v>44000</v>
      </c>
      <c r="E107" s="22">
        <f t="shared" si="11"/>
        <v>44000</v>
      </c>
      <c r="F107" s="21"/>
      <c r="G107" s="21">
        <v>44000</v>
      </c>
      <c r="H107" s="22">
        <f t="shared" si="12"/>
        <v>44000</v>
      </c>
      <c r="I107" s="23"/>
      <c r="J107" s="23"/>
      <c r="K107" s="22">
        <f t="shared" si="16"/>
        <v>0</v>
      </c>
      <c r="L107" s="7">
        <f>K107/H107</f>
        <v>0</v>
      </c>
    </row>
    <row r="108" spans="1:12" ht="25.5" customHeight="1">
      <c r="A108" s="73"/>
      <c r="B108" s="41" t="s">
        <v>98</v>
      </c>
      <c r="C108" s="21"/>
      <c r="D108" s="21">
        <f>7826000+60000+200000+20000+40200+200000</f>
        <v>8346200</v>
      </c>
      <c r="E108" s="22">
        <f aca="true" t="shared" si="17" ref="E108:E138">SUM(C108:D108)</f>
        <v>8346200</v>
      </c>
      <c r="F108" s="21"/>
      <c r="G108" s="21">
        <f>8106000+40200+200000</f>
        <v>8346200</v>
      </c>
      <c r="H108" s="22">
        <f aca="true" t="shared" si="18" ref="H108:H138">SUM(F108:G108)</f>
        <v>8346200</v>
      </c>
      <c r="I108" s="23"/>
      <c r="J108" s="23">
        <f>8195000+300000</f>
        <v>8495000</v>
      </c>
      <c r="K108" s="22">
        <f t="shared" si="16"/>
        <v>8495000</v>
      </c>
      <c r="L108" s="7">
        <f t="shared" si="15"/>
        <v>1.0178284728379383</v>
      </c>
    </row>
    <row r="109" spans="1:12" ht="13.5" customHeight="1" hidden="1">
      <c r="A109" s="76"/>
      <c r="B109" s="56" t="s">
        <v>99</v>
      </c>
      <c r="C109" s="21"/>
      <c r="D109" s="21"/>
      <c r="E109" s="22">
        <f t="shared" si="17"/>
        <v>0</v>
      </c>
      <c r="F109" s="21"/>
      <c r="G109" s="21"/>
      <c r="H109" s="22">
        <f t="shared" si="18"/>
        <v>0</v>
      </c>
      <c r="I109" s="23"/>
      <c r="J109" s="23"/>
      <c r="K109" s="22">
        <f t="shared" si="16"/>
        <v>0</v>
      </c>
      <c r="L109" s="7" t="e">
        <f t="shared" si="15"/>
        <v>#DIV/0!</v>
      </c>
    </row>
    <row r="110" spans="1:12" ht="13.5" customHeight="1">
      <c r="A110" s="73"/>
      <c r="B110" s="41" t="s">
        <v>100</v>
      </c>
      <c r="C110" s="21">
        <f>SUM(C111:C121)</f>
        <v>34995320</v>
      </c>
      <c r="D110" s="21">
        <f>SUM(D111:D121)</f>
        <v>321800</v>
      </c>
      <c r="E110" s="22">
        <f t="shared" si="17"/>
        <v>35317120</v>
      </c>
      <c r="F110" s="21">
        <f>SUM(F111:F121)</f>
        <v>34995320</v>
      </c>
      <c r="G110" s="21">
        <f>SUM(G111:G121)</f>
        <v>321800</v>
      </c>
      <c r="H110" s="22">
        <f t="shared" si="18"/>
        <v>35317120</v>
      </c>
      <c r="I110" s="23">
        <f>SUM(I111:I121)</f>
        <v>44113630</v>
      </c>
      <c r="J110" s="23">
        <f>SUM(J111:J121)</f>
        <v>265000</v>
      </c>
      <c r="K110" s="22">
        <f t="shared" si="16"/>
        <v>44378630</v>
      </c>
      <c r="L110" s="7">
        <f t="shared" si="15"/>
        <v>1.2565755644854393</v>
      </c>
    </row>
    <row r="111" spans="1:12" s="11" customFormat="1" ht="12" customHeight="1">
      <c r="A111" s="70"/>
      <c r="B111" s="57" t="s">
        <v>101</v>
      </c>
      <c r="C111" s="28">
        <f>556360-89080-31680+20200</f>
        <v>455800</v>
      </c>
      <c r="D111" s="28"/>
      <c r="E111" s="29">
        <f t="shared" si="17"/>
        <v>455800</v>
      </c>
      <c r="F111" s="28">
        <f>556360-89080-31680+20200</f>
        <v>455800</v>
      </c>
      <c r="G111" s="28"/>
      <c r="H111" s="29">
        <f t="shared" si="18"/>
        <v>455800</v>
      </c>
      <c r="I111" s="30">
        <v>558360</v>
      </c>
      <c r="J111" s="30"/>
      <c r="K111" s="29">
        <f t="shared" si="16"/>
        <v>558360</v>
      </c>
      <c r="L111" s="31">
        <f t="shared" si="15"/>
        <v>1.225010969723563</v>
      </c>
    </row>
    <row r="112" spans="1:12" s="11" customFormat="1" ht="12" customHeight="1">
      <c r="A112" s="70"/>
      <c r="B112" s="57" t="s">
        <v>102</v>
      </c>
      <c r="C112" s="28">
        <f>428490+16510-18900</f>
        <v>426100</v>
      </c>
      <c r="D112" s="28"/>
      <c r="E112" s="29">
        <f t="shared" si="17"/>
        <v>426100</v>
      </c>
      <c r="F112" s="28">
        <f>428490+16510-18900</f>
        <v>426100</v>
      </c>
      <c r="G112" s="28"/>
      <c r="H112" s="29">
        <f t="shared" si="18"/>
        <v>426100</v>
      </c>
      <c r="I112" s="30">
        <v>490390</v>
      </c>
      <c r="J112" s="30"/>
      <c r="K112" s="29">
        <f t="shared" si="16"/>
        <v>490390</v>
      </c>
      <c r="L112" s="31">
        <f t="shared" si="15"/>
        <v>1.1508800750997419</v>
      </c>
    </row>
    <row r="113" spans="1:12" s="11" customFormat="1" ht="13.5" customHeight="1">
      <c r="A113" s="70"/>
      <c r="B113" s="57" t="s">
        <v>103</v>
      </c>
      <c r="C113" s="28">
        <f>5053200+49800-303000-222000</f>
        <v>4578000</v>
      </c>
      <c r="D113" s="28"/>
      <c r="E113" s="29">
        <f t="shared" si="17"/>
        <v>4578000</v>
      </c>
      <c r="F113" s="28">
        <f>5053200+49800-303000-222000</f>
        <v>4578000</v>
      </c>
      <c r="G113" s="28"/>
      <c r="H113" s="29">
        <f t="shared" si="18"/>
        <v>4578000</v>
      </c>
      <c r="I113" s="30">
        <v>5160000</v>
      </c>
      <c r="J113" s="30"/>
      <c r="K113" s="29">
        <f t="shared" si="16"/>
        <v>5160000</v>
      </c>
      <c r="L113" s="31">
        <f t="shared" si="15"/>
        <v>1.127129750982962</v>
      </c>
    </row>
    <row r="114" spans="1:12" s="11" customFormat="1" ht="11.25" customHeight="1">
      <c r="A114" s="70"/>
      <c r="B114" s="57" t="s">
        <v>104</v>
      </c>
      <c r="C114" s="28">
        <f>32407310-3100310</f>
        <v>29307000</v>
      </c>
      <c r="D114" s="28">
        <v>41800</v>
      </c>
      <c r="E114" s="29">
        <f t="shared" si="17"/>
        <v>29348800</v>
      </c>
      <c r="F114" s="28">
        <f>32407310-3100310</f>
        <v>29307000</v>
      </c>
      <c r="G114" s="28">
        <v>41800</v>
      </c>
      <c r="H114" s="29">
        <f t="shared" si="18"/>
        <v>29348800</v>
      </c>
      <c r="I114" s="30">
        <v>37603050</v>
      </c>
      <c r="J114" s="30"/>
      <c r="K114" s="29">
        <f t="shared" si="16"/>
        <v>37603050</v>
      </c>
      <c r="L114" s="31">
        <f t="shared" si="15"/>
        <v>1.2812465927056642</v>
      </c>
    </row>
    <row r="115" spans="1:12" s="11" customFormat="1" ht="13.5" customHeight="1" hidden="1">
      <c r="A115" s="70"/>
      <c r="B115" s="57" t="s">
        <v>105</v>
      </c>
      <c r="C115" s="28"/>
      <c r="D115" s="28"/>
      <c r="E115" s="29">
        <f t="shared" si="17"/>
        <v>0</v>
      </c>
      <c r="F115" s="28"/>
      <c r="G115" s="28"/>
      <c r="H115" s="29">
        <f t="shared" si="18"/>
        <v>0</v>
      </c>
      <c r="I115" s="30">
        <f aca="true" t="shared" si="19" ref="I115:J117">C115*101.5%</f>
        <v>0</v>
      </c>
      <c r="J115" s="30">
        <f t="shared" si="19"/>
        <v>0</v>
      </c>
      <c r="K115" s="29">
        <f t="shared" si="16"/>
        <v>0</v>
      </c>
      <c r="L115" s="31" t="e">
        <f t="shared" si="15"/>
        <v>#DIV/0!</v>
      </c>
    </row>
    <row r="116" spans="1:12" s="11" customFormat="1" ht="13.5" customHeight="1" hidden="1">
      <c r="A116" s="70"/>
      <c r="B116" s="57" t="s">
        <v>106</v>
      </c>
      <c r="C116" s="28"/>
      <c r="D116" s="28"/>
      <c r="E116" s="29">
        <f t="shared" si="17"/>
        <v>0</v>
      </c>
      <c r="F116" s="28"/>
      <c r="G116" s="28"/>
      <c r="H116" s="29">
        <f t="shared" si="18"/>
        <v>0</v>
      </c>
      <c r="I116" s="30">
        <f t="shared" si="19"/>
        <v>0</v>
      </c>
      <c r="J116" s="30">
        <f t="shared" si="19"/>
        <v>0</v>
      </c>
      <c r="K116" s="29">
        <f t="shared" si="16"/>
        <v>0</v>
      </c>
      <c r="L116" s="31" t="e">
        <f t="shared" si="15"/>
        <v>#DIV/0!</v>
      </c>
    </row>
    <row r="117" spans="1:12" s="11" customFormat="1" ht="13.5" customHeight="1" hidden="1">
      <c r="A117" s="70"/>
      <c r="B117" s="57" t="s">
        <v>107</v>
      </c>
      <c r="C117" s="28"/>
      <c r="D117" s="28"/>
      <c r="E117" s="29">
        <f t="shared" si="17"/>
        <v>0</v>
      </c>
      <c r="F117" s="28"/>
      <c r="G117" s="28"/>
      <c r="H117" s="29">
        <f t="shared" si="18"/>
        <v>0</v>
      </c>
      <c r="I117" s="30">
        <f t="shared" si="19"/>
        <v>0</v>
      </c>
      <c r="J117" s="30">
        <f t="shared" si="19"/>
        <v>0</v>
      </c>
      <c r="K117" s="29">
        <f t="shared" si="16"/>
        <v>0</v>
      </c>
      <c r="L117" s="31" t="e">
        <f t="shared" si="15"/>
        <v>#DIV/0!</v>
      </c>
    </row>
    <row r="118" spans="1:12" s="11" customFormat="1" ht="14.25" customHeight="1">
      <c r="A118" s="70"/>
      <c r="B118" s="57" t="s">
        <v>108</v>
      </c>
      <c r="C118" s="28">
        <f>248420-20000</f>
        <v>228420</v>
      </c>
      <c r="D118" s="28"/>
      <c r="E118" s="29">
        <f t="shared" si="17"/>
        <v>228420</v>
      </c>
      <c r="F118" s="28">
        <f>248420-20000</f>
        <v>228420</v>
      </c>
      <c r="G118" s="28"/>
      <c r="H118" s="29">
        <f t="shared" si="18"/>
        <v>228420</v>
      </c>
      <c r="I118" s="30">
        <v>301830</v>
      </c>
      <c r="J118" s="30"/>
      <c r="K118" s="29">
        <f t="shared" si="16"/>
        <v>301830</v>
      </c>
      <c r="L118" s="31">
        <f t="shared" si="15"/>
        <v>1.3213816653532966</v>
      </c>
    </row>
    <row r="119" spans="1:12" s="11" customFormat="1" ht="13.5" customHeight="1" hidden="1">
      <c r="A119" s="70"/>
      <c r="B119" s="57" t="s">
        <v>109</v>
      </c>
      <c r="C119" s="28"/>
      <c r="D119" s="28"/>
      <c r="E119" s="29">
        <f t="shared" si="17"/>
        <v>0</v>
      </c>
      <c r="F119" s="28"/>
      <c r="G119" s="28"/>
      <c r="H119" s="29">
        <f t="shared" si="18"/>
        <v>0</v>
      </c>
      <c r="I119" s="30">
        <f>C119*101.5%</f>
        <v>0</v>
      </c>
      <c r="J119" s="30">
        <f>D119*101.5%</f>
        <v>0</v>
      </c>
      <c r="K119" s="29">
        <f t="shared" si="16"/>
        <v>0</v>
      </c>
      <c r="L119" s="31" t="e">
        <f t="shared" si="15"/>
        <v>#DIV/0!</v>
      </c>
    </row>
    <row r="120" spans="1:12" s="11" customFormat="1" ht="21.75" customHeight="1">
      <c r="A120" s="70"/>
      <c r="B120" s="57" t="s">
        <v>110</v>
      </c>
      <c r="C120" s="28"/>
      <c r="D120" s="28">
        <f>255000+25000</f>
        <v>280000</v>
      </c>
      <c r="E120" s="29">
        <f t="shared" si="17"/>
        <v>280000</v>
      </c>
      <c r="F120" s="28"/>
      <c r="G120" s="28">
        <f>255000+25000</f>
        <v>280000</v>
      </c>
      <c r="H120" s="29">
        <f t="shared" si="18"/>
        <v>280000</v>
      </c>
      <c r="I120" s="30"/>
      <c r="J120" s="30">
        <v>265000</v>
      </c>
      <c r="K120" s="29">
        <f t="shared" si="16"/>
        <v>265000</v>
      </c>
      <c r="L120" s="31">
        <f t="shared" si="15"/>
        <v>0.9464285714285714</v>
      </c>
    </row>
    <row r="121" spans="1:12" s="11" customFormat="1" ht="11.25" customHeight="1" hidden="1">
      <c r="A121" s="70"/>
      <c r="B121" s="57" t="s">
        <v>111</v>
      </c>
      <c r="C121" s="28"/>
      <c r="D121" s="28"/>
      <c r="E121" s="22">
        <f t="shared" si="17"/>
        <v>0</v>
      </c>
      <c r="F121" s="28"/>
      <c r="G121" s="28"/>
      <c r="H121" s="22">
        <f t="shared" si="18"/>
        <v>0</v>
      </c>
      <c r="I121" s="23"/>
      <c r="J121" s="23"/>
      <c r="K121" s="22">
        <f t="shared" si="16"/>
        <v>0</v>
      </c>
      <c r="L121" s="7" t="e">
        <f t="shared" si="15"/>
        <v>#DIV/0!</v>
      </c>
    </row>
    <row r="122" spans="1:12" ht="14.25" customHeight="1">
      <c r="A122" s="73"/>
      <c r="B122" s="41" t="s">
        <v>112</v>
      </c>
      <c r="C122" s="21"/>
      <c r="D122" s="21">
        <f>1508000+68000+76240+51000</f>
        <v>1703240</v>
      </c>
      <c r="E122" s="22">
        <f t="shared" si="17"/>
        <v>1703240</v>
      </c>
      <c r="F122" s="21"/>
      <c r="G122" s="21">
        <f>1508000+68000+76240+51000</f>
        <v>1703240</v>
      </c>
      <c r="H122" s="22">
        <f t="shared" si="18"/>
        <v>1703240</v>
      </c>
      <c r="I122" s="23"/>
      <c r="J122" s="23">
        <v>1820260</v>
      </c>
      <c r="K122" s="22">
        <f t="shared" si="16"/>
        <v>1820260</v>
      </c>
      <c r="L122" s="7">
        <f t="shared" si="15"/>
        <v>1.06870435170616</v>
      </c>
    </row>
    <row r="123" spans="1:12" ht="12" customHeight="1">
      <c r="A123" s="73"/>
      <c r="B123" s="41" t="s">
        <v>113</v>
      </c>
      <c r="C123" s="21">
        <v>1054500</v>
      </c>
      <c r="D123" s="21">
        <v>531300</v>
      </c>
      <c r="E123" s="22">
        <f t="shared" si="17"/>
        <v>1585800</v>
      </c>
      <c r="F123" s="21">
        <v>1054500</v>
      </c>
      <c r="G123" s="21">
        <v>531300</v>
      </c>
      <c r="H123" s="22">
        <f t="shared" si="18"/>
        <v>1585800</v>
      </c>
      <c r="I123" s="23">
        <v>1099500</v>
      </c>
      <c r="J123" s="23">
        <v>537200</v>
      </c>
      <c r="K123" s="22">
        <f t="shared" si="16"/>
        <v>1636700</v>
      </c>
      <c r="L123" s="7">
        <f t="shared" si="15"/>
        <v>1.0320973641064446</v>
      </c>
    </row>
    <row r="124" spans="1:12" ht="20.25" customHeight="1" hidden="1">
      <c r="A124" s="73"/>
      <c r="B124" s="41" t="s">
        <v>114</v>
      </c>
      <c r="C124" s="21"/>
      <c r="D124" s="21"/>
      <c r="E124" s="22">
        <f t="shared" si="17"/>
        <v>0</v>
      </c>
      <c r="F124" s="21"/>
      <c r="G124" s="21"/>
      <c r="H124" s="22">
        <f t="shared" si="18"/>
        <v>0</v>
      </c>
      <c r="I124" s="23">
        <f>C124*101.5%</f>
        <v>0</v>
      </c>
      <c r="J124" s="23">
        <f>D124*101.5%</f>
        <v>0</v>
      </c>
      <c r="K124" s="22">
        <f t="shared" si="16"/>
        <v>0</v>
      </c>
      <c r="L124" s="7" t="e">
        <f t="shared" si="15"/>
        <v>#DIV/0!</v>
      </c>
    </row>
    <row r="125" spans="1:12" ht="12" customHeight="1">
      <c r="A125" s="73"/>
      <c r="B125" s="41" t="s">
        <v>115</v>
      </c>
      <c r="C125" s="21">
        <f>306270+8000</f>
        <v>314270</v>
      </c>
      <c r="D125" s="21"/>
      <c r="E125" s="22">
        <f t="shared" si="17"/>
        <v>314270</v>
      </c>
      <c r="F125" s="21">
        <f>306270+8000</f>
        <v>314270</v>
      </c>
      <c r="G125" s="21"/>
      <c r="H125" s="22">
        <f t="shared" si="18"/>
        <v>314270</v>
      </c>
      <c r="I125" s="23"/>
      <c r="J125" s="23"/>
      <c r="K125" s="22">
        <f t="shared" si="16"/>
        <v>0</v>
      </c>
      <c r="L125" s="7">
        <f t="shared" si="15"/>
        <v>0</v>
      </c>
    </row>
    <row r="126" spans="1:12" ht="14.25" customHeight="1">
      <c r="A126" s="73"/>
      <c r="B126" s="41" t="s">
        <v>116</v>
      </c>
      <c r="C126" s="21">
        <f>95710+19398+148680+227770</f>
        <v>491558</v>
      </c>
      <c r="D126" s="21"/>
      <c r="E126" s="22">
        <f t="shared" si="17"/>
        <v>491558</v>
      </c>
      <c r="F126" s="21">
        <f>95710+19398+148680+227770</f>
        <v>491558</v>
      </c>
      <c r="G126" s="21"/>
      <c r="H126" s="22">
        <f t="shared" si="18"/>
        <v>491558</v>
      </c>
      <c r="I126" s="23"/>
      <c r="J126" s="23"/>
      <c r="K126" s="22">
        <f t="shared" si="16"/>
        <v>0</v>
      </c>
      <c r="L126" s="7">
        <f t="shared" si="15"/>
        <v>0</v>
      </c>
    </row>
    <row r="127" spans="1:12" s="47" customFormat="1" ht="12" customHeight="1">
      <c r="A127" s="73"/>
      <c r="B127" s="41" t="s">
        <v>117</v>
      </c>
      <c r="C127" s="21">
        <v>36610</v>
      </c>
      <c r="D127" s="21"/>
      <c r="E127" s="22">
        <f t="shared" si="17"/>
        <v>36610</v>
      </c>
      <c r="F127" s="21">
        <v>36610</v>
      </c>
      <c r="G127" s="21"/>
      <c r="H127" s="22">
        <f t="shared" si="18"/>
        <v>36610</v>
      </c>
      <c r="I127" s="23">
        <v>38340</v>
      </c>
      <c r="J127" s="23"/>
      <c r="K127" s="22">
        <f t="shared" si="16"/>
        <v>38340</v>
      </c>
      <c r="L127" s="7">
        <f t="shared" si="15"/>
        <v>1.0472548484020758</v>
      </c>
    </row>
    <row r="128" spans="1:12" s="47" customFormat="1" ht="11.25" hidden="1">
      <c r="A128" s="73"/>
      <c r="B128" s="41" t="s">
        <v>118</v>
      </c>
      <c r="C128" s="21"/>
      <c r="D128" s="21"/>
      <c r="E128" s="22">
        <f t="shared" si="17"/>
        <v>0</v>
      </c>
      <c r="F128" s="21"/>
      <c r="G128" s="21"/>
      <c r="H128" s="22">
        <f t="shared" si="18"/>
        <v>0</v>
      </c>
      <c r="I128" s="23">
        <f>C128*101.5%</f>
        <v>0</v>
      </c>
      <c r="J128" s="23">
        <f>D128*101.5%</f>
        <v>0</v>
      </c>
      <c r="K128" s="22">
        <f t="shared" si="16"/>
        <v>0</v>
      </c>
      <c r="L128" s="7" t="e">
        <f t="shared" si="15"/>
        <v>#DIV/0!</v>
      </c>
    </row>
    <row r="129" spans="1:12" ht="10.5" customHeight="1">
      <c r="A129" s="76"/>
      <c r="B129" s="56" t="s">
        <v>119</v>
      </c>
      <c r="C129" s="21"/>
      <c r="D129" s="21">
        <v>173000</v>
      </c>
      <c r="E129" s="22">
        <f t="shared" si="17"/>
        <v>173000</v>
      </c>
      <c r="F129" s="21"/>
      <c r="G129" s="21">
        <v>173000</v>
      </c>
      <c r="H129" s="22">
        <f t="shared" si="18"/>
        <v>173000</v>
      </c>
      <c r="I129" s="23"/>
      <c r="J129" s="23">
        <v>175000</v>
      </c>
      <c r="K129" s="22">
        <f t="shared" si="16"/>
        <v>175000</v>
      </c>
      <c r="L129" s="7">
        <f t="shared" si="15"/>
        <v>1.0115606936416186</v>
      </c>
    </row>
    <row r="130" spans="1:12" ht="12.75" customHeight="1">
      <c r="A130" s="76"/>
      <c r="B130" s="56" t="s">
        <v>120</v>
      </c>
      <c r="C130" s="21"/>
      <c r="D130" s="21">
        <v>60000</v>
      </c>
      <c r="E130" s="22">
        <f t="shared" si="17"/>
        <v>60000</v>
      </c>
      <c r="F130" s="21"/>
      <c r="G130" s="21">
        <v>60000</v>
      </c>
      <c r="H130" s="22">
        <f t="shared" si="18"/>
        <v>60000</v>
      </c>
      <c r="I130" s="23"/>
      <c r="J130" s="23">
        <v>60000</v>
      </c>
      <c r="K130" s="22">
        <f t="shared" si="16"/>
        <v>60000</v>
      </c>
      <c r="L130" s="7">
        <f t="shared" si="15"/>
        <v>1</v>
      </c>
    </row>
    <row r="131" spans="1:12" ht="12" customHeight="1">
      <c r="A131" s="76"/>
      <c r="B131" s="56" t="s">
        <v>121</v>
      </c>
      <c r="C131" s="21"/>
      <c r="D131" s="21">
        <f>454592+597487+377199</f>
        <v>1429278</v>
      </c>
      <c r="E131" s="22">
        <f t="shared" si="17"/>
        <v>1429278</v>
      </c>
      <c r="F131" s="21"/>
      <c r="G131" s="21">
        <f>454592+597487+377199</f>
        <v>1429278</v>
      </c>
      <c r="H131" s="22">
        <f t="shared" si="18"/>
        <v>1429278</v>
      </c>
      <c r="I131" s="23"/>
      <c r="J131" s="23">
        <v>130000</v>
      </c>
      <c r="K131" s="22">
        <f t="shared" si="16"/>
        <v>130000</v>
      </c>
      <c r="L131" s="7">
        <f t="shared" si="15"/>
        <v>0.09095501365024859</v>
      </c>
    </row>
    <row r="132" spans="1:12" s="44" customFormat="1" ht="12.75" customHeight="1">
      <c r="A132" s="74"/>
      <c r="B132" s="46" t="s">
        <v>122</v>
      </c>
      <c r="C132" s="21"/>
      <c r="D132" s="21">
        <f>94000-4000</f>
        <v>90000</v>
      </c>
      <c r="E132" s="22">
        <f t="shared" si="17"/>
        <v>90000</v>
      </c>
      <c r="F132" s="21"/>
      <c r="G132" s="21">
        <f>94000-4000</f>
        <v>90000</v>
      </c>
      <c r="H132" s="22">
        <f t="shared" si="18"/>
        <v>90000</v>
      </c>
      <c r="I132" s="23"/>
      <c r="J132" s="23">
        <v>97200</v>
      </c>
      <c r="K132" s="22">
        <f t="shared" si="16"/>
        <v>97200</v>
      </c>
      <c r="L132" s="7">
        <f t="shared" si="15"/>
        <v>1.08</v>
      </c>
    </row>
    <row r="133" spans="1:12" s="44" customFormat="1" ht="39" customHeight="1">
      <c r="A133" s="36">
        <v>2</v>
      </c>
      <c r="B133" s="39" t="s">
        <v>123</v>
      </c>
      <c r="C133" s="58">
        <f>SUM(C134:C137)</f>
        <v>287500</v>
      </c>
      <c r="D133" s="58">
        <f>SUM(D134:D137)</f>
        <v>0</v>
      </c>
      <c r="E133" s="40">
        <f t="shared" si="17"/>
        <v>287500</v>
      </c>
      <c r="F133" s="58">
        <f>SUM(F134:F137)</f>
        <v>287500</v>
      </c>
      <c r="G133" s="58">
        <f>SUM(G134:G137)</f>
        <v>0</v>
      </c>
      <c r="H133" s="40">
        <f t="shared" si="18"/>
        <v>287500</v>
      </c>
      <c r="I133" s="58">
        <f>SUM(I134:I137)</f>
        <v>0</v>
      </c>
      <c r="J133" s="58">
        <f>SUM(J134:J137)</f>
        <v>0</v>
      </c>
      <c r="K133" s="40">
        <f t="shared" si="16"/>
        <v>0</v>
      </c>
      <c r="L133" s="7">
        <f t="shared" si="15"/>
        <v>0</v>
      </c>
    </row>
    <row r="134" spans="1:12" s="49" customFormat="1" ht="13.5" customHeight="1" hidden="1">
      <c r="A134" s="74"/>
      <c r="B134" s="48" t="s">
        <v>124</v>
      </c>
      <c r="C134" s="21"/>
      <c r="D134" s="21"/>
      <c r="E134" s="22">
        <f t="shared" si="17"/>
        <v>0</v>
      </c>
      <c r="F134" s="21"/>
      <c r="G134" s="21"/>
      <c r="H134" s="22">
        <f t="shared" si="18"/>
        <v>0</v>
      </c>
      <c r="I134" s="23">
        <f>C134*101.5%</f>
        <v>0</v>
      </c>
      <c r="J134" s="23">
        <f>D134*101.5%</f>
        <v>0</v>
      </c>
      <c r="K134" s="40">
        <f t="shared" si="16"/>
        <v>0</v>
      </c>
      <c r="L134" s="7"/>
    </row>
    <row r="135" spans="1:12" s="49" customFormat="1" ht="12" customHeight="1">
      <c r="A135" s="74"/>
      <c r="B135" s="48" t="s">
        <v>125</v>
      </c>
      <c r="C135" s="21">
        <v>180000</v>
      </c>
      <c r="D135" s="21"/>
      <c r="E135" s="22">
        <f t="shared" si="17"/>
        <v>180000</v>
      </c>
      <c r="F135" s="21">
        <v>180000</v>
      </c>
      <c r="G135" s="21"/>
      <c r="H135" s="22">
        <f t="shared" si="18"/>
        <v>180000</v>
      </c>
      <c r="I135" s="23"/>
      <c r="J135" s="23"/>
      <c r="K135" s="22">
        <f t="shared" si="16"/>
        <v>0</v>
      </c>
      <c r="L135" s="7">
        <f aca="true" t="shared" si="20" ref="L135:L158">K135/H135</f>
        <v>0</v>
      </c>
    </row>
    <row r="136" spans="1:12" s="49" customFormat="1" ht="13.5" customHeight="1">
      <c r="A136" s="74"/>
      <c r="B136" s="48" t="s">
        <v>126</v>
      </c>
      <c r="C136" s="21">
        <v>80000</v>
      </c>
      <c r="D136" s="21"/>
      <c r="E136" s="22">
        <f t="shared" si="17"/>
        <v>80000</v>
      </c>
      <c r="F136" s="21">
        <v>80000</v>
      </c>
      <c r="G136" s="21"/>
      <c r="H136" s="22">
        <f t="shared" si="18"/>
        <v>80000</v>
      </c>
      <c r="I136" s="23"/>
      <c r="J136" s="23"/>
      <c r="K136" s="22">
        <f t="shared" si="16"/>
        <v>0</v>
      </c>
      <c r="L136" s="7">
        <f t="shared" si="20"/>
        <v>0</v>
      </c>
    </row>
    <row r="137" spans="1:12" ht="11.25" customHeight="1">
      <c r="A137" s="73"/>
      <c r="B137" s="46" t="s">
        <v>127</v>
      </c>
      <c r="C137" s="21">
        <v>27500</v>
      </c>
      <c r="D137" s="21"/>
      <c r="E137" s="22">
        <f t="shared" si="17"/>
        <v>27500</v>
      </c>
      <c r="F137" s="21">
        <v>27500</v>
      </c>
      <c r="G137" s="21"/>
      <c r="H137" s="22">
        <f t="shared" si="18"/>
        <v>27500</v>
      </c>
      <c r="I137" s="23"/>
      <c r="J137" s="23"/>
      <c r="K137" s="22">
        <f t="shared" si="16"/>
        <v>0</v>
      </c>
      <c r="L137" s="7">
        <f t="shared" si="20"/>
        <v>0</v>
      </c>
    </row>
    <row r="138" spans="1:12" s="2" customFormat="1" ht="30.75" customHeight="1">
      <c r="A138" s="36">
        <v>3</v>
      </c>
      <c r="B138" s="39" t="s">
        <v>128</v>
      </c>
      <c r="C138" s="17">
        <f>SUM(C139:C145)</f>
        <v>3105996</v>
      </c>
      <c r="D138" s="17">
        <f>SUM(D139:D145)</f>
        <v>1467920</v>
      </c>
      <c r="E138" s="40">
        <f t="shared" si="17"/>
        <v>4573916</v>
      </c>
      <c r="F138" s="17">
        <f>SUM(F139:F145)</f>
        <v>3105996</v>
      </c>
      <c r="G138" s="17">
        <f>SUM(G139:G145)</f>
        <v>1467920</v>
      </c>
      <c r="H138" s="40">
        <f t="shared" si="18"/>
        <v>4573916</v>
      </c>
      <c r="I138" s="40">
        <f>SUM(I139:I145)</f>
        <v>1688615</v>
      </c>
      <c r="J138" s="40">
        <f>SUM(J139:J145)</f>
        <v>1279200</v>
      </c>
      <c r="K138" s="40">
        <f t="shared" si="16"/>
        <v>2967815</v>
      </c>
      <c r="L138" s="7">
        <f t="shared" si="20"/>
        <v>0.6488564722220522</v>
      </c>
    </row>
    <row r="139" spans="1:12" s="2" customFormat="1" ht="13.5" customHeight="1" hidden="1">
      <c r="A139" s="73"/>
      <c r="B139" s="45" t="s">
        <v>129</v>
      </c>
      <c r="C139" s="21"/>
      <c r="D139" s="21"/>
      <c r="E139" s="22">
        <f aca="true" t="shared" si="21" ref="E139:E161">SUM(C139:D139)</f>
        <v>0</v>
      </c>
      <c r="F139" s="21"/>
      <c r="G139" s="21"/>
      <c r="H139" s="22">
        <f aca="true" t="shared" si="22" ref="H139:H161">SUM(F139:G139)</f>
        <v>0</v>
      </c>
      <c r="I139" s="22"/>
      <c r="J139" s="22"/>
      <c r="K139" s="22"/>
      <c r="L139" s="7" t="e">
        <f t="shared" si="20"/>
        <v>#DIV/0!</v>
      </c>
    </row>
    <row r="140" spans="1:12" s="2" customFormat="1" ht="13.5" customHeight="1" hidden="1">
      <c r="A140" s="73"/>
      <c r="B140" s="45" t="s">
        <v>130</v>
      </c>
      <c r="C140" s="21"/>
      <c r="D140" s="21"/>
      <c r="E140" s="22">
        <f t="shared" si="21"/>
        <v>0</v>
      </c>
      <c r="F140" s="21"/>
      <c r="G140" s="21"/>
      <c r="H140" s="22">
        <f t="shared" si="22"/>
        <v>0</v>
      </c>
      <c r="I140" s="22"/>
      <c r="J140" s="22"/>
      <c r="K140" s="22"/>
      <c r="L140" s="7" t="e">
        <f t="shared" si="20"/>
        <v>#DIV/0!</v>
      </c>
    </row>
    <row r="141" spans="1:12" s="24" customFormat="1" ht="22.5" customHeight="1">
      <c r="A141" s="68"/>
      <c r="B141" s="20" t="s">
        <v>131</v>
      </c>
      <c r="C141" s="21">
        <f>100040+33592</f>
        <v>133632</v>
      </c>
      <c r="D141" s="28"/>
      <c r="E141" s="22">
        <f t="shared" si="21"/>
        <v>133632</v>
      </c>
      <c r="F141" s="21">
        <f>100040+33592</f>
        <v>133632</v>
      </c>
      <c r="G141" s="28"/>
      <c r="H141" s="22">
        <f t="shared" si="22"/>
        <v>133632</v>
      </c>
      <c r="I141" s="23"/>
      <c r="J141" s="23"/>
      <c r="K141" s="22">
        <f aca="true" t="shared" si="23" ref="K141:K161">SUM(I141:J141)</f>
        <v>0</v>
      </c>
      <c r="L141" s="7">
        <f t="shared" si="20"/>
        <v>0</v>
      </c>
    </row>
    <row r="142" spans="1:12" s="24" customFormat="1" ht="14.25" customHeight="1">
      <c r="A142" s="68"/>
      <c r="B142" s="20" t="s">
        <v>132</v>
      </c>
      <c r="C142" s="21">
        <v>1000000</v>
      </c>
      <c r="D142" s="28"/>
      <c r="E142" s="22">
        <f t="shared" si="21"/>
        <v>1000000</v>
      </c>
      <c r="F142" s="21">
        <v>1000000</v>
      </c>
      <c r="G142" s="28"/>
      <c r="H142" s="22">
        <f t="shared" si="22"/>
        <v>1000000</v>
      </c>
      <c r="I142" s="23"/>
      <c r="J142" s="23"/>
      <c r="K142" s="22">
        <f t="shared" si="23"/>
        <v>0</v>
      </c>
      <c r="L142" s="7">
        <f t="shared" si="20"/>
        <v>0</v>
      </c>
    </row>
    <row r="143" spans="1:12" s="24" customFormat="1" ht="12" customHeight="1">
      <c r="A143" s="68"/>
      <c r="B143" s="20" t="s">
        <v>130</v>
      </c>
      <c r="C143" s="21">
        <f>56400+16250</f>
        <v>72650</v>
      </c>
      <c r="D143" s="28"/>
      <c r="E143" s="22">
        <f t="shared" si="21"/>
        <v>72650</v>
      </c>
      <c r="F143" s="21">
        <f>56400+16250</f>
        <v>72650</v>
      </c>
      <c r="G143" s="28"/>
      <c r="H143" s="22">
        <f t="shared" si="22"/>
        <v>72650</v>
      </c>
      <c r="I143" s="23"/>
      <c r="J143" s="23"/>
      <c r="K143" s="22">
        <f t="shared" si="23"/>
        <v>0</v>
      </c>
      <c r="L143" s="7">
        <f t="shared" si="20"/>
        <v>0</v>
      </c>
    </row>
    <row r="144" spans="1:12" s="2" customFormat="1" ht="15" customHeight="1">
      <c r="A144" s="73"/>
      <c r="B144" s="45" t="s">
        <v>133</v>
      </c>
      <c r="C144" s="21">
        <f>300+8300+12100</f>
        <v>20700</v>
      </c>
      <c r="D144" s="21"/>
      <c r="E144" s="22">
        <f t="shared" si="21"/>
        <v>20700</v>
      </c>
      <c r="F144" s="21">
        <f>300+8300+12100</f>
        <v>20700</v>
      </c>
      <c r="G144" s="21"/>
      <c r="H144" s="22">
        <f t="shared" si="22"/>
        <v>20700</v>
      </c>
      <c r="I144" s="22"/>
      <c r="J144" s="22"/>
      <c r="K144" s="22">
        <f t="shared" si="23"/>
        <v>0</v>
      </c>
      <c r="L144" s="7">
        <f t="shared" si="20"/>
        <v>0</v>
      </c>
    </row>
    <row r="145" spans="1:12" ht="12" customHeight="1">
      <c r="A145" s="73"/>
      <c r="B145" s="45" t="s">
        <v>134</v>
      </c>
      <c r="C145" s="21">
        <f>SUM(C146:C154)</f>
        <v>1879014</v>
      </c>
      <c r="D145" s="21">
        <f>SUM(D146:D154)</f>
        <v>1467920</v>
      </c>
      <c r="E145" s="22">
        <f t="shared" si="21"/>
        <v>3346934</v>
      </c>
      <c r="F145" s="21">
        <f>SUM(F146:F154)</f>
        <v>1879014</v>
      </c>
      <c r="G145" s="21">
        <f>SUM(G146:G154)</f>
        <v>1467920</v>
      </c>
      <c r="H145" s="22">
        <f t="shared" si="22"/>
        <v>3346934</v>
      </c>
      <c r="I145" s="23">
        <f>SUM(I147:I154)</f>
        <v>1688615</v>
      </c>
      <c r="J145" s="23">
        <f>SUM(J147:J154)</f>
        <v>1279200</v>
      </c>
      <c r="K145" s="22">
        <f t="shared" si="23"/>
        <v>2967815</v>
      </c>
      <c r="L145" s="7">
        <f t="shared" si="20"/>
        <v>0.8867264786219268</v>
      </c>
    </row>
    <row r="146" spans="1:12" s="24" customFormat="1" ht="13.5" customHeight="1" hidden="1">
      <c r="A146" s="68"/>
      <c r="B146" s="59" t="s">
        <v>135</v>
      </c>
      <c r="C146" s="28"/>
      <c r="D146" s="28"/>
      <c r="E146" s="22">
        <f t="shared" si="21"/>
        <v>0</v>
      </c>
      <c r="F146" s="28"/>
      <c r="G146" s="28"/>
      <c r="H146" s="22">
        <f t="shared" si="22"/>
        <v>0</v>
      </c>
      <c r="I146" s="23"/>
      <c r="J146" s="23"/>
      <c r="K146" s="22">
        <f t="shared" si="23"/>
        <v>0</v>
      </c>
      <c r="L146" s="7" t="e">
        <f t="shared" si="20"/>
        <v>#DIV/0!</v>
      </c>
    </row>
    <row r="147" spans="1:12" s="32" customFormat="1" ht="14.25" customHeight="1">
      <c r="A147" s="69"/>
      <c r="B147" s="59" t="s">
        <v>136</v>
      </c>
      <c r="C147" s="28">
        <f>197344+114896</f>
        <v>312240</v>
      </c>
      <c r="D147" s="28"/>
      <c r="E147" s="29">
        <f t="shared" si="21"/>
        <v>312240</v>
      </c>
      <c r="F147" s="28">
        <f>197344+114896</f>
        <v>312240</v>
      </c>
      <c r="G147" s="28"/>
      <c r="H147" s="29">
        <f t="shared" si="22"/>
        <v>312240</v>
      </c>
      <c r="I147" s="30">
        <v>197450</v>
      </c>
      <c r="J147" s="30"/>
      <c r="K147" s="29">
        <f t="shared" si="23"/>
        <v>197450</v>
      </c>
      <c r="L147" s="31">
        <f t="shared" si="20"/>
        <v>0.632366128619011</v>
      </c>
    </row>
    <row r="148" spans="1:12" s="44" customFormat="1" ht="14.25" customHeight="1">
      <c r="A148" s="74"/>
      <c r="B148" s="60" t="s">
        <v>137</v>
      </c>
      <c r="C148" s="28"/>
      <c r="D148" s="28">
        <v>1053440</v>
      </c>
      <c r="E148" s="29">
        <f t="shared" si="21"/>
        <v>1053440</v>
      </c>
      <c r="F148" s="28"/>
      <c r="G148" s="28">
        <v>1053440</v>
      </c>
      <c r="H148" s="29">
        <f t="shared" si="22"/>
        <v>1053440</v>
      </c>
      <c r="I148" s="30"/>
      <c r="J148" s="30">
        <f>67*1300*12</f>
        <v>1045200</v>
      </c>
      <c r="K148" s="29">
        <f t="shared" si="23"/>
        <v>1045200</v>
      </c>
      <c r="L148" s="31">
        <f t="shared" si="20"/>
        <v>0.992178007290401</v>
      </c>
    </row>
    <row r="149" spans="1:12" s="44" customFormat="1" ht="13.5" customHeight="1">
      <c r="A149" s="74"/>
      <c r="B149" s="60" t="s">
        <v>138</v>
      </c>
      <c r="C149" s="28"/>
      <c r="D149" s="28">
        <v>244480</v>
      </c>
      <c r="E149" s="29">
        <f t="shared" si="21"/>
        <v>244480</v>
      </c>
      <c r="F149" s="28"/>
      <c r="G149" s="28">
        <v>244480</v>
      </c>
      <c r="H149" s="29">
        <f t="shared" si="22"/>
        <v>244480</v>
      </c>
      <c r="I149" s="30"/>
      <c r="J149" s="30">
        <f>15*1300*12</f>
        <v>234000</v>
      </c>
      <c r="K149" s="29">
        <f t="shared" si="23"/>
        <v>234000</v>
      </c>
      <c r="L149" s="31">
        <f t="shared" si="20"/>
        <v>0.9571335078534031</v>
      </c>
    </row>
    <row r="150" spans="1:12" s="44" customFormat="1" ht="15" customHeight="1" hidden="1">
      <c r="A150" s="74"/>
      <c r="B150" s="61" t="s">
        <v>64</v>
      </c>
      <c r="C150" s="28"/>
      <c r="D150" s="28"/>
      <c r="E150" s="29">
        <f t="shared" si="21"/>
        <v>0</v>
      </c>
      <c r="F150" s="28"/>
      <c r="G150" s="28"/>
      <c r="H150" s="29">
        <f t="shared" si="22"/>
        <v>0</v>
      </c>
      <c r="I150" s="30">
        <f>C150*101.5%</f>
        <v>0</v>
      </c>
      <c r="J150" s="30">
        <f>D150*101.5%</f>
        <v>0</v>
      </c>
      <c r="K150" s="29">
        <f t="shared" si="23"/>
        <v>0</v>
      </c>
      <c r="L150" s="31" t="e">
        <f t="shared" si="20"/>
        <v>#DIV/0!</v>
      </c>
    </row>
    <row r="151" spans="1:12" s="44" customFormat="1" ht="14.25" customHeight="1" hidden="1">
      <c r="A151" s="74"/>
      <c r="B151" s="61" t="s">
        <v>62</v>
      </c>
      <c r="C151" s="28"/>
      <c r="D151" s="28"/>
      <c r="E151" s="29">
        <f t="shared" si="21"/>
        <v>0</v>
      </c>
      <c r="F151" s="28"/>
      <c r="G151" s="28"/>
      <c r="H151" s="29">
        <f t="shared" si="22"/>
        <v>0</v>
      </c>
      <c r="I151" s="30">
        <f>C151*101.5%</f>
        <v>0</v>
      </c>
      <c r="J151" s="30">
        <f>D151*101.5%</f>
        <v>0</v>
      </c>
      <c r="K151" s="29">
        <f t="shared" si="23"/>
        <v>0</v>
      </c>
      <c r="L151" s="31" t="e">
        <f t="shared" si="20"/>
        <v>#DIV/0!</v>
      </c>
    </row>
    <row r="152" spans="1:12" s="44" customFormat="1" ht="14.25" customHeight="1">
      <c r="A152" s="74"/>
      <c r="B152" s="61" t="s">
        <v>150</v>
      </c>
      <c r="C152" s="28"/>
      <c r="D152" s="28">
        <f>155000+15000</f>
        <v>170000</v>
      </c>
      <c r="E152" s="29">
        <f t="shared" si="21"/>
        <v>170000</v>
      </c>
      <c r="F152" s="28"/>
      <c r="G152" s="28">
        <f>155000+15000</f>
        <v>170000</v>
      </c>
      <c r="H152" s="29">
        <f t="shared" si="22"/>
        <v>170000</v>
      </c>
      <c r="I152" s="30"/>
      <c r="J152" s="30"/>
      <c r="K152" s="29">
        <f t="shared" si="23"/>
        <v>0</v>
      </c>
      <c r="L152" s="31">
        <f t="shared" si="20"/>
        <v>0</v>
      </c>
    </row>
    <row r="153" spans="1:12" s="11" customFormat="1" ht="11.25" customHeight="1">
      <c r="A153" s="70"/>
      <c r="B153" s="57" t="s">
        <v>139</v>
      </c>
      <c r="C153" s="28">
        <f>283500+92500</f>
        <v>376000</v>
      </c>
      <c r="D153" s="28"/>
      <c r="E153" s="29">
        <f t="shared" si="21"/>
        <v>376000</v>
      </c>
      <c r="F153" s="28">
        <f>283500+92500</f>
        <v>376000</v>
      </c>
      <c r="G153" s="28"/>
      <c r="H153" s="29">
        <f t="shared" si="22"/>
        <v>376000</v>
      </c>
      <c r="I153" s="30">
        <v>334565</v>
      </c>
      <c r="J153" s="30"/>
      <c r="K153" s="29">
        <f t="shared" si="23"/>
        <v>334565</v>
      </c>
      <c r="L153" s="31">
        <f t="shared" si="20"/>
        <v>0.8898005319148936</v>
      </c>
    </row>
    <row r="154" spans="1:12" s="11" customFormat="1" ht="14.25" customHeight="1">
      <c r="A154" s="70"/>
      <c r="B154" s="57" t="s">
        <v>140</v>
      </c>
      <c r="C154" s="28">
        <f>1174210+16564</f>
        <v>1190774</v>
      </c>
      <c r="D154" s="28"/>
      <c r="E154" s="29">
        <f t="shared" si="21"/>
        <v>1190774</v>
      </c>
      <c r="F154" s="28">
        <f>1174210+16564</f>
        <v>1190774</v>
      </c>
      <c r="G154" s="28"/>
      <c r="H154" s="29">
        <f t="shared" si="22"/>
        <v>1190774</v>
      </c>
      <c r="I154" s="30">
        <v>1156600</v>
      </c>
      <c r="J154" s="30"/>
      <c r="K154" s="29">
        <f t="shared" si="23"/>
        <v>1156600</v>
      </c>
      <c r="L154" s="31">
        <f t="shared" si="20"/>
        <v>0.9713010193370026</v>
      </c>
    </row>
    <row r="155" spans="1:12" s="25" customFormat="1" ht="18" customHeight="1">
      <c r="A155" s="78" t="s">
        <v>141</v>
      </c>
      <c r="B155" s="78"/>
      <c r="C155" s="62">
        <f>SUM(C156:C159)</f>
        <v>84797060</v>
      </c>
      <c r="D155" s="62">
        <f>SUM(D156:D159)</f>
        <v>0</v>
      </c>
      <c r="E155" s="40">
        <f t="shared" si="21"/>
        <v>84797060</v>
      </c>
      <c r="F155" s="62">
        <f>SUM(F156:F159)</f>
        <v>84797059</v>
      </c>
      <c r="G155" s="62">
        <f>SUM(G156:G159)</f>
        <v>0</v>
      </c>
      <c r="H155" s="40">
        <f t="shared" si="22"/>
        <v>84797059</v>
      </c>
      <c r="I155" s="40">
        <f>SUM(I156:I160)</f>
        <v>139791179</v>
      </c>
      <c r="J155" s="40">
        <f>SUM(J156:J160)</f>
        <v>0</v>
      </c>
      <c r="K155" s="40">
        <f t="shared" si="23"/>
        <v>139791179</v>
      </c>
      <c r="L155" s="7">
        <f t="shared" si="20"/>
        <v>1.6485380583777085</v>
      </c>
    </row>
    <row r="156" spans="1:12" s="2" customFormat="1" ht="11.25" customHeight="1">
      <c r="A156" s="67"/>
      <c r="B156" s="41" t="s">
        <v>142</v>
      </c>
      <c r="C156" s="43">
        <f>200000+500000+700000+1580522+11772671+3635+1342+2617</f>
        <v>14760787</v>
      </c>
      <c r="D156" s="43"/>
      <c r="E156" s="40">
        <f t="shared" si="21"/>
        <v>14760787</v>
      </c>
      <c r="F156" s="43">
        <f>200000+500000+700000+1580522+11772671+3635+1342+2617</f>
        <v>14760787</v>
      </c>
      <c r="G156" s="43"/>
      <c r="H156" s="40">
        <f t="shared" si="22"/>
        <v>14760787</v>
      </c>
      <c r="I156" s="23">
        <f>4591179+200000</f>
        <v>4791179</v>
      </c>
      <c r="J156" s="40"/>
      <c r="K156" s="22">
        <f t="shared" si="23"/>
        <v>4791179</v>
      </c>
      <c r="L156" s="7">
        <f t="shared" si="20"/>
        <v>0.32458831632757795</v>
      </c>
    </row>
    <row r="157" spans="1:12" s="2" customFormat="1" ht="12.75" customHeight="1">
      <c r="A157" s="67"/>
      <c r="B157" s="41" t="s">
        <v>143</v>
      </c>
      <c r="C157" s="43">
        <v>70000000</v>
      </c>
      <c r="D157" s="43"/>
      <c r="E157" s="40">
        <f t="shared" si="21"/>
        <v>70000000</v>
      </c>
      <c r="F157" s="43">
        <v>70000000</v>
      </c>
      <c r="G157" s="43"/>
      <c r="H157" s="40">
        <f t="shared" si="22"/>
        <v>70000000</v>
      </c>
      <c r="I157" s="43">
        <v>90000000</v>
      </c>
      <c r="J157" s="40"/>
      <c r="K157" s="22">
        <f t="shared" si="23"/>
        <v>90000000</v>
      </c>
      <c r="L157" s="7">
        <f t="shared" si="20"/>
        <v>1.2857142857142858</v>
      </c>
    </row>
    <row r="158" spans="1:12" s="2" customFormat="1" ht="12.75" customHeight="1">
      <c r="A158" s="67"/>
      <c r="B158" s="41" t="s">
        <v>144</v>
      </c>
      <c r="C158" s="43">
        <v>36273</v>
      </c>
      <c r="D158" s="43"/>
      <c r="E158" s="40">
        <f t="shared" si="21"/>
        <v>36273</v>
      </c>
      <c r="F158" s="43">
        <v>36272</v>
      </c>
      <c r="G158" s="43"/>
      <c r="H158" s="40">
        <f t="shared" si="22"/>
        <v>36272</v>
      </c>
      <c r="I158" s="40"/>
      <c r="J158" s="40"/>
      <c r="K158" s="22">
        <f t="shared" si="23"/>
        <v>0</v>
      </c>
      <c r="L158" s="7">
        <f t="shared" si="20"/>
        <v>0</v>
      </c>
    </row>
    <row r="159" spans="1:12" s="2" customFormat="1" ht="14.25" customHeight="1">
      <c r="A159" s="67"/>
      <c r="B159" s="41" t="s">
        <v>145</v>
      </c>
      <c r="C159" s="43"/>
      <c r="D159" s="43"/>
      <c r="E159" s="40">
        <f t="shared" si="21"/>
        <v>0</v>
      </c>
      <c r="F159" s="43"/>
      <c r="G159" s="43"/>
      <c r="H159" s="40">
        <f t="shared" si="22"/>
        <v>0</v>
      </c>
      <c r="I159" s="43">
        <f>60000000-15000000</f>
        <v>45000000</v>
      </c>
      <c r="J159" s="40"/>
      <c r="K159" s="22">
        <f t="shared" si="23"/>
        <v>45000000</v>
      </c>
      <c r="L159" s="7"/>
    </row>
    <row r="160" spans="1:12" s="2" customFormat="1" ht="12.75" customHeight="1" hidden="1" thickBot="1">
      <c r="A160" s="67"/>
      <c r="B160" s="41" t="s">
        <v>144</v>
      </c>
      <c r="C160" s="43"/>
      <c r="D160" s="63"/>
      <c r="E160" s="40">
        <f t="shared" si="21"/>
        <v>0</v>
      </c>
      <c r="F160" s="43"/>
      <c r="G160" s="63"/>
      <c r="H160" s="40">
        <f t="shared" si="22"/>
        <v>0</v>
      </c>
      <c r="I160" s="43"/>
      <c r="J160" s="40"/>
      <c r="K160" s="22">
        <f t="shared" si="23"/>
        <v>0</v>
      </c>
      <c r="L160" s="7" t="e">
        <f>K160/H160</f>
        <v>#DIV/0!</v>
      </c>
    </row>
    <row r="161" spans="1:12" s="65" customFormat="1" ht="22.5" customHeight="1">
      <c r="A161" s="77"/>
      <c r="B161" s="64" t="s">
        <v>146</v>
      </c>
      <c r="C161" s="38">
        <f>SUM(C155,C5)</f>
        <v>606893729</v>
      </c>
      <c r="D161" s="38">
        <f>SUM(D155,D5)</f>
        <v>168864941</v>
      </c>
      <c r="E161" s="40">
        <f t="shared" si="21"/>
        <v>775758670</v>
      </c>
      <c r="F161" s="38">
        <f>SUM(F155,F5)</f>
        <v>611854823</v>
      </c>
      <c r="G161" s="38">
        <f>SUM(G155,G5)</f>
        <v>153278199</v>
      </c>
      <c r="H161" s="40">
        <f t="shared" si="22"/>
        <v>765133022</v>
      </c>
      <c r="I161" s="38">
        <f>SUM(I155,I5)</f>
        <v>685685801</v>
      </c>
      <c r="J161" s="38">
        <f>SUM(J155,J5)</f>
        <v>213021115</v>
      </c>
      <c r="K161" s="40">
        <f t="shared" si="23"/>
        <v>898706916</v>
      </c>
      <c r="L161" s="7">
        <f>K161/H161</f>
        <v>1.1745760412363957</v>
      </c>
    </row>
  </sheetData>
  <mergeCells count="11">
    <mergeCell ref="A1:L1"/>
    <mergeCell ref="A2:A3"/>
    <mergeCell ref="B2:B3"/>
    <mergeCell ref="C2:E2"/>
    <mergeCell ref="I2:L2"/>
    <mergeCell ref="F2:H2"/>
    <mergeCell ref="A155:B155"/>
    <mergeCell ref="A5:B5"/>
    <mergeCell ref="A6:B6"/>
    <mergeCell ref="A98:B98"/>
    <mergeCell ref="A103:B103"/>
  </mergeCells>
  <printOptions/>
  <pageMargins left="0.7874015748031497" right="0.7874015748031497" top="0.57" bottom="0.3937007874015748" header="0.4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wioletta</cp:lastModifiedBy>
  <cp:lastPrinted>2006-01-25T11:56:32Z</cp:lastPrinted>
  <dcterms:created xsi:type="dcterms:W3CDTF">2005-11-15T08:37:02Z</dcterms:created>
  <dcterms:modified xsi:type="dcterms:W3CDTF">2006-01-25T14:31:18Z</dcterms:modified>
  <cp:category/>
  <cp:version/>
  <cp:contentType/>
  <cp:contentStatus/>
</cp:coreProperties>
</file>