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80" windowWidth="9690" windowHeight="6480" tabRatio="612" firstSheet="4" activeTab="11"/>
  </bookViews>
  <sheets>
    <sheet name="zał nr 1" sheetId="1" r:id="rId1"/>
    <sheet name="zał nr 2" sheetId="2" r:id="rId2"/>
    <sheet name="zał nr 3" sheetId="3" r:id="rId3"/>
    <sheet name="zał nr 4" sheetId="4" r:id="rId4"/>
    <sheet name="zał. nr 5" sheetId="5" r:id="rId5"/>
    <sheet name="zał nr 6" sheetId="6" r:id="rId6"/>
    <sheet name="zał 7" sheetId="7" r:id="rId7"/>
    <sheet name="zał 8" sheetId="8" r:id="rId8"/>
    <sheet name="zał9" sheetId="9" r:id="rId9"/>
    <sheet name="zał 10" sheetId="10" r:id="rId10"/>
    <sheet name="zał nr 11" sheetId="11" r:id="rId11"/>
    <sheet name="zał nr 12" sheetId="12" r:id="rId12"/>
  </sheets>
  <definedNames>
    <definedName name="_xlnm.Print_Titles" localSheetId="6">'zał 7'!$A:$A,'zał 7'!$4:$5</definedName>
    <definedName name="_xlnm.Print_Titles" localSheetId="11">'zał nr 12'!$5:$7</definedName>
    <definedName name="_xlnm.Print_Titles" localSheetId="4">'zał. nr 5'!$6:$7</definedName>
    <definedName name="_xlnm.Print_Titles" localSheetId="8">'zał9'!$A:$A,'zał9'!$4:$6</definedName>
  </definedNames>
  <calcPr fullCalcOnLoad="1" fullPrecision="0"/>
</workbook>
</file>

<file path=xl/sharedStrings.xml><?xml version="1.0" encoding="utf-8"?>
<sst xmlns="http://schemas.openxmlformats.org/spreadsheetml/2006/main" count="962" uniqueCount="517">
  <si>
    <t>Plan</t>
  </si>
  <si>
    <t>Wykonanie</t>
  </si>
  <si>
    <t>Razem</t>
  </si>
  <si>
    <t>Ogółem</t>
  </si>
  <si>
    <t>Zes.Szk.Nr 1</t>
  </si>
  <si>
    <t>Zes.Szk.Nr 2</t>
  </si>
  <si>
    <t>Zes.Szk.Nr 3</t>
  </si>
  <si>
    <t>S.P Nr 6</t>
  </si>
  <si>
    <t>Zes.Szk.Nr 4</t>
  </si>
  <si>
    <t>Zes.Szk.Nr 5</t>
  </si>
  <si>
    <t>Zes.Szk.O.Nr 3</t>
  </si>
  <si>
    <t>SP Nr 10</t>
  </si>
  <si>
    <t>Zes.Sz.Nr 6</t>
  </si>
  <si>
    <t>Zes.Szk.Nr 7</t>
  </si>
  <si>
    <t>SP nr 13</t>
  </si>
  <si>
    <t>Zes.Sp.Szk.O.</t>
  </si>
  <si>
    <t>SP Nr 17</t>
  </si>
  <si>
    <t>SP Nr 16</t>
  </si>
  <si>
    <t>SP Nr 18</t>
  </si>
  <si>
    <t>Zes.Szk.P.Nr 1</t>
  </si>
  <si>
    <t>SP Nr 20</t>
  </si>
  <si>
    <t>SP Nr 21</t>
  </si>
  <si>
    <t>SP Nr 23</t>
  </si>
  <si>
    <t>SP Nr 26</t>
  </si>
  <si>
    <t>Zes.Szk.Nr 8</t>
  </si>
  <si>
    <t>SP Nr 28</t>
  </si>
  <si>
    <t>SP Nr 29</t>
  </si>
  <si>
    <t>Zes.Szk.Nr 9</t>
  </si>
  <si>
    <t>SP Nr 33</t>
  </si>
  <si>
    <t>SP Nr 34</t>
  </si>
  <si>
    <t>SP Nr 35</t>
  </si>
  <si>
    <t>Zes.Szk.O.Nr 5</t>
  </si>
  <si>
    <t>SP Nr 37</t>
  </si>
  <si>
    <t>SP Nr 39</t>
  </si>
  <si>
    <t>SP Nr 40</t>
  </si>
  <si>
    <t>Zes.Szk.O.Nr 4</t>
  </si>
  <si>
    <t>Zes.Szk.Nr 10</t>
  </si>
  <si>
    <t>Zes.Szk.Nr 11</t>
  </si>
  <si>
    <t>Zes.Szk.Nr 12</t>
  </si>
  <si>
    <t>SP Nr 45</t>
  </si>
  <si>
    <t>Zes.Szk.Nr 13</t>
  </si>
  <si>
    <t>Zes.Szk.Nr 14</t>
  </si>
  <si>
    <t>Zes.Szk.Nr 15</t>
  </si>
  <si>
    <t>Zes.Szk.Chem.</t>
  </si>
  <si>
    <t>Zes.Szk.O.Nr 2</t>
  </si>
  <si>
    <t>Nr</t>
  </si>
  <si>
    <t>średn.</t>
  </si>
  <si>
    <t>l.uczn.</t>
  </si>
  <si>
    <t>koszt</t>
  </si>
  <si>
    <t>1 uczn.</t>
  </si>
  <si>
    <t>Zes.Szk.O.Nr5</t>
  </si>
  <si>
    <t>G.13</t>
  </si>
  <si>
    <t>dla prac.</t>
  </si>
  <si>
    <t>Zes.Szk.O.Nr 1</t>
  </si>
  <si>
    <t xml:space="preserve">   §  4010</t>
  </si>
  <si>
    <t xml:space="preserve">   §  4040</t>
  </si>
  <si>
    <t>§ 4110</t>
  </si>
  <si>
    <t>§ 4120</t>
  </si>
  <si>
    <t>§ 4260</t>
  </si>
  <si>
    <t>§ 6060</t>
  </si>
  <si>
    <t>pozost.wyd.</t>
  </si>
  <si>
    <t xml:space="preserve">   § 4010</t>
  </si>
  <si>
    <t xml:space="preserve">   § 4040</t>
  </si>
  <si>
    <t>poz.wyd.</t>
  </si>
  <si>
    <t>§ 4220</t>
  </si>
  <si>
    <t>w tym R.Dz.</t>
  </si>
  <si>
    <t>SP/Gimn.</t>
  </si>
  <si>
    <t>Gim.13</t>
  </si>
  <si>
    <t>Gim.23</t>
  </si>
  <si>
    <t>Gim.24</t>
  </si>
  <si>
    <t xml:space="preserve">Razem </t>
  </si>
  <si>
    <t>SP</t>
  </si>
  <si>
    <t>"O"</t>
  </si>
  <si>
    <t>Gimn.</t>
  </si>
  <si>
    <t xml:space="preserve">       Liczba  uczniów </t>
  </si>
  <si>
    <t xml:space="preserve">          Liczba oddziałów</t>
  </si>
  <si>
    <t xml:space="preserve">SP  </t>
  </si>
  <si>
    <t xml:space="preserve">Ogółem </t>
  </si>
  <si>
    <t xml:space="preserve">Naucz.  </t>
  </si>
  <si>
    <t>kontr.</t>
  </si>
  <si>
    <t>mian</t>
  </si>
  <si>
    <t>dypl.</t>
  </si>
  <si>
    <t>Admin.</t>
  </si>
  <si>
    <t>Obsł.</t>
  </si>
  <si>
    <t>uczn.</t>
  </si>
  <si>
    <t>uczestn.</t>
  </si>
  <si>
    <t>pełnopł.</t>
  </si>
  <si>
    <t>inne</t>
  </si>
  <si>
    <t>Zesp.Szk.Nr 10</t>
  </si>
  <si>
    <t xml:space="preserve"> § 6050</t>
  </si>
  <si>
    <t>Zesp.Szk.Nr 3</t>
  </si>
  <si>
    <t>staż..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</si>
  <si>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</si>
  <si>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</si>
  <si>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</si>
  <si>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</si>
  <si>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</si>
  <si>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</si>
  <si>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</si>
  <si>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</si>
  <si>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limit</t>
  </si>
  <si>
    <t>ZespSzk.Og.Nr 2</t>
  </si>
  <si>
    <t>ZespSzk.Og.Nr 1</t>
  </si>
  <si>
    <t>Zes,Szk.Zaw.nr.1</t>
  </si>
  <si>
    <t>Zes.Szk.Og.Nr 6</t>
  </si>
  <si>
    <t>SP Nr 13</t>
  </si>
  <si>
    <t>MOPS</t>
  </si>
  <si>
    <t>prac.</t>
  </si>
  <si>
    <t>Jednostka organizac.</t>
  </si>
  <si>
    <t>Nr plac.</t>
  </si>
  <si>
    <t>Plan wydatków</t>
  </si>
  <si>
    <t>Wykonanie wydatków</t>
  </si>
  <si>
    <t>% wykon.</t>
  </si>
  <si>
    <t>§ 4270</t>
  </si>
  <si>
    <t>§ 4440</t>
  </si>
  <si>
    <t>w tym:</t>
  </si>
  <si>
    <t>rozdz. 80101 - szkoły  podstawowe</t>
  </si>
  <si>
    <t>rozdz.80104 - przedszkola</t>
  </si>
  <si>
    <t>rozdz.80110 - gimnazja</t>
  </si>
  <si>
    <t>godz. tygod.</t>
  </si>
  <si>
    <t>Nauczanie indywidualne</t>
  </si>
  <si>
    <t>Zatrudnienie</t>
  </si>
  <si>
    <t>Świetlice</t>
  </si>
  <si>
    <t>Żywienie w szkołach</t>
  </si>
  <si>
    <t>Jednostka organizacyjna</t>
  </si>
  <si>
    <t>Rozdz. 80195</t>
  </si>
  <si>
    <t>Rozdz. 80146</t>
  </si>
  <si>
    <t>Rozdz. 85412</t>
  </si>
  <si>
    <t>% wyk.</t>
  </si>
  <si>
    <t>w tym żywienie</t>
  </si>
  <si>
    <t>OGÓŁEM</t>
  </si>
  <si>
    <t>Dz. 854, rozdz. 85401</t>
  </si>
  <si>
    <t>Dz. 851, rozdz. 85154</t>
  </si>
  <si>
    <t>Nazwa placówki</t>
  </si>
  <si>
    <t>plan</t>
  </si>
  <si>
    <t>wykonanie</t>
  </si>
  <si>
    <t>85415- unia</t>
  </si>
  <si>
    <t>§ 4010</t>
  </si>
  <si>
    <t>§ 4040</t>
  </si>
  <si>
    <t>§4260</t>
  </si>
  <si>
    <t>Zespół Szkół Ogólnokształcących Nr 6</t>
  </si>
  <si>
    <t>Zespół Szkół Specjalnych Nr 17</t>
  </si>
  <si>
    <t>Zespół Szkół Sp.dla dzieci przewlekle…</t>
  </si>
  <si>
    <t>Ośrodek Szkolno-Wych Nr 1</t>
  </si>
  <si>
    <t>Szkoły Podstaw.Specj          80102</t>
  </si>
  <si>
    <t>Ośrodek Szkolno-Wych Nr 2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</si>
  <si>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</si>
  <si>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</si>
  <si>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</si>
  <si>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</si>
  <si>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</si>
  <si>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</si>
  <si>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</si>
  <si>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</si>
  <si>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VIII LO</t>
  </si>
  <si>
    <t>IX  LO</t>
  </si>
  <si>
    <t>X   LO</t>
  </si>
  <si>
    <t>XII  LO</t>
  </si>
  <si>
    <t>XIII LO</t>
  </si>
  <si>
    <t>XIV LO</t>
  </si>
  <si>
    <t>Kolegium Miejskie</t>
  </si>
  <si>
    <t>Licea ogólnoksztalcace        80120</t>
  </si>
  <si>
    <t>Licea Ogólnokształcące Specjalne  80121</t>
  </si>
  <si>
    <t>Zespół Szkól  Adm.Ekonomicznych</t>
  </si>
  <si>
    <t>Zespół Szkół Usługowych</t>
  </si>
  <si>
    <t>Zespół Szkół Chłodniczych i Elektronicznych</t>
  </si>
  <si>
    <t>Zespół Szkół Hotelarsko-Gastronom.</t>
  </si>
  <si>
    <t>Zespół Szkół Mechanicznych</t>
  </si>
  <si>
    <t>Zespół Szkół Budown.Okręt.</t>
  </si>
  <si>
    <t>Zespół Szkół Zawodowych Nr 1</t>
  </si>
  <si>
    <t>Licea Profilowane               80123</t>
  </si>
  <si>
    <t xml:space="preserve">Szkoła Muzyczna             </t>
  </si>
  <si>
    <t>razem                                 80132</t>
  </si>
  <si>
    <t>Zesp.Sz.Ad.Ekonomicznych</t>
  </si>
  <si>
    <t>Zesp.Sz.Budowlanych</t>
  </si>
  <si>
    <t>Zespół Szkół Zawodowych Nr 2</t>
  </si>
  <si>
    <t>Technikum Transportowe</t>
  </si>
  <si>
    <t>Szkoły Zawodowe                80130</t>
  </si>
  <si>
    <t>Wojewódzki Ośrodek Doksz.Zaw.</t>
  </si>
  <si>
    <t>Spec.Ośrodek Szk-Wych Nr 1</t>
  </si>
  <si>
    <t>Spec.Ośrodek Szk-Wych Nr 2</t>
  </si>
  <si>
    <t>Specj.Ośr.Szk.Wych   85403</t>
  </si>
  <si>
    <t>Poradnia Psych-Pedagog Nr 1</t>
  </si>
  <si>
    <t>Poradnia Psych-Pedagog Nr 2</t>
  </si>
  <si>
    <t>Poradnia Psych-Pedagog Nr 3</t>
  </si>
  <si>
    <t>Poradnia Psych-Pedagog 85406</t>
  </si>
  <si>
    <t>MDK   85407</t>
  </si>
  <si>
    <t>Zespół Szkół Budowlanych</t>
  </si>
  <si>
    <t xml:space="preserve">Zespół Szkół Budownictwa Okrętowego </t>
  </si>
  <si>
    <t>WODZ</t>
  </si>
  <si>
    <t>Internaty i bursy szkolne 85410</t>
  </si>
  <si>
    <t>Szkolne Schronisko Młodzieżowe 85417</t>
  </si>
  <si>
    <t>razem</t>
  </si>
  <si>
    <t>% wyk</t>
  </si>
  <si>
    <t>w tym RDz</t>
  </si>
  <si>
    <t>miesięczny koszt ucznia</t>
  </si>
  <si>
    <t>razem                                 80134</t>
  </si>
  <si>
    <t xml:space="preserve">Specj.Oś.Szk-Wych 2   </t>
  </si>
  <si>
    <t>razem                                 80140</t>
  </si>
  <si>
    <t>razem                                 80141</t>
  </si>
  <si>
    <t>Gdyński Ośrodek Dokszt.Nauczycieli</t>
  </si>
  <si>
    <t>razem                                 85401</t>
  </si>
  <si>
    <t>razem                                 85407</t>
  </si>
  <si>
    <t>wykon.</t>
  </si>
  <si>
    <t>średnia   ilość ucz.</t>
  </si>
  <si>
    <t>styczeń - sierpień 2004</t>
  </si>
  <si>
    <t>wrzesień - grudzień 2004</t>
  </si>
  <si>
    <t>Placówka</t>
  </si>
  <si>
    <t>Liczba etatów kalkulacyjnych</t>
  </si>
  <si>
    <t>zatrudnienie</t>
  </si>
  <si>
    <t>Realizacja programu</t>
  </si>
  <si>
    <t>realizacja programu</t>
  </si>
  <si>
    <t>liczba</t>
  </si>
  <si>
    <t>p.Gdyni</t>
  </si>
  <si>
    <t>pedagod.</t>
  </si>
  <si>
    <t>etaty pedagogiczne w tym</t>
  </si>
  <si>
    <t>adm.</t>
  </si>
  <si>
    <t>obsługa</t>
  </si>
  <si>
    <t>podstawy programowe</t>
  </si>
  <si>
    <t>program</t>
  </si>
  <si>
    <t>liczba uczniów</t>
  </si>
  <si>
    <t>uczniów</t>
  </si>
  <si>
    <t>oddział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</si>
  <si>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</si>
  <si>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</si>
  <si>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</si>
  <si>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</si>
  <si>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</si>
  <si>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</si>
  <si>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</si>
  <si>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</si>
  <si>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</si>
  <si>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</si>
  <si>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</si>
  <si>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SPS Nr 19</t>
  </si>
  <si>
    <t>Zespół Szkół Specjalnych Nr 16</t>
  </si>
  <si>
    <t>Zesp.Sz.Chłodniczych i Elektronicznych</t>
  </si>
  <si>
    <t>Zesp.Sz.H.Gastronomicznych</t>
  </si>
  <si>
    <t>Zesp.Szkół Mechanicznych</t>
  </si>
  <si>
    <t>Zesp.Sz.Usługowych</t>
  </si>
  <si>
    <t>Zesp.Sz.Bud.Okrętowego</t>
  </si>
  <si>
    <t>Zespół Szkół Zawodowych nr 1</t>
  </si>
  <si>
    <t>Licea profilowane               80123</t>
  </si>
  <si>
    <t>Zespół Szkól Ekonomicznych</t>
  </si>
  <si>
    <t>Zespół Szkół  Usługowych</t>
  </si>
  <si>
    <t>Zespół Szkół Hotelarsko-G..</t>
  </si>
  <si>
    <t>Specjalny Ośrodek Szk-Wych Nr 1</t>
  </si>
  <si>
    <t>Specjalny Ośrodek Szk-Wych Nr 2</t>
  </si>
  <si>
    <t>Szkoły Zawodowe specjalne   80134</t>
  </si>
  <si>
    <t>GODN                                 80141</t>
  </si>
  <si>
    <t>RAZEM     801</t>
  </si>
  <si>
    <t>Internaty i bursy szkolne          85410</t>
  </si>
  <si>
    <t>liczba oddziałów</t>
  </si>
  <si>
    <t>etaty pedagogiczne</t>
  </si>
  <si>
    <t>Razem w tym</t>
  </si>
  <si>
    <t>mianow.</t>
  </si>
  <si>
    <t>admin.</t>
  </si>
  <si>
    <t>program poza min.</t>
  </si>
  <si>
    <t>Zespół Szkół Specjalnych Nr 17    85401</t>
  </si>
  <si>
    <t>IX LO</t>
  </si>
  <si>
    <t>X LO</t>
  </si>
  <si>
    <t>V LO</t>
  </si>
  <si>
    <t>I LO</t>
  </si>
  <si>
    <t>II LO</t>
  </si>
  <si>
    <t>Gim.dla dorosłych</t>
  </si>
  <si>
    <t>Załącznik nr 2</t>
  </si>
  <si>
    <t>Załącznik nr 3</t>
  </si>
  <si>
    <t>Załącznik nr 4</t>
  </si>
  <si>
    <t>Rozdz. 80113</t>
  </si>
  <si>
    <t>G. 13</t>
  </si>
  <si>
    <t>Razem rozdz. 80197</t>
  </si>
  <si>
    <t>w tym: R.Dz.</t>
  </si>
  <si>
    <t>Załącznik nr 5</t>
  </si>
  <si>
    <t>Szkoły Podstawowe Specjalne   80102</t>
  </si>
  <si>
    <t>stażyści</t>
  </si>
  <si>
    <t>pozost. wyd.</t>
  </si>
  <si>
    <t>Załącznik nr  7</t>
  </si>
  <si>
    <t>Załącznik nr 8</t>
  </si>
  <si>
    <t>Załącznik nr  9</t>
  </si>
  <si>
    <t>Gimnazja Specjalne    80111</t>
  </si>
  <si>
    <t>Licea Ogólnokształcące   80120</t>
  </si>
  <si>
    <t>Szkoły Zawodowe            80130</t>
  </si>
  <si>
    <t>Szkoła Muzyczna             80132</t>
  </si>
  <si>
    <t>Specj.Ośr.Szk.Wych         85403</t>
  </si>
  <si>
    <t>Poradnia Psych-Pedagog   85406</t>
  </si>
  <si>
    <t>MDK                                     85407</t>
  </si>
  <si>
    <t>Woj. Ośr. Doksz. Zaw.      80140</t>
  </si>
  <si>
    <t>Zestawienie wykonania jednostkowych planów finansowych szkół podstawowych za 2004 rok</t>
  </si>
  <si>
    <t>Zestawienie wykonania jednostkowych planów finansowych oddziałów "0" przy szkołach podstawowych za 2004 rok</t>
  </si>
  <si>
    <t>Zestawienie wykonania jednostkowych planów finansowych gimnazjów za 2004 rok</t>
  </si>
  <si>
    <t>Zestawienie wykonania wydatków na pozostałe zadania z zakresu oświaty i edukacyjnej opieki wychowawczej w szkolnictwie podstawowym za 2004 rok</t>
  </si>
  <si>
    <t>Załącznik nr 6</t>
  </si>
  <si>
    <t>Zestawienie wykonania jednostkowych planów finansowych świetlic szkolnych za 2004 rok</t>
  </si>
  <si>
    <t>Zestawienie wykonania jednostkowych planów finansowych szkół ponadpodstawowych                                                                                                                        i placówk edukacyjno - wychowawczych za 2004 rok</t>
  </si>
  <si>
    <t>Informacje dotyczące zespołów szkół, szkół podstawowych i gimnazjów za 2004 rok</t>
  </si>
  <si>
    <t>Informacje dotyczące szkół ponadpodstawowych i placówek edukacyjno - wychowawczych za 2004</t>
  </si>
  <si>
    <t>Sprawozdanie z wykonania planu rzeczowo - finansowego przedszkoli</t>
  </si>
  <si>
    <t>Liczba</t>
  </si>
  <si>
    <t>w tym</t>
  </si>
  <si>
    <t xml:space="preserve">Stan zatrudnienia </t>
  </si>
  <si>
    <t>Dotacja</t>
  </si>
  <si>
    <t>Koszt</t>
  </si>
  <si>
    <t>dzieci</t>
  </si>
  <si>
    <t>poza</t>
  </si>
  <si>
    <t>oddz.</t>
  </si>
  <si>
    <t>żywion.</t>
  </si>
  <si>
    <t xml:space="preserve"> dziecka</t>
  </si>
  <si>
    <t>min.</t>
  </si>
  <si>
    <t>naucz.</t>
  </si>
  <si>
    <t>obsł.</t>
  </si>
  <si>
    <t>PS  11</t>
  </si>
  <si>
    <t>PS 21</t>
  </si>
  <si>
    <t>PS 31</t>
  </si>
  <si>
    <t>Załącznik nr 10</t>
  </si>
  <si>
    <t xml:space="preserve"> za   2004 rok</t>
  </si>
  <si>
    <t>Załącznik nr 1</t>
  </si>
  <si>
    <t>Skutki finansowe udzielonych przez gminę ulg, odroczeń, umorzeń, zaniechania poboru</t>
  </si>
  <si>
    <t>oraz  obniżenia górnych stawek podatku w 2004 roku</t>
  </si>
  <si>
    <t>w zł</t>
  </si>
  <si>
    <t>Wyszczególnienie</t>
  </si>
  <si>
    <t>Obniżenie stawek</t>
  </si>
  <si>
    <t>Skutki ulg</t>
  </si>
  <si>
    <t xml:space="preserve"> Umorzenie zaległości podatkowej  -  osoby prawne</t>
  </si>
  <si>
    <t xml:space="preserve">                                                       -  osoby fizyczne</t>
  </si>
  <si>
    <t xml:space="preserve"> Przesunięcie terminu płatności i rozłożenie na raty - osoby prawne</t>
  </si>
  <si>
    <t xml:space="preserve">                                                                               - osoby fizyczne</t>
  </si>
  <si>
    <t>Skutki zwolnień w ustawach i uchwałach Rady Miasta Gdyni:</t>
  </si>
  <si>
    <t>zwolnienie gminnych jednostek i zakładów budżetowych</t>
  </si>
  <si>
    <t>zwolnienie garaży służących do przechowywania pojazdów inwalidzkich</t>
  </si>
  <si>
    <t>zwolnienie lokali mieszkalnych zajmowanych na podstawie decyzji administracyjnych</t>
  </si>
  <si>
    <t xml:space="preserve">obniżenie stawek podatku od nieruchomości - osoby prawne </t>
  </si>
  <si>
    <t>-</t>
  </si>
  <si>
    <t xml:space="preserve">                                                                      - osoby fizyczne</t>
  </si>
  <si>
    <t>Umorzenie zaległości podatkowej od osób fizycznych</t>
  </si>
  <si>
    <t>Obniżenie stawek podatku od środków transportowych - os. prawne</t>
  </si>
  <si>
    <t xml:space="preserve">                                                                                   - os. fizyczne</t>
  </si>
  <si>
    <t>Umorzenie zaległości podatkowej - osoby prawne</t>
  </si>
  <si>
    <t xml:space="preserve">                                                     - osoby fizyczne</t>
  </si>
  <si>
    <t>Przesunięcie terminów płatności i rozłożenie na raty - os. prawne</t>
  </si>
  <si>
    <t xml:space="preserve">                                                                                  - os. fizyczne </t>
  </si>
  <si>
    <t>Umorzenia zaległości podatkowej osoby fizyczne</t>
  </si>
  <si>
    <t>Przesunięcie terminów platnosci i rozłożenie na raty - osoby fizyczne</t>
  </si>
  <si>
    <t>1. Umorzenie odsetek naliczonych dla zaległości podatkowych</t>
  </si>
  <si>
    <t>w podatku od nieruchomości osób prawnych</t>
  </si>
  <si>
    <t>w podatku od nieruchomości ośob fizycznych</t>
  </si>
  <si>
    <t xml:space="preserve"> </t>
  </si>
  <si>
    <t>w podatku od śr. transportowych os. prawnych</t>
  </si>
  <si>
    <t>w podatku od środków transportowych os.fizycznych</t>
  </si>
  <si>
    <t>podatku zniesionego os. fiz.</t>
  </si>
  <si>
    <t>podatku rolnego</t>
  </si>
  <si>
    <t>2. Przesunięcie terminu płatności i rozłożenie na raty</t>
  </si>
  <si>
    <t>w podatku od nieruchomości osób fizycznych</t>
  </si>
  <si>
    <t>w podatku od środków transportowych os. prawnych</t>
  </si>
  <si>
    <t>w podatku od środków transportowych os. fizycznych</t>
  </si>
  <si>
    <t>podatku zniesionego</t>
  </si>
  <si>
    <r>
      <t xml:space="preserve">I    Podatek od nieruchomości   </t>
    </r>
    <r>
      <rPr>
        <sz val="10"/>
        <rFont val="Times New Roman CE"/>
        <family val="1"/>
      </rPr>
      <t>-  w tym:</t>
    </r>
    <r>
      <rPr>
        <b/>
        <sz val="10"/>
        <rFont val="Times New Roman CE"/>
        <family val="1"/>
      </rPr>
      <t xml:space="preserve">         </t>
    </r>
  </si>
  <si>
    <r>
      <t xml:space="preserve">II  Podatek rolny   </t>
    </r>
    <r>
      <rPr>
        <sz val="10"/>
        <rFont val="Times New Roman CE"/>
        <family val="1"/>
      </rPr>
      <t>-   w tym:</t>
    </r>
  </si>
  <si>
    <r>
      <t>III Podatek od psów -</t>
    </r>
    <r>
      <rPr>
        <sz val="10"/>
        <rFont val="Times New Roman CE"/>
        <family val="1"/>
      </rPr>
      <t>zwolnienia na podstawie uchwały RM</t>
    </r>
  </si>
  <si>
    <r>
      <t xml:space="preserve">IV Opłata targowa - </t>
    </r>
    <r>
      <rPr>
        <sz val="10"/>
        <rFont val="Times New Roman CE"/>
        <family val="1"/>
      </rPr>
      <t>umorzenie zaległości podatkowej</t>
    </r>
  </si>
  <si>
    <r>
      <t xml:space="preserve">V Podatki od środków transportowych  </t>
    </r>
    <r>
      <rPr>
        <sz val="10"/>
        <rFont val="Times New Roman CE"/>
        <family val="1"/>
      </rPr>
      <t xml:space="preserve"> -  w tym</t>
    </r>
  </si>
  <si>
    <r>
      <t xml:space="preserve">VI Podatek zniesiony - </t>
    </r>
    <r>
      <rPr>
        <sz val="10"/>
        <rFont val="Times New Roman CE"/>
        <family val="1"/>
      </rPr>
      <t>od śr. transportowych</t>
    </r>
  </si>
  <si>
    <r>
      <t xml:space="preserve">VII Odsetki  (pozostałe )  -  </t>
    </r>
    <r>
      <rPr>
        <sz val="10"/>
        <rFont val="Times New Roman CE"/>
        <family val="1"/>
      </rPr>
      <t xml:space="preserve"> w tym</t>
    </r>
  </si>
  <si>
    <t>plac.</t>
  </si>
  <si>
    <t>RAZEM</t>
  </si>
  <si>
    <t>Załącznik nr 11</t>
  </si>
  <si>
    <t xml:space="preserve">Rozliczenie przychodów i wydatków oraz stan środków obrotowych na 31.12.2004r. zakładów budżetowych Gminy Miasta Gdyni.    </t>
  </si>
  <si>
    <t>Nazwa jednostki</t>
  </si>
  <si>
    <t>Stan środków obrot. na pocz.2004</t>
  </si>
  <si>
    <t>PRZYCHODY</t>
  </si>
  <si>
    <t>WYDATKI</t>
  </si>
  <si>
    <t>Stan środków obrotowych na 31.12.2004r</t>
  </si>
  <si>
    <t>Normatyw środków obrotowych</t>
  </si>
  <si>
    <t>L.p.</t>
  </si>
  <si>
    <t xml:space="preserve">Plan </t>
  </si>
  <si>
    <t xml:space="preserve">          w tym dotacje</t>
  </si>
  <si>
    <t>plan po zmianach</t>
  </si>
  <si>
    <t>PS Nr 4</t>
  </si>
  <si>
    <t>PS Nr 5</t>
  </si>
  <si>
    <t>PS Nr 6</t>
  </si>
  <si>
    <t>PS Nr 7</t>
  </si>
  <si>
    <t>PS Nr 8</t>
  </si>
  <si>
    <t>PS Nr 9</t>
  </si>
  <si>
    <t>PS Nr 11</t>
  </si>
  <si>
    <t>PS Nr 12</t>
  </si>
  <si>
    <t>PS Nr 13</t>
  </si>
  <si>
    <t>PS Nr 14</t>
  </si>
  <si>
    <t>PS Nr 15</t>
  </si>
  <si>
    <t>PS Nr 16</t>
  </si>
  <si>
    <t>PS Nr 18</t>
  </si>
  <si>
    <t>PS Nr 19</t>
  </si>
  <si>
    <t>PS Nr 21</t>
  </si>
  <si>
    <t>PS Nr 22</t>
  </si>
  <si>
    <t>PS Nr 23</t>
  </si>
  <si>
    <t>PS Nr 24</t>
  </si>
  <si>
    <t>PS Nr 25</t>
  </si>
  <si>
    <t>PS Nr 26</t>
  </si>
  <si>
    <t>PS Nr 27</t>
  </si>
  <si>
    <t>PS Nr 28</t>
  </si>
  <si>
    <t>PS Nr 29</t>
  </si>
  <si>
    <t>PS Nr 30</t>
  </si>
  <si>
    <t>PS Nr 31</t>
  </si>
  <si>
    <t>PS Nr 32</t>
  </si>
  <si>
    <t>PS Nr 35</t>
  </si>
  <si>
    <t>PS Nr 36</t>
  </si>
  <si>
    <t>PS Nr 42</t>
  </si>
  <si>
    <t>PS Nr 43</t>
  </si>
  <si>
    <t>PS Nr 44</t>
  </si>
  <si>
    <t>PS Nr 46</t>
  </si>
  <si>
    <t>PS Nr 47</t>
  </si>
  <si>
    <t>PS Nr 48</t>
  </si>
  <si>
    <t>PS Nr 49</t>
  </si>
  <si>
    <t>PS Nr 50</t>
  </si>
  <si>
    <t>PS Nr 51</t>
  </si>
  <si>
    <t>Razem PS</t>
  </si>
  <si>
    <t>ZKM</t>
  </si>
  <si>
    <t>ZCK</t>
  </si>
  <si>
    <t>ABK nr 1</t>
  </si>
  <si>
    <t>ABK nr 3</t>
  </si>
  <si>
    <t>ABK nr 4</t>
  </si>
  <si>
    <t>ABK nr 5</t>
  </si>
  <si>
    <t>Razem ABK</t>
  </si>
  <si>
    <t>Załącznik nr 12</t>
  </si>
  <si>
    <t xml:space="preserve">Rozliczenie przychodów i wydatków oraz stan środków pieniężnych na 31.12.2004r. środków specjalnych jednostek Gminy Miasta Gdyni.    </t>
  </si>
  <si>
    <t>Stan środków pieniężn. na pocz.2004r.</t>
  </si>
  <si>
    <t>Stan środków pieniężn. na 31.12.2004r</t>
  </si>
  <si>
    <t>Planowany stan środków pieniężnych</t>
  </si>
  <si>
    <t>Lp.</t>
  </si>
  <si>
    <t xml:space="preserve">Nadwyżka środków </t>
  </si>
  <si>
    <t>Niedobór środków</t>
  </si>
  <si>
    <t xml:space="preserve">                           Uwagi</t>
  </si>
  <si>
    <t>obrotowych</t>
  </si>
  <si>
    <t>Z.Sz.nr 1</t>
  </si>
  <si>
    <t>Z.Sz.nr 2</t>
  </si>
  <si>
    <t>Z.Sz.nr 3</t>
  </si>
  <si>
    <t>SP 6</t>
  </si>
  <si>
    <t>Z.Sz.nr 4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</si>
  <si>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</si>
  <si>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</si>
  <si>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</si>
  <si>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</si>
  <si>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</si>
  <si>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</si>
  <si>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</si>
  <si>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</si>
  <si>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</si>
  <si>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</si>
  <si>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Z.Sz.O Nr 6</t>
  </si>
  <si>
    <t>SP 20</t>
  </si>
  <si>
    <t>SP 21</t>
  </si>
  <si>
    <t>SP 23</t>
  </si>
  <si>
    <t>SP 26</t>
  </si>
  <si>
    <t>Z.Sz.nr 8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</si>
  <si>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</si>
  <si>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</si>
  <si>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</si>
  <si>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</si>
  <si>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</si>
  <si>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</si>
  <si>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</si>
  <si>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</si>
  <si>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</si>
  <si>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Z.Sz.O Nr 4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</si>
  <si>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</si>
  <si>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</si>
  <si>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</si>
  <si>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</si>
  <si>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</si>
  <si>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</si>
  <si>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</si>
  <si>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</si>
  <si>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</si>
  <si>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</si>
  <si>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</si>
  <si>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</si>
  <si>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</si>
  <si>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</si>
  <si>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Razem 80110 - Gimnazja</t>
  </si>
  <si>
    <t>Razem 85412 - Kolonie i obozy</t>
  </si>
  <si>
    <t>Gimnazjum Nr 13</t>
  </si>
  <si>
    <t>SPS 24</t>
  </si>
  <si>
    <t>Razem 85401 - Świetlice szkolne</t>
  </si>
  <si>
    <t>Razem-80120-Licea ogólnokształcące</t>
  </si>
  <si>
    <t>Woj.Ośr.Doskonalenia Zawodowego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</si>
  <si>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</si>
  <si>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</si>
  <si>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</si>
  <si>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</si>
  <si>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</si>
  <si>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Odzieżowych</t>
  </si>
  <si>
    <t>Zespół Szkół Bud.Okrętowego</t>
  </si>
  <si>
    <t>Zespół Szkół Nr.2</t>
  </si>
  <si>
    <t>Razem-80130-Szkoły zawodowe</t>
  </si>
  <si>
    <t>Gdyński Ośr. Doskon. Nauczycieli</t>
  </si>
  <si>
    <t>Zespół Szkół Bud. Okrętowego</t>
  </si>
  <si>
    <t>Razem-80141-Ośrodki szkolenia</t>
  </si>
  <si>
    <t>SPS Nr 24</t>
  </si>
  <si>
    <t>SPS Nr 38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</si>
  <si>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</si>
  <si>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</si>
  <si>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</si>
  <si>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</si>
  <si>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</si>
  <si>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</si>
  <si>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</si>
  <si>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</si>
  <si>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</si>
  <si>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</si>
  <si>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</si>
  <si>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r>
      <t>Państw Szkoła Muzyczna -</t>
    </r>
    <r>
      <rPr>
        <b/>
        <sz val="8"/>
        <rFont val="Arial CE"/>
        <family val="2"/>
      </rPr>
      <t>80132</t>
    </r>
  </si>
  <si>
    <r>
      <t xml:space="preserve">Kom. Miej.Państw.Straży Pożarnej </t>
    </r>
    <r>
      <rPr>
        <b/>
        <sz val="8"/>
        <rFont val="Arial CE"/>
        <family val="2"/>
      </rPr>
      <t>75411</t>
    </r>
  </si>
  <si>
    <r>
      <t xml:space="preserve">Młodzieżowy Dom Kultury </t>
    </r>
    <r>
      <rPr>
        <b/>
        <sz val="8"/>
        <rFont val="Arial CE"/>
        <family val="2"/>
      </rPr>
      <t>85407</t>
    </r>
  </si>
  <si>
    <r>
      <t>Szkolne Schronisko Młodzież.-</t>
    </r>
    <r>
      <rPr>
        <b/>
        <sz val="8"/>
        <rFont val="Arial CE"/>
        <family val="2"/>
      </rPr>
      <t>85417</t>
    </r>
  </si>
  <si>
    <r>
      <t xml:space="preserve">Dom Pomocy Społecznej - </t>
    </r>
    <r>
      <rPr>
        <b/>
        <sz val="8"/>
        <rFont val="Arial CE"/>
        <family val="2"/>
      </rPr>
      <t>85202</t>
    </r>
  </si>
  <si>
    <r>
      <t xml:space="preserve">MOPS - </t>
    </r>
    <r>
      <rPr>
        <b/>
        <sz val="8"/>
        <rFont val="Arial CE"/>
        <family val="2"/>
      </rPr>
      <t>85219</t>
    </r>
  </si>
  <si>
    <r>
      <t>Urząd Miasta - rozdz.</t>
    </r>
    <r>
      <rPr>
        <b/>
        <sz val="8"/>
        <rFont val="Arial CE"/>
        <family val="2"/>
      </rPr>
      <t>60015</t>
    </r>
  </si>
  <si>
    <r>
      <t>Urząd Miasta - rozdz.</t>
    </r>
    <r>
      <rPr>
        <b/>
        <sz val="8"/>
        <rFont val="Arial CE"/>
        <family val="2"/>
      </rPr>
      <t>75095</t>
    </r>
  </si>
  <si>
    <r>
      <t>Gdyński Ośr. Sportu i Rekr-</t>
    </r>
    <r>
      <rPr>
        <b/>
        <sz val="8"/>
        <rFont val="Arial CE"/>
        <family val="2"/>
      </rPr>
      <t>92605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</si>
</sst>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9"/>
      <color indexed="8"/>
      <name val="Times New Roman CE"/>
      <family val="1"/>
    </font>
    <font>
      <sz val="10"/>
      <color indexed="52"/>
      <name val="Times New Roman CE"/>
      <family val="1"/>
    </font>
    <font>
      <sz val="9"/>
      <color indexed="8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56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Times New Roman CE"/>
      <family val="1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u val="single"/>
      <sz val="8"/>
      <name val="Arial CE"/>
      <family val="2"/>
    </font>
    <font>
      <i/>
      <sz val="7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7"/>
      <name val="Arial CE"/>
      <family val="0"/>
    </font>
    <font>
      <sz val="8"/>
      <name val="Arial"/>
      <family val="2"/>
    </font>
    <font>
      <b/>
      <sz val="7"/>
      <name val="Arial CE"/>
      <family val="0"/>
    </font>
    <font>
      <b/>
      <i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thin"/>
      <top style="thin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>
      <alignment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67" fontId="7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67" fontId="7" fillId="0" borderId="2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167" fontId="13" fillId="0" borderId="0" xfId="0" applyNumberFormat="1" applyFont="1" applyBorder="1" applyAlignment="1">
      <alignment vertical="center"/>
    </xf>
    <xf numFmtId="167" fontId="14" fillId="0" borderId="0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7" fontId="13" fillId="0" borderId="0" xfId="0" applyNumberFormat="1" applyFont="1" applyBorder="1" applyAlignment="1">
      <alignment horizontal="center" vertical="center"/>
    </xf>
    <xf numFmtId="167" fontId="13" fillId="0" borderId="3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7" fontId="13" fillId="0" borderId="32" xfId="0" applyNumberFormat="1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7" fontId="16" fillId="2" borderId="9" xfId="0" applyNumberFormat="1" applyFont="1" applyFill="1" applyBorder="1" applyAlignment="1">
      <alignment horizontal="center" vertical="center"/>
    </xf>
    <xf numFmtId="167" fontId="16" fillId="2" borderId="4" xfId="0" applyNumberFormat="1" applyFont="1" applyFill="1" applyBorder="1" applyAlignment="1">
      <alignment horizontal="center" vertical="center"/>
    </xf>
    <xf numFmtId="167" fontId="14" fillId="3" borderId="4" xfId="0" applyNumberFormat="1" applyFont="1" applyFill="1" applyBorder="1" applyAlignment="1">
      <alignment horizontal="center" vertical="center"/>
    </xf>
    <xf numFmtId="167" fontId="14" fillId="0" borderId="33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 horizontal="center" vertical="center" wrapText="1"/>
    </xf>
    <xf numFmtId="167" fontId="14" fillId="0" borderId="7" xfId="0" applyNumberFormat="1" applyFont="1" applyBorder="1" applyAlignment="1">
      <alignment horizontal="center" vertical="center"/>
    </xf>
    <xf numFmtId="167" fontId="13" fillId="0" borderId="9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5" fillId="0" borderId="3" xfId="0" applyNumberFormat="1" applyFont="1" applyBorder="1" applyAlignment="1">
      <alignment horizontal="left" vertical="center"/>
    </xf>
    <xf numFmtId="3" fontId="13" fillId="0" borderId="7" xfId="0" applyNumberFormat="1" applyFont="1" applyBorder="1" applyAlignment="1">
      <alignment horizontal="center" vertical="center"/>
    </xf>
    <xf numFmtId="167" fontId="13" fillId="0" borderId="3" xfId="0" applyNumberFormat="1" applyFont="1" applyBorder="1" applyAlignment="1">
      <alignment vertical="center"/>
    </xf>
    <xf numFmtId="167" fontId="14" fillId="0" borderId="4" xfId="0" applyNumberFormat="1" applyFont="1" applyBorder="1" applyAlignment="1">
      <alignment vertical="center"/>
    </xf>
    <xf numFmtId="167" fontId="14" fillId="0" borderId="5" xfId="0" applyNumberFormat="1" applyFont="1" applyBorder="1" applyAlignment="1">
      <alignment vertical="center"/>
    </xf>
    <xf numFmtId="167" fontId="13" fillId="0" borderId="32" xfId="0" applyNumberFormat="1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67" fontId="14" fillId="0" borderId="9" xfId="0" applyNumberFormat="1" applyFont="1" applyBorder="1" applyAlignment="1">
      <alignment vertical="center"/>
    </xf>
    <xf numFmtId="167" fontId="13" fillId="0" borderId="5" xfId="0" applyNumberFormat="1" applyFont="1" applyBorder="1" applyAlignment="1">
      <alignment vertical="center"/>
    </xf>
    <xf numFmtId="167" fontId="13" fillId="0" borderId="33" xfId="0" applyNumberFormat="1" applyFont="1" applyBorder="1" applyAlignment="1">
      <alignment vertical="center"/>
    </xf>
    <xf numFmtId="167" fontId="14" fillId="0" borderId="7" xfId="0" applyNumberFormat="1" applyFont="1" applyBorder="1" applyAlignment="1">
      <alignment vertical="center"/>
    </xf>
    <xf numFmtId="167" fontId="13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167" fontId="15" fillId="0" borderId="18" xfId="0" applyNumberFormat="1" applyFont="1" applyBorder="1" applyAlignment="1">
      <alignment horizontal="left" vertical="center"/>
    </xf>
    <xf numFmtId="167" fontId="13" fillId="0" borderId="20" xfId="0" applyNumberFormat="1" applyFont="1" applyBorder="1" applyAlignment="1">
      <alignment vertical="center"/>
    </xf>
    <xf numFmtId="167" fontId="13" fillId="0" borderId="18" xfId="0" applyNumberFormat="1" applyFont="1" applyBorder="1" applyAlignment="1">
      <alignment vertical="center"/>
    </xf>
    <xf numFmtId="167" fontId="14" fillId="0" borderId="19" xfId="0" applyNumberFormat="1" applyFont="1" applyBorder="1" applyAlignment="1">
      <alignment vertical="center"/>
    </xf>
    <xf numFmtId="167" fontId="14" fillId="0" borderId="21" xfId="0" applyNumberFormat="1" applyFont="1" applyBorder="1" applyAlignment="1">
      <alignment vertical="center"/>
    </xf>
    <xf numFmtId="167" fontId="13" fillId="0" borderId="34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center"/>
    </xf>
    <xf numFmtId="167" fontId="14" fillId="0" borderId="22" xfId="0" applyNumberFormat="1" applyFont="1" applyBorder="1" applyAlignment="1">
      <alignment vertical="center"/>
    </xf>
    <xf numFmtId="167" fontId="13" fillId="0" borderId="21" xfId="0" applyNumberFormat="1" applyFont="1" applyBorder="1" applyAlignment="1">
      <alignment vertical="center"/>
    </xf>
    <xf numFmtId="167" fontId="13" fillId="0" borderId="35" xfId="0" applyNumberFormat="1" applyFont="1" applyBorder="1" applyAlignment="1">
      <alignment vertical="center"/>
    </xf>
    <xf numFmtId="167" fontId="14" fillId="0" borderId="20" xfId="0" applyNumberFormat="1" applyFont="1" applyBorder="1" applyAlignment="1">
      <alignment vertical="center"/>
    </xf>
    <xf numFmtId="167" fontId="14" fillId="0" borderId="35" xfId="0" applyNumberFormat="1" applyFont="1" applyBorder="1" applyAlignment="1">
      <alignment vertical="center"/>
    </xf>
    <xf numFmtId="167" fontId="13" fillId="0" borderId="22" xfId="0" applyNumberFormat="1" applyFont="1" applyBorder="1" applyAlignment="1">
      <alignment vertical="center"/>
    </xf>
    <xf numFmtId="167" fontId="13" fillId="0" borderId="25" xfId="0" applyNumberFormat="1" applyFont="1" applyBorder="1" applyAlignment="1">
      <alignment vertical="center"/>
    </xf>
    <xf numFmtId="167" fontId="13" fillId="0" borderId="29" xfId="0" applyNumberFormat="1" applyFont="1" applyBorder="1" applyAlignment="1">
      <alignment vertical="center"/>
    </xf>
    <xf numFmtId="167" fontId="13" fillId="0" borderId="26" xfId="0" applyNumberFormat="1" applyFont="1" applyBorder="1" applyAlignment="1">
      <alignment vertical="center"/>
    </xf>
    <xf numFmtId="167" fontId="13" fillId="0" borderId="27" xfId="0" applyNumberFormat="1" applyFont="1" applyBorder="1" applyAlignment="1">
      <alignment vertical="center"/>
    </xf>
    <xf numFmtId="167" fontId="13" fillId="0" borderId="36" xfId="0" applyNumberFormat="1" applyFont="1" applyBorder="1" applyAlignment="1">
      <alignment vertical="center"/>
    </xf>
    <xf numFmtId="167" fontId="13" fillId="0" borderId="30" xfId="0" applyNumberFormat="1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7" fontId="15" fillId="0" borderId="10" xfId="0" applyNumberFormat="1" applyFont="1" applyBorder="1" applyAlignment="1">
      <alignment horizontal="left" vertical="center"/>
    </xf>
    <xf numFmtId="167" fontId="13" fillId="0" borderId="12" xfId="0" applyNumberFormat="1" applyFont="1" applyBorder="1" applyAlignment="1">
      <alignment vertical="center"/>
    </xf>
    <xf numFmtId="167" fontId="13" fillId="0" borderId="10" xfId="0" applyNumberFormat="1" applyFont="1" applyBorder="1" applyAlignment="1">
      <alignment vertical="center"/>
    </xf>
    <xf numFmtId="167" fontId="14" fillId="0" borderId="11" xfId="0" applyNumberFormat="1" applyFont="1" applyBorder="1" applyAlignment="1">
      <alignment vertical="center"/>
    </xf>
    <xf numFmtId="167" fontId="14" fillId="0" borderId="13" xfId="0" applyNumberFormat="1" applyFont="1" applyBorder="1" applyAlignment="1">
      <alignment vertical="center"/>
    </xf>
    <xf numFmtId="167" fontId="13" fillId="0" borderId="37" xfId="0" applyNumberFormat="1" applyFont="1" applyBorder="1" applyAlignment="1">
      <alignment vertical="center"/>
    </xf>
    <xf numFmtId="167" fontId="17" fillId="0" borderId="10" xfId="0" applyNumberFormat="1" applyFont="1" applyBorder="1" applyAlignment="1">
      <alignment vertical="center"/>
    </xf>
    <xf numFmtId="167" fontId="14" fillId="0" borderId="14" xfId="0" applyNumberFormat="1" applyFont="1" applyBorder="1" applyAlignment="1">
      <alignment vertical="center"/>
    </xf>
    <xf numFmtId="167" fontId="13" fillId="0" borderId="13" xfId="0" applyNumberFormat="1" applyFont="1" applyBorder="1" applyAlignment="1">
      <alignment vertical="center"/>
    </xf>
    <xf numFmtId="167" fontId="13" fillId="0" borderId="38" xfId="0" applyNumberFormat="1" applyFont="1" applyBorder="1" applyAlignment="1">
      <alignment vertical="center"/>
    </xf>
    <xf numFmtId="167" fontId="14" fillId="0" borderId="12" xfId="0" applyNumberFormat="1" applyFont="1" applyBorder="1" applyAlignment="1">
      <alignment vertical="center"/>
    </xf>
    <xf numFmtId="167" fontId="14" fillId="0" borderId="38" xfId="0" applyNumberFormat="1" applyFont="1" applyBorder="1" applyAlignment="1">
      <alignment vertical="center"/>
    </xf>
    <xf numFmtId="167" fontId="13" fillId="0" borderId="14" xfId="0" applyNumberFormat="1" applyFont="1" applyBorder="1" applyAlignment="1">
      <alignment vertical="center"/>
    </xf>
    <xf numFmtId="167" fontId="13" fillId="0" borderId="25" xfId="0" applyNumberFormat="1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3" fontId="19" fillId="0" borderId="3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167" fontId="20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vertical="center"/>
    </xf>
    <xf numFmtId="0" fontId="21" fillId="0" borderId="40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" fontId="19" fillId="0" borderId="40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167" fontId="20" fillId="0" borderId="16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67" fontId="18" fillId="0" borderId="1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167" fontId="18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24" fillId="0" borderId="7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167" fontId="7" fillId="0" borderId="5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167" fontId="4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4" fillId="0" borderId="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7" fontId="7" fillId="0" borderId="45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6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41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7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7" fontId="4" fillId="0" borderId="44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167" fontId="4" fillId="0" borderId="49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8" fontId="17" fillId="0" borderId="49" xfId="0" applyNumberFormat="1" applyFont="1" applyBorder="1" applyAlignment="1">
      <alignment horizontal="center"/>
    </xf>
    <xf numFmtId="168" fontId="17" fillId="0" borderId="16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8" xfId="0" applyFont="1" applyBorder="1" applyAlignment="1">
      <alignment/>
    </xf>
    <xf numFmtId="3" fontId="18" fillId="0" borderId="30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18" fillId="0" borderId="5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168" fontId="17" fillId="0" borderId="58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171" fontId="7" fillId="0" borderId="13" xfId="20" applyNumberFormat="1" applyFont="1" applyBorder="1" applyAlignment="1">
      <alignment horizontal="center" vertical="center"/>
    </xf>
    <xf numFmtId="171" fontId="7" fillId="0" borderId="60" xfId="20" applyNumberFormat="1" applyFont="1" applyBorder="1" applyAlignment="1">
      <alignment horizontal="center" vertical="center"/>
    </xf>
    <xf numFmtId="171" fontId="6" fillId="0" borderId="27" xfId="2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167" fontId="17" fillId="0" borderId="1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167" fontId="15" fillId="0" borderId="1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43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vertical="center"/>
    </xf>
    <xf numFmtId="3" fontId="14" fillId="0" borderId="1" xfId="20" applyNumberFormat="1" applyFont="1" applyFill="1" applyBorder="1" applyAlignment="1">
      <alignment horizontal="right" vertical="center"/>
    </xf>
    <xf numFmtId="3" fontId="14" fillId="0" borderId="43" xfId="20" applyNumberFormat="1" applyFont="1" applyFill="1" applyBorder="1" applyAlignment="1">
      <alignment horizontal="right" vertical="center"/>
    </xf>
    <xf numFmtId="3" fontId="17" fillId="0" borderId="43" xfId="0" applyNumberFormat="1" applyFont="1" applyBorder="1" applyAlignment="1">
      <alignment vertical="center"/>
    </xf>
    <xf numFmtId="3" fontId="17" fillId="0" borderId="53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0" borderId="53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43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1" xfId="0" applyNumberFormat="1" applyFont="1" applyBorder="1" applyAlignment="1">
      <alignment horizontal="centerContinuous" vertical="center"/>
    </xf>
    <xf numFmtId="4" fontId="15" fillId="0" borderId="1" xfId="0" applyNumberFormat="1" applyFont="1" applyBorder="1" applyAlignment="1">
      <alignment horizontal="centerContinuous" vertical="center"/>
    </xf>
    <xf numFmtId="4" fontId="13" fillId="0" borderId="1" xfId="0" applyNumberFormat="1" applyFont="1" applyBorder="1" applyAlignment="1">
      <alignment horizontal="centerContinuous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vertical="center"/>
    </xf>
    <xf numFmtId="167" fontId="14" fillId="0" borderId="2" xfId="0" applyNumberFormat="1" applyFont="1" applyBorder="1" applyAlignment="1">
      <alignment horizontal="right" vertical="center"/>
    </xf>
    <xf numFmtId="4" fontId="14" fillId="0" borderId="4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vertical="center"/>
    </xf>
    <xf numFmtId="167" fontId="14" fillId="0" borderId="4" xfId="0" applyNumberFormat="1" applyFont="1" applyBorder="1" applyAlignment="1">
      <alignment horizontal="right" vertical="center"/>
    </xf>
    <xf numFmtId="4" fontId="14" fillId="0" borderId="41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3" fontId="14" fillId="0" borderId="19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horizontal="right" vertical="center"/>
    </xf>
    <xf numFmtId="4" fontId="14" fillId="0" borderId="19" xfId="0" applyNumberFormat="1" applyFont="1" applyBorder="1" applyAlignment="1">
      <alignment vertical="center"/>
    </xf>
    <xf numFmtId="167" fontId="14" fillId="0" borderId="19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vertical="center"/>
    </xf>
    <xf numFmtId="0" fontId="13" fillId="0" borderId="25" xfId="0" applyFont="1" applyFill="1" applyBorder="1" applyAlignment="1">
      <alignment vertical="center" wrapText="1"/>
    </xf>
    <xf numFmtId="167" fontId="13" fillId="0" borderId="26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46" xfId="0" applyNumberFormat="1" applyFont="1" applyBorder="1" applyAlignment="1">
      <alignment horizontal="right" vertical="center"/>
    </xf>
    <xf numFmtId="167" fontId="13" fillId="0" borderId="30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167" fontId="14" fillId="0" borderId="11" xfId="0" applyNumberFormat="1" applyFont="1" applyBorder="1" applyAlignment="1">
      <alignment horizontal="right" vertical="center"/>
    </xf>
    <xf numFmtId="4" fontId="14" fillId="0" borderId="45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vertical="center"/>
    </xf>
    <xf numFmtId="167" fontId="13" fillId="0" borderId="26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167" fontId="13" fillId="0" borderId="30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61" xfId="0" applyFont="1" applyFill="1" applyBorder="1" applyAlignment="1">
      <alignment vertical="center" wrapText="1"/>
    </xf>
    <xf numFmtId="167" fontId="14" fillId="0" borderId="62" xfId="0" applyNumberFormat="1" applyFont="1" applyFill="1" applyBorder="1" applyAlignment="1">
      <alignment horizontal="right" vertical="center"/>
    </xf>
    <xf numFmtId="167" fontId="13" fillId="0" borderId="62" xfId="0" applyNumberFormat="1" applyFont="1" applyFill="1" applyBorder="1" applyAlignment="1">
      <alignment horizontal="right" vertical="center"/>
    </xf>
    <xf numFmtId="4" fontId="14" fillId="0" borderId="62" xfId="0" applyNumberFormat="1" applyFont="1" applyBorder="1" applyAlignment="1">
      <alignment horizontal="right" vertical="center"/>
    </xf>
    <xf numFmtId="4" fontId="14" fillId="0" borderId="62" xfId="0" applyNumberFormat="1" applyFont="1" applyBorder="1" applyAlignment="1">
      <alignment vertical="center"/>
    </xf>
    <xf numFmtId="3" fontId="14" fillId="0" borderId="62" xfId="0" applyNumberFormat="1" applyFont="1" applyBorder="1" applyAlignment="1">
      <alignment horizontal="right" vertical="center"/>
    </xf>
    <xf numFmtId="167" fontId="14" fillId="0" borderId="62" xfId="0" applyNumberFormat="1" applyFont="1" applyBorder="1" applyAlignment="1">
      <alignment horizontal="right" vertical="center"/>
    </xf>
    <xf numFmtId="4" fontId="14" fillId="0" borderId="63" xfId="0" applyNumberFormat="1" applyFont="1" applyBorder="1" applyAlignment="1">
      <alignment horizontal="right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60" xfId="0" applyNumberFormat="1" applyFont="1" applyBorder="1" applyAlignment="1">
      <alignment vertical="center"/>
    </xf>
    <xf numFmtId="4" fontId="13" fillId="0" borderId="26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4" fontId="13" fillId="0" borderId="3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0" fontId="15" fillId="0" borderId="18" xfId="0" applyFont="1" applyFill="1" applyBorder="1" applyAlignment="1">
      <alignment vertical="center" wrapText="1"/>
    </xf>
    <xf numFmtId="4" fontId="13" fillId="0" borderId="19" xfId="0" applyNumberFormat="1" applyFont="1" applyBorder="1" applyAlignment="1">
      <alignment horizontal="right" vertical="center"/>
    </xf>
    <xf numFmtId="0" fontId="15" fillId="4" borderId="25" xfId="0" applyFont="1" applyFill="1" applyBorder="1" applyAlignment="1">
      <alignment vertical="center" wrapText="1"/>
    </xf>
    <xf numFmtId="4" fontId="13" fillId="4" borderId="26" xfId="0" applyNumberFormat="1" applyFont="1" applyFill="1" applyBorder="1" applyAlignment="1">
      <alignment horizontal="right" vertical="center"/>
    </xf>
    <xf numFmtId="4" fontId="13" fillId="4" borderId="26" xfId="0" applyNumberFormat="1" applyFont="1" applyFill="1" applyBorder="1" applyAlignment="1">
      <alignment vertical="center"/>
    </xf>
    <xf numFmtId="3" fontId="15" fillId="4" borderId="26" xfId="0" applyNumberFormat="1" applyFont="1" applyFill="1" applyBorder="1" applyAlignment="1">
      <alignment horizontal="right" vertical="center"/>
    </xf>
    <xf numFmtId="167" fontId="15" fillId="4" borderId="26" xfId="0" applyNumberFormat="1" applyFont="1" applyFill="1" applyBorder="1" applyAlignment="1">
      <alignment horizontal="right" vertical="center"/>
    </xf>
    <xf numFmtId="4" fontId="15" fillId="4" borderId="26" xfId="0" applyNumberFormat="1" applyFont="1" applyFill="1" applyBorder="1" applyAlignment="1">
      <alignment horizontal="right" vertical="center"/>
    </xf>
    <xf numFmtId="4" fontId="15" fillId="4" borderId="46" xfId="0" applyNumberFormat="1" applyFont="1" applyFill="1" applyBorder="1" applyAlignment="1">
      <alignment horizontal="right" vertical="center"/>
    </xf>
    <xf numFmtId="167" fontId="15" fillId="4" borderId="30" xfId="0" applyNumberFormat="1" applyFont="1" applyFill="1" applyBorder="1" applyAlignment="1">
      <alignment horizontal="right" vertical="center"/>
    </xf>
    <xf numFmtId="167" fontId="15" fillId="4" borderId="27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vertical="center"/>
    </xf>
    <xf numFmtId="4" fontId="13" fillId="0" borderId="30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4" fillId="0" borderId="11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29" fillId="0" borderId="1" xfId="0" applyNumberFormat="1" applyFont="1" applyFill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167" fontId="13" fillId="0" borderId="53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65" xfId="0" applyFont="1" applyBorder="1" applyAlignment="1">
      <alignment horizontal="centerContinuous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2" fontId="4" fillId="0" borderId="0" xfId="18" applyFont="1" applyAlignment="1">
      <alignment wrapText="1"/>
      <protection/>
    </xf>
    <xf numFmtId="43" fontId="5" fillId="0" borderId="0" xfId="15" applyNumberFormat="1" applyFont="1" applyAlignment="1">
      <alignment/>
    </xf>
    <xf numFmtId="43" fontId="26" fillId="0" borderId="0" xfId="15" applyNumberFormat="1" applyFont="1" applyAlignment="1">
      <alignment horizontal="right"/>
    </xf>
    <xf numFmtId="2" fontId="5" fillId="0" borderId="0" xfId="18" applyFont="1">
      <alignment/>
      <protection/>
    </xf>
    <xf numFmtId="2" fontId="8" fillId="0" borderId="0" xfId="18" applyFont="1">
      <alignment/>
      <protection/>
    </xf>
    <xf numFmtId="2" fontId="9" fillId="0" borderId="0" xfId="18" applyFont="1">
      <alignment/>
      <protection/>
    </xf>
    <xf numFmtId="0" fontId="18" fillId="0" borderId="44" xfId="0" applyFont="1" applyBorder="1" applyAlignment="1">
      <alignment horizontal="center" vertical="center" wrapText="1"/>
    </xf>
    <xf numFmtId="43" fontId="5" fillId="0" borderId="0" xfId="18" applyNumberFormat="1" applyFont="1">
      <alignment/>
      <protection/>
    </xf>
    <xf numFmtId="43" fontId="5" fillId="0" borderId="0" xfId="15" applyNumberFormat="1" applyFont="1" applyAlignment="1">
      <alignment horizontal="right"/>
    </xf>
    <xf numFmtId="2" fontId="4" fillId="0" borderId="0" xfId="18" applyFont="1">
      <alignment/>
      <protection/>
    </xf>
    <xf numFmtId="2" fontId="18" fillId="0" borderId="70" xfId="18" applyFont="1" applyFill="1" applyBorder="1" applyAlignment="1">
      <alignment horizontal="center" wrapText="1"/>
      <protection/>
    </xf>
    <xf numFmtId="43" fontId="4" fillId="0" borderId="71" xfId="15" applyNumberFormat="1" applyFont="1" applyFill="1" applyBorder="1" applyAlignment="1">
      <alignment horizontal="center"/>
    </xf>
    <xf numFmtId="43" fontId="4" fillId="0" borderId="72" xfId="15" applyNumberFormat="1" applyFont="1" applyFill="1" applyBorder="1" applyAlignment="1">
      <alignment horizontal="center"/>
    </xf>
    <xf numFmtId="2" fontId="18" fillId="0" borderId="0" xfId="18" applyFont="1">
      <alignment/>
      <protection/>
    </xf>
    <xf numFmtId="2" fontId="18" fillId="0" borderId="0" xfId="18" applyFont="1" applyAlignment="1">
      <alignment horizontal="center"/>
      <protection/>
    </xf>
    <xf numFmtId="2" fontId="18" fillId="0" borderId="70" xfId="18" applyFont="1" applyFill="1" applyBorder="1" applyAlignment="1">
      <alignment wrapText="1"/>
      <protection/>
    </xf>
    <xf numFmtId="43" fontId="18" fillId="0" borderId="71" xfId="15" applyNumberFormat="1" applyFont="1" applyFill="1" applyBorder="1" applyAlignment="1">
      <alignment horizontal="right"/>
    </xf>
    <xf numFmtId="43" fontId="18" fillId="0" borderId="72" xfId="15" applyNumberFormat="1" applyFont="1" applyFill="1" applyBorder="1" applyAlignment="1">
      <alignment horizontal="right"/>
    </xf>
    <xf numFmtId="2" fontId="19" fillId="0" borderId="0" xfId="18" applyFont="1">
      <alignment/>
      <protection/>
    </xf>
    <xf numFmtId="2" fontId="18" fillId="0" borderId="0" xfId="18" applyFont="1" applyBorder="1">
      <alignment/>
      <protection/>
    </xf>
    <xf numFmtId="2" fontId="19" fillId="0" borderId="73" xfId="18" applyFont="1" applyFill="1" applyBorder="1" applyAlignment="1">
      <alignment horizontal="left" wrapText="1"/>
      <protection/>
    </xf>
    <xf numFmtId="43" fontId="20" fillId="0" borderId="67" xfId="15" applyNumberFormat="1" applyFont="1" applyFill="1" applyBorder="1" applyAlignment="1">
      <alignment horizontal="right"/>
    </xf>
    <xf numFmtId="43" fontId="19" fillId="0" borderId="74" xfId="15" applyNumberFormat="1" applyFont="1" applyFill="1" applyBorder="1" applyAlignment="1">
      <alignment horizontal="right"/>
    </xf>
    <xf numFmtId="2" fontId="20" fillId="0" borderId="0" xfId="18" applyFont="1" applyBorder="1">
      <alignment/>
      <protection/>
    </xf>
    <xf numFmtId="2" fontId="19" fillId="0" borderId="75" xfId="18" applyFont="1" applyFill="1" applyBorder="1" applyAlignment="1">
      <alignment wrapText="1"/>
      <protection/>
    </xf>
    <xf numFmtId="43" fontId="19" fillId="0" borderId="1" xfId="15" applyNumberFormat="1" applyFont="1" applyFill="1" applyBorder="1" applyAlignment="1">
      <alignment horizontal="right"/>
    </xf>
    <xf numFmtId="43" fontId="19" fillId="0" borderId="76" xfId="15" applyNumberFormat="1" applyFont="1" applyFill="1" applyBorder="1" applyAlignment="1">
      <alignment horizontal="right"/>
    </xf>
    <xf numFmtId="2" fontId="19" fillId="0" borderId="0" xfId="18" applyFont="1" applyBorder="1">
      <alignment/>
      <protection/>
    </xf>
    <xf numFmtId="2" fontId="19" fillId="0" borderId="75" xfId="18" applyFont="1" applyFill="1" applyBorder="1" applyAlignment="1">
      <alignment horizontal="left" wrapText="1"/>
      <protection/>
    </xf>
    <xf numFmtId="43" fontId="33" fillId="0" borderId="76" xfId="15" applyNumberFormat="1" applyFont="1" applyFill="1" applyBorder="1" applyAlignment="1">
      <alignment horizontal="right"/>
    </xf>
    <xf numFmtId="43" fontId="19" fillId="0" borderId="23" xfId="15" applyNumberFormat="1" applyFont="1" applyFill="1" applyBorder="1" applyAlignment="1">
      <alignment horizontal="right"/>
    </xf>
    <xf numFmtId="43" fontId="19" fillId="0" borderId="76" xfId="15" applyNumberFormat="1" applyFont="1" applyFill="1" applyBorder="1" applyAlignment="1">
      <alignment horizontal="center" vertical="center"/>
    </xf>
    <xf numFmtId="2" fontId="19" fillId="0" borderId="77" xfId="18" applyFont="1" applyFill="1" applyBorder="1" applyAlignment="1">
      <alignment wrapText="1"/>
      <protection/>
    </xf>
    <xf numFmtId="43" fontId="19" fillId="0" borderId="57" xfId="15" applyNumberFormat="1" applyFont="1" applyFill="1" applyBorder="1" applyAlignment="1">
      <alignment horizontal="right"/>
    </xf>
    <xf numFmtId="43" fontId="19" fillId="0" borderId="78" xfId="15" applyNumberFormat="1" applyFont="1" applyFill="1" applyBorder="1" applyAlignment="1">
      <alignment horizontal="center" vertical="center"/>
    </xf>
    <xf numFmtId="43" fontId="19" fillId="0" borderId="71" xfId="15" applyNumberFormat="1" applyFont="1" applyFill="1" applyBorder="1" applyAlignment="1">
      <alignment horizontal="right"/>
    </xf>
    <xf numFmtId="2" fontId="19" fillId="0" borderId="79" xfId="18" applyFont="1" applyFill="1" applyBorder="1" applyAlignment="1">
      <alignment wrapText="1"/>
      <protection/>
    </xf>
    <xf numFmtId="43" fontId="19" fillId="0" borderId="80" xfId="18" applyNumberFormat="1" applyFont="1" applyFill="1" applyBorder="1" applyAlignment="1">
      <alignment horizontal="right"/>
      <protection/>
    </xf>
    <xf numFmtId="43" fontId="19" fillId="0" borderId="81" xfId="15" applyNumberFormat="1" applyFont="1" applyFill="1" applyBorder="1" applyAlignment="1">
      <alignment horizontal="right"/>
    </xf>
    <xf numFmtId="43" fontId="19" fillId="0" borderId="72" xfId="15" applyNumberFormat="1" applyFont="1" applyFill="1" applyBorder="1" applyAlignment="1">
      <alignment horizontal="right"/>
    </xf>
    <xf numFmtId="2" fontId="19" fillId="0" borderId="82" xfId="18" applyFont="1" applyFill="1" applyBorder="1" applyAlignment="1">
      <alignment wrapText="1"/>
      <protection/>
    </xf>
    <xf numFmtId="43" fontId="19" fillId="0" borderId="83" xfId="15" applyNumberFormat="1" applyFont="1" applyFill="1" applyBorder="1" applyAlignment="1">
      <alignment horizontal="right"/>
    </xf>
    <xf numFmtId="43" fontId="18" fillId="0" borderId="84" xfId="15" applyNumberFormat="1" applyFont="1" applyFill="1" applyBorder="1" applyAlignment="1">
      <alignment horizontal="right"/>
    </xf>
    <xf numFmtId="43" fontId="18" fillId="0" borderId="76" xfId="15" applyNumberFormat="1" applyFont="1" applyFill="1" applyBorder="1" applyAlignment="1">
      <alignment horizontal="right"/>
    </xf>
    <xf numFmtId="2" fontId="19" fillId="0" borderId="73" xfId="18" applyFont="1" applyFill="1" applyBorder="1" applyAlignment="1">
      <alignment wrapText="1"/>
      <protection/>
    </xf>
    <xf numFmtId="43" fontId="19" fillId="0" borderId="67" xfId="15" applyNumberFormat="1" applyFont="1" applyFill="1" applyBorder="1" applyAlignment="1">
      <alignment horizontal="right"/>
    </xf>
    <xf numFmtId="43" fontId="19" fillId="0" borderId="85" xfId="15" applyNumberFormat="1" applyFont="1" applyFill="1" applyBorder="1" applyAlignment="1">
      <alignment horizontal="right"/>
    </xf>
    <xf numFmtId="43" fontId="19" fillId="0" borderId="86" xfId="15" applyNumberFormat="1" applyFont="1" applyFill="1" applyBorder="1" applyAlignment="1">
      <alignment horizontal="right"/>
    </xf>
    <xf numFmtId="43" fontId="19" fillId="0" borderId="84" xfId="15" applyNumberFormat="1" applyFont="1" applyFill="1" applyBorder="1" applyAlignment="1">
      <alignment horizontal="right"/>
    </xf>
    <xf numFmtId="2" fontId="19" fillId="0" borderId="87" xfId="18" applyFont="1" applyFill="1" applyBorder="1" applyAlignment="1">
      <alignment wrapText="1"/>
      <protection/>
    </xf>
    <xf numFmtId="43" fontId="19" fillId="0" borderId="88" xfId="15" applyNumberFormat="1" applyFont="1" applyFill="1" applyBorder="1" applyAlignment="1">
      <alignment horizontal="right"/>
    </xf>
    <xf numFmtId="43" fontId="19" fillId="0" borderId="78" xfId="15" applyNumberFormat="1" applyFont="1" applyFill="1" applyBorder="1" applyAlignment="1">
      <alignment horizontal="right"/>
    </xf>
    <xf numFmtId="2" fontId="20" fillId="0" borderId="73" xfId="18" applyFont="1" applyFill="1" applyBorder="1" applyAlignment="1">
      <alignment wrapText="1"/>
      <protection/>
    </xf>
    <xf numFmtId="43" fontId="20" fillId="0" borderId="74" xfId="15" applyNumberFormat="1" applyFont="1" applyFill="1" applyBorder="1" applyAlignment="1">
      <alignment horizontal="right"/>
    </xf>
    <xf numFmtId="2" fontId="20" fillId="0" borderId="0" xfId="18" applyFont="1">
      <alignment/>
      <protection/>
    </xf>
    <xf numFmtId="2" fontId="20" fillId="0" borderId="75" xfId="18" applyFont="1" applyFill="1" applyBorder="1" applyAlignment="1">
      <alignment wrapText="1"/>
      <protection/>
    </xf>
    <xf numFmtId="43" fontId="20" fillId="0" borderId="76" xfId="15" applyNumberFormat="1" applyFont="1" applyFill="1" applyBorder="1" applyAlignment="1">
      <alignment horizontal="right"/>
    </xf>
    <xf numFmtId="2" fontId="20" fillId="0" borderId="70" xfId="18" applyFont="1" applyFill="1" applyBorder="1" applyAlignment="1">
      <alignment wrapText="1"/>
      <protection/>
    </xf>
    <xf numFmtId="43" fontId="18" fillId="0" borderId="89" xfId="15" applyNumberFormat="1" applyFont="1" applyFill="1" applyBorder="1" applyAlignment="1">
      <alignment horizontal="right"/>
    </xf>
    <xf numFmtId="2" fontId="14" fillId="0" borderId="0" xfId="18" applyFont="1" applyFill="1" applyBorder="1" applyAlignment="1">
      <alignment wrapText="1"/>
      <protection/>
    </xf>
    <xf numFmtId="43" fontId="14" fillId="0" borderId="0" xfId="15" applyNumberFormat="1" applyFont="1" applyFill="1" applyBorder="1" applyAlignment="1">
      <alignment/>
    </xf>
    <xf numFmtId="2" fontId="14" fillId="0" borderId="0" xfId="18" applyFont="1">
      <alignment/>
      <protection/>
    </xf>
    <xf numFmtId="2" fontId="14" fillId="0" borderId="0" xfId="18" applyFont="1" applyBorder="1">
      <alignment/>
      <protection/>
    </xf>
    <xf numFmtId="2" fontId="14" fillId="0" borderId="0" xfId="18" applyFont="1" applyBorder="1" applyAlignment="1">
      <alignment wrapText="1"/>
      <protection/>
    </xf>
    <xf numFmtId="43" fontId="14" fillId="0" borderId="0" xfId="15" applyNumberFormat="1" applyFont="1" applyBorder="1" applyAlignment="1">
      <alignment/>
    </xf>
    <xf numFmtId="2" fontId="17" fillId="0" borderId="0" xfId="18" applyFont="1" applyBorder="1" applyAlignment="1">
      <alignment wrapText="1"/>
      <protection/>
    </xf>
    <xf numFmtId="2" fontId="19" fillId="0" borderId="0" xfId="18" applyFont="1" applyBorder="1" applyAlignment="1">
      <alignment wrapText="1"/>
      <protection/>
    </xf>
    <xf numFmtId="43" fontId="19" fillId="0" borderId="0" xfId="15" applyNumberFormat="1" applyFont="1" applyBorder="1" applyAlignment="1">
      <alignment/>
    </xf>
    <xf numFmtId="2" fontId="19" fillId="0" borderId="0" xfId="18" applyFont="1" applyAlignment="1">
      <alignment wrapText="1"/>
      <protection/>
    </xf>
    <xf numFmtId="43" fontId="19" fillId="0" borderId="0" xfId="15" applyNumberFormat="1" applyFont="1" applyAlignment="1">
      <alignment/>
    </xf>
    <xf numFmtId="3" fontId="1" fillId="0" borderId="85" xfId="0" applyNumberFormat="1" applyFont="1" applyBorder="1" applyAlignment="1">
      <alignment horizontal="centerContinuous"/>
    </xf>
    <xf numFmtId="3" fontId="1" fillId="0" borderId="85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3" fontId="1" fillId="0" borderId="80" xfId="0" applyNumberFormat="1" applyFont="1" applyBorder="1" applyAlignment="1">
      <alignment horizontal="centerContinuous"/>
    </xf>
    <xf numFmtId="3" fontId="1" fillId="0" borderId="80" xfId="0" applyNumberFormat="1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3" fontId="0" fillId="0" borderId="67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0" fontId="0" fillId="0" borderId="67" xfId="0" applyFont="1" applyBorder="1" applyAlignment="1">
      <alignment/>
    </xf>
    <xf numFmtId="181" fontId="9" fillId="0" borderId="0" xfId="15" applyNumberFormat="1" applyFont="1" applyAlignment="1">
      <alignment horizontal="center"/>
    </xf>
    <xf numFmtId="2" fontId="9" fillId="0" borderId="0" xfId="18" applyFont="1" applyAlignment="1">
      <alignment horizontal="center"/>
      <protection/>
    </xf>
    <xf numFmtId="0" fontId="5" fillId="0" borderId="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44" fontId="5" fillId="0" borderId="91" xfId="21" applyFont="1" applyBorder="1" applyAlignment="1">
      <alignment horizontal="center" vertical="center" wrapText="1"/>
    </xf>
    <xf numFmtId="44" fontId="5" fillId="0" borderId="94" xfId="21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167" fontId="13" fillId="0" borderId="85" xfId="0" applyNumberFormat="1" applyFont="1" applyBorder="1" applyAlignment="1">
      <alignment horizontal="center" vertical="center" wrapText="1"/>
    </xf>
    <xf numFmtId="167" fontId="13" fillId="0" borderId="67" xfId="0" applyNumberFormat="1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167" fontId="15" fillId="0" borderId="85" xfId="0" applyNumberFormat="1" applyFont="1" applyBorder="1" applyAlignment="1">
      <alignment horizontal="center" vertical="center"/>
    </xf>
    <xf numFmtId="167" fontId="15" fillId="0" borderId="67" xfId="0" applyNumberFormat="1" applyFont="1" applyBorder="1" applyAlignment="1">
      <alignment horizontal="center" vertical="center"/>
    </xf>
    <xf numFmtId="167" fontId="4" fillId="0" borderId="98" xfId="0" applyNumberFormat="1" applyFont="1" applyBorder="1" applyAlignment="1">
      <alignment horizontal="center" vertical="center"/>
    </xf>
    <xf numFmtId="167" fontId="4" fillId="0" borderId="99" xfId="0" applyNumberFormat="1" applyFont="1" applyBorder="1" applyAlignment="1">
      <alignment horizontal="center" vertical="center"/>
    </xf>
    <xf numFmtId="167" fontId="4" fillId="0" borderId="100" xfId="0" applyNumberFormat="1" applyFont="1" applyBorder="1" applyAlignment="1">
      <alignment horizontal="center" vertical="center"/>
    </xf>
    <xf numFmtId="167" fontId="13" fillId="0" borderId="92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7" fontId="13" fillId="0" borderId="98" xfId="0" applyNumberFormat="1" applyFont="1" applyBorder="1" applyAlignment="1">
      <alignment horizontal="center" vertical="center" wrapText="1"/>
    </xf>
    <xf numFmtId="167" fontId="13" fillId="0" borderId="99" xfId="0" applyNumberFormat="1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3" fontId="14" fillId="0" borderId="85" xfId="0" applyNumberFormat="1" applyFont="1" applyBorder="1" applyAlignment="1">
      <alignment horizontal="center" vertical="center" wrapText="1"/>
    </xf>
    <xf numFmtId="3" fontId="14" fillId="0" borderId="67" xfId="0" applyNumberFormat="1" applyFont="1" applyBorder="1" applyAlignment="1">
      <alignment horizontal="center" vertical="center" wrapText="1"/>
    </xf>
    <xf numFmtId="3" fontId="13" fillId="0" borderId="85" xfId="0" applyNumberFormat="1" applyFont="1" applyBorder="1" applyAlignment="1">
      <alignment horizontal="center" vertical="center"/>
    </xf>
    <xf numFmtId="3" fontId="13" fillId="0" borderId="80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4" fontId="13" fillId="0" borderId="85" xfId="0" applyNumberFormat="1" applyFont="1" applyBorder="1" applyAlignment="1">
      <alignment horizontal="center" vertical="center"/>
    </xf>
    <xf numFmtId="4" fontId="13" fillId="0" borderId="67" xfId="0" applyNumberFormat="1" applyFont="1" applyBorder="1" applyAlignment="1">
      <alignment horizontal="center" vertical="center"/>
    </xf>
    <xf numFmtId="4" fontId="13" fillId="0" borderId="85" xfId="0" applyNumberFormat="1" applyFont="1" applyBorder="1" applyAlignment="1">
      <alignment vertical="center"/>
    </xf>
    <xf numFmtId="4" fontId="13" fillId="0" borderId="67" xfId="0" applyNumberFormat="1" applyFont="1" applyBorder="1" applyAlignment="1">
      <alignment vertical="center"/>
    </xf>
    <xf numFmtId="4" fontId="13" fillId="0" borderId="101" xfId="0" applyNumberFormat="1" applyFont="1" applyBorder="1" applyAlignment="1">
      <alignment horizontal="center" vertical="center"/>
    </xf>
    <xf numFmtId="4" fontId="13" fillId="0" borderId="102" xfId="0" applyNumberFormat="1" applyFont="1" applyBorder="1" applyAlignment="1">
      <alignment horizontal="center" vertical="center"/>
    </xf>
    <xf numFmtId="4" fontId="13" fillId="0" borderId="103" xfId="0" applyNumberFormat="1" applyFont="1" applyBorder="1" applyAlignment="1">
      <alignment horizontal="center" vertical="center"/>
    </xf>
    <xf numFmtId="3" fontId="4" fillId="0" borderId="10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167" fontId="13" fillId="0" borderId="80" xfId="0" applyNumberFormat="1" applyFont="1" applyBorder="1" applyAlignment="1">
      <alignment horizontal="center" vertical="center" wrapText="1"/>
    </xf>
    <xf numFmtId="3" fontId="13" fillId="0" borderId="85" xfId="0" applyNumberFormat="1" applyFont="1" applyBorder="1" applyAlignment="1">
      <alignment horizontal="center" vertical="center" wrapText="1"/>
    </xf>
    <xf numFmtId="3" fontId="13" fillId="0" borderId="80" xfId="0" applyNumberFormat="1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8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05" xfId="0" applyFont="1" applyBorder="1" applyAlignment="1">
      <alignment vertical="center"/>
    </xf>
    <xf numFmtId="0" fontId="35" fillId="0" borderId="106" xfId="0" applyFont="1" applyBorder="1" applyAlignment="1">
      <alignment horizontal="center" vertical="center" wrapText="1"/>
    </xf>
    <xf numFmtId="0" fontId="35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11" xfId="0" applyFont="1" applyBorder="1" applyAlignment="1">
      <alignment vertical="center"/>
    </xf>
    <xf numFmtId="0" fontId="35" fillId="0" borderId="80" xfId="0" applyFont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/>
    </xf>
    <xf numFmtId="0" fontId="35" fillId="0" borderId="112" xfId="0" applyFont="1" applyBorder="1" applyAlignment="1">
      <alignment vertical="center"/>
    </xf>
    <xf numFmtId="0" fontId="35" fillId="0" borderId="81" xfId="0" applyFont="1" applyBorder="1" applyAlignment="1">
      <alignment horizontal="center" vertical="center" wrapText="1"/>
    </xf>
    <xf numFmtId="0" fontId="35" fillId="0" borderId="113" xfId="0" applyFont="1" applyBorder="1" applyAlignment="1">
      <alignment vertical="center"/>
    </xf>
    <xf numFmtId="0" fontId="35" fillId="0" borderId="114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 wrapText="1"/>
    </xf>
    <xf numFmtId="0" fontId="35" fillId="0" borderId="116" xfId="0" applyFont="1" applyBorder="1" applyAlignment="1">
      <alignment/>
    </xf>
    <xf numFmtId="0" fontId="35" fillId="0" borderId="4" xfId="0" applyFont="1" applyBorder="1" applyAlignment="1">
      <alignment/>
    </xf>
    <xf numFmtId="3" fontId="35" fillId="0" borderId="4" xfId="0" applyNumberFormat="1" applyFont="1" applyBorder="1" applyAlignment="1">
      <alignment/>
    </xf>
    <xf numFmtId="3" fontId="35" fillId="0" borderId="117" xfId="0" applyNumberFormat="1" applyFont="1" applyBorder="1" applyAlignment="1">
      <alignment/>
    </xf>
    <xf numFmtId="0" fontId="35" fillId="0" borderId="0" xfId="0" applyFont="1" applyAlignment="1">
      <alignment/>
    </xf>
    <xf numFmtId="3" fontId="35" fillId="0" borderId="4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5" borderId="0" xfId="0" applyFont="1" applyFill="1" applyAlignment="1">
      <alignment/>
    </xf>
    <xf numFmtId="0" fontId="35" fillId="0" borderId="19" xfId="0" applyFon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18" xfId="0" applyNumberFormat="1" applyFont="1" applyBorder="1" applyAlignment="1">
      <alignment/>
    </xf>
    <xf numFmtId="0" fontId="35" fillId="0" borderId="26" xfId="0" applyFont="1" applyBorder="1" applyAlignment="1">
      <alignment vertical="center"/>
    </xf>
    <xf numFmtId="3" fontId="35" fillId="0" borderId="26" xfId="0" applyNumberFormat="1" applyFont="1" applyBorder="1" applyAlignment="1">
      <alignment vertical="center"/>
    </xf>
    <xf numFmtId="3" fontId="35" fillId="0" borderId="119" xfId="0" applyNumberFormat="1" applyFont="1" applyBorder="1" applyAlignment="1">
      <alignment vertical="center"/>
    </xf>
    <xf numFmtId="0" fontId="35" fillId="0" borderId="120" xfId="0" applyFont="1" applyBorder="1" applyAlignment="1">
      <alignment vertical="center"/>
    </xf>
    <xf numFmtId="0" fontId="35" fillId="0" borderId="94" xfId="0" applyFont="1" applyBorder="1" applyAlignment="1">
      <alignment vertical="center"/>
    </xf>
    <xf numFmtId="3" fontId="35" fillId="0" borderId="15" xfId="0" applyNumberFormat="1" applyFont="1" applyBorder="1" applyAlignment="1">
      <alignment vertical="center"/>
    </xf>
    <xf numFmtId="3" fontId="35" fillId="0" borderId="121" xfId="0" applyNumberFormat="1" applyFont="1" applyBorder="1" applyAlignment="1">
      <alignment vertical="center"/>
    </xf>
    <xf numFmtId="0" fontId="35" fillId="0" borderId="122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117" xfId="0" applyNumberFormat="1" applyFont="1" applyBorder="1" applyAlignment="1">
      <alignment vertical="center"/>
    </xf>
    <xf numFmtId="0" fontId="35" fillId="0" borderId="123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3" fontId="35" fillId="0" borderId="19" xfId="0" applyNumberFormat="1" applyFont="1" applyBorder="1" applyAlignment="1">
      <alignment vertical="center"/>
    </xf>
    <xf numFmtId="3" fontId="35" fillId="0" borderId="118" xfId="0" applyNumberFormat="1" applyFont="1" applyBorder="1" applyAlignment="1">
      <alignment vertical="center"/>
    </xf>
    <xf numFmtId="0" fontId="35" fillId="0" borderId="124" xfId="0" applyFont="1" applyBorder="1" applyAlignment="1">
      <alignment vertical="center"/>
    </xf>
    <xf numFmtId="0" fontId="35" fillId="0" borderId="125" xfId="0" applyFont="1" applyBorder="1" applyAlignment="1">
      <alignment vertical="center"/>
    </xf>
    <xf numFmtId="3" fontId="35" fillId="0" borderId="125" xfId="0" applyNumberFormat="1" applyFont="1" applyBorder="1" applyAlignment="1">
      <alignment vertical="center"/>
    </xf>
    <xf numFmtId="3" fontId="35" fillId="0" borderId="12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5" fillId="0" borderId="57" xfId="0" applyFont="1" applyBorder="1" applyAlignment="1">
      <alignment/>
    </xf>
    <xf numFmtId="0" fontId="35" fillId="0" borderId="85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/>
    </xf>
    <xf numFmtId="0" fontId="35" fillId="0" borderId="128" xfId="0" applyFont="1" applyBorder="1" applyAlignment="1">
      <alignment horizontal="center"/>
    </xf>
    <xf numFmtId="0" fontId="35" fillId="0" borderId="12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59" xfId="0" applyFont="1" applyBorder="1" applyAlignment="1">
      <alignment/>
    </xf>
    <xf numFmtId="0" fontId="36" fillId="0" borderId="80" xfId="0" applyFont="1" applyBorder="1" applyAlignment="1">
      <alignment horizontal="center" vertical="center" wrapText="1"/>
    </xf>
    <xf numFmtId="0" fontId="35" fillId="0" borderId="112" xfId="0" applyFont="1" applyBorder="1" applyAlignment="1">
      <alignment horizontal="center" wrapText="1"/>
    </xf>
    <xf numFmtId="0" fontId="37" fillId="0" borderId="61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35" fillId="0" borderId="67" xfId="0" applyFont="1" applyBorder="1" applyAlignment="1">
      <alignment horizontal="center" vertical="center"/>
    </xf>
    <xf numFmtId="0" fontId="35" fillId="0" borderId="130" xfId="0" applyFont="1" applyBorder="1" applyAlignment="1">
      <alignment horizontal="center" vertical="top"/>
    </xf>
    <xf numFmtId="0" fontId="35" fillId="0" borderId="131" xfId="0" applyFont="1" applyBorder="1" applyAlignment="1">
      <alignment horizontal="center" vertical="top"/>
    </xf>
    <xf numFmtId="0" fontId="35" fillId="0" borderId="132" xfId="0" applyFont="1" applyBorder="1" applyAlignment="1">
      <alignment vertical="top"/>
    </xf>
    <xf numFmtId="0" fontId="35" fillId="0" borderId="92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8" fillId="0" borderId="2" xfId="0" applyNumberFormat="1" applyFont="1" applyBorder="1" applyAlignment="1">
      <alignment/>
    </xf>
    <xf numFmtId="3" fontId="38" fillId="0" borderId="91" xfId="0" applyNumberFormat="1" applyFont="1" applyBorder="1" applyAlignment="1">
      <alignment vertical="center"/>
    </xf>
    <xf numFmtId="3" fontId="38" fillId="0" borderId="133" xfId="0" applyNumberFormat="1" applyFont="1" applyBorder="1" applyAlignment="1">
      <alignment/>
    </xf>
    <xf numFmtId="3" fontId="38" fillId="0" borderId="100" xfId="0" applyNumberFormat="1" applyFont="1" applyBorder="1" applyAlignment="1">
      <alignment/>
    </xf>
    <xf numFmtId="3" fontId="39" fillId="0" borderId="64" xfId="0" applyNumberFormat="1" applyFont="1" applyBorder="1" applyAlignment="1">
      <alignment vertical="center"/>
    </xf>
    <xf numFmtId="3" fontId="39" fillId="0" borderId="62" xfId="0" applyNumberFormat="1" applyFont="1" applyBorder="1" applyAlignment="1">
      <alignment vertical="center"/>
    </xf>
    <xf numFmtId="0" fontId="39" fillId="0" borderId="13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3" fontId="38" fillId="0" borderId="4" xfId="0" applyNumberFormat="1" applyFont="1" applyBorder="1" applyAlignment="1">
      <alignment/>
    </xf>
    <xf numFmtId="3" fontId="38" fillId="0" borderId="4" xfId="0" applyNumberFormat="1" applyFont="1" applyBorder="1" applyAlignment="1">
      <alignment vertical="center"/>
    </xf>
    <xf numFmtId="3" fontId="38" fillId="0" borderId="135" xfId="0" applyNumberFormat="1" applyFont="1" applyBorder="1" applyAlignment="1">
      <alignment/>
    </xf>
    <xf numFmtId="0" fontId="35" fillId="0" borderId="61" xfId="0" applyFont="1" applyBorder="1" applyAlignment="1">
      <alignment vertical="center"/>
    </xf>
    <xf numFmtId="3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3" fontId="38" fillId="0" borderId="19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38" fillId="0" borderId="28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/>
    </xf>
    <xf numFmtId="3" fontId="38" fillId="0" borderId="136" xfId="0" applyNumberFormat="1" applyFont="1" applyBorder="1" applyAlignment="1">
      <alignment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3" fontId="40" fillId="0" borderId="91" xfId="0" applyNumberFormat="1" applyFont="1" applyBorder="1" applyAlignment="1">
      <alignment vertical="center"/>
    </xf>
    <xf numFmtId="3" fontId="40" fillId="0" borderId="133" xfId="0" applyNumberFormat="1" applyFont="1" applyBorder="1" applyAlignment="1">
      <alignment vertical="center"/>
    </xf>
    <xf numFmtId="3" fontId="40" fillId="0" borderId="68" xfId="0" applyNumberFormat="1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3" fontId="41" fillId="0" borderId="91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/>
    </xf>
    <xf numFmtId="3" fontId="38" fillId="0" borderId="6" xfId="0" applyNumberFormat="1" applyFont="1" applyBorder="1" applyAlignment="1">
      <alignment horizontal="right"/>
    </xf>
    <xf numFmtId="3" fontId="41" fillId="0" borderId="2" xfId="0" applyNumberFormat="1" applyFont="1" applyBorder="1" applyAlignment="1">
      <alignment vertical="center"/>
    </xf>
    <xf numFmtId="3" fontId="38" fillId="0" borderId="2" xfId="0" applyNumberFormat="1" applyFont="1" applyBorder="1" applyAlignment="1">
      <alignment horizontal="right" wrapText="1"/>
    </xf>
    <xf numFmtId="3" fontId="38" fillId="0" borderId="49" xfId="0" applyNumberFormat="1" applyFont="1" applyBorder="1" applyAlignment="1">
      <alignment horizontal="right" vertical="center" wrapText="1"/>
    </xf>
    <xf numFmtId="0" fontId="35" fillId="0" borderId="3" xfId="0" applyFont="1" applyBorder="1" applyAlignment="1">
      <alignment vertical="center"/>
    </xf>
    <xf numFmtId="3" fontId="41" fillId="0" borderId="4" xfId="0" applyNumberFormat="1" applyFont="1" applyBorder="1" applyAlignment="1">
      <alignment vertical="center"/>
    </xf>
    <xf numFmtId="3" fontId="38" fillId="0" borderId="7" xfId="0" applyNumberFormat="1" applyFont="1" applyBorder="1" applyAlignment="1">
      <alignment horizontal="right"/>
    </xf>
    <xf numFmtId="3" fontId="38" fillId="0" borderId="4" xfId="0" applyNumberFormat="1" applyFont="1" applyBorder="1" applyAlignment="1">
      <alignment horizontal="right" wrapText="1"/>
    </xf>
    <xf numFmtId="3" fontId="38" fillId="0" borderId="5" xfId="0" applyNumberFormat="1" applyFont="1" applyBorder="1" applyAlignment="1">
      <alignment horizontal="right" vertical="center" wrapText="1"/>
    </xf>
    <xf numFmtId="0" fontId="35" fillId="0" borderId="40" xfId="0" applyFont="1" applyBorder="1" applyAlignment="1">
      <alignment vertical="center"/>
    </xf>
    <xf numFmtId="4" fontId="38" fillId="0" borderId="4" xfId="0" applyNumberFormat="1" applyFont="1" applyBorder="1" applyAlignment="1">
      <alignment/>
    </xf>
    <xf numFmtId="3" fontId="38" fillId="0" borderId="28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horizontal="right"/>
    </xf>
    <xf numFmtId="3" fontId="38" fillId="0" borderId="16" xfId="0" applyNumberFormat="1" applyFont="1" applyBorder="1" applyAlignment="1">
      <alignment horizontal="right" vertical="center" wrapText="1"/>
    </xf>
    <xf numFmtId="0" fontId="35" fillId="0" borderId="61" xfId="0" applyFont="1" applyBorder="1" applyAlignment="1">
      <alignment vertical="center"/>
    </xf>
    <xf numFmtId="3" fontId="40" fillId="0" borderId="26" xfId="0" applyNumberFormat="1" applyFont="1" applyBorder="1" applyAlignment="1">
      <alignment horizontal="right" vertical="center" wrapText="1"/>
    </xf>
    <xf numFmtId="3" fontId="40" fillId="0" borderId="27" xfId="0" applyNumberFormat="1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5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3" fontId="35" fillId="0" borderId="64" xfId="0" applyNumberFormat="1" applyFont="1" applyBorder="1" applyAlignment="1">
      <alignment vertical="center"/>
    </xf>
    <xf numFmtId="3" fontId="35" fillId="0" borderId="62" xfId="0" applyNumberFormat="1" applyFont="1" applyBorder="1" applyAlignment="1">
      <alignment vertical="center"/>
    </xf>
    <xf numFmtId="0" fontId="35" fillId="0" borderId="134" xfId="0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  <xf numFmtId="3" fontId="38" fillId="0" borderId="22" xfId="0" applyNumberFormat="1" applyFont="1" applyBorder="1" applyAlignment="1">
      <alignment vertical="center"/>
    </xf>
    <xf numFmtId="3" fontId="38" fillId="0" borderId="20" xfId="0" applyNumberFormat="1" applyFont="1" applyBorder="1" applyAlignment="1">
      <alignment vertical="center"/>
    </xf>
    <xf numFmtId="3" fontId="38" fillId="0" borderId="21" xfId="0" applyNumberFormat="1" applyFont="1" applyBorder="1" applyAlignment="1">
      <alignment vertical="center"/>
    </xf>
    <xf numFmtId="3" fontId="42" fillId="0" borderId="91" xfId="0" applyNumberFormat="1" applyFont="1" applyBorder="1" applyAlignment="1">
      <alignment/>
    </xf>
    <xf numFmtId="3" fontId="40" fillId="0" borderId="91" xfId="0" applyNumberFormat="1" applyFont="1" applyBorder="1" applyAlignment="1">
      <alignment vertical="center"/>
    </xf>
    <xf numFmtId="3" fontId="40" fillId="0" borderId="58" xfId="0" applyNumberFormat="1" applyFont="1" applyBorder="1" applyAlignment="1">
      <alignment vertical="center"/>
    </xf>
    <xf numFmtId="3" fontId="40" fillId="0" borderId="31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3" fontId="38" fillId="0" borderId="2" xfId="0" applyNumberFormat="1" applyFont="1" applyBorder="1" applyAlignment="1">
      <alignment/>
    </xf>
    <xf numFmtId="3" fontId="38" fillId="0" borderId="99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3" fontId="38" fillId="0" borderId="2" xfId="0" applyNumberFormat="1" applyFont="1" applyBorder="1" applyAlignment="1">
      <alignment vertical="center"/>
    </xf>
    <xf numFmtId="3" fontId="43" fillId="0" borderId="6" xfId="0" applyNumberFormat="1" applyFont="1" applyBorder="1" applyAlignment="1">
      <alignment/>
    </xf>
    <xf numFmtId="3" fontId="43" fillId="0" borderId="100" xfId="0" applyNumberFormat="1" applyFont="1" applyBorder="1" applyAlignment="1">
      <alignment/>
    </xf>
    <xf numFmtId="3" fontId="38" fillId="0" borderId="4" xfId="0" applyNumberFormat="1" applyFont="1" applyBorder="1" applyAlignment="1">
      <alignment/>
    </xf>
    <xf numFmtId="3" fontId="38" fillId="0" borderId="32" xfId="0" applyNumberFormat="1" applyFont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4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/>
    </xf>
    <xf numFmtId="3" fontId="43" fillId="0" borderId="135" xfId="0" applyNumberFormat="1" applyFont="1" applyBorder="1" applyAlignment="1">
      <alignment/>
    </xf>
    <xf numFmtId="3" fontId="38" fillId="0" borderId="0" xfId="0" applyNumberFormat="1" applyFont="1" applyBorder="1" applyAlignment="1">
      <alignment vertical="center"/>
    </xf>
    <xf numFmtId="3" fontId="38" fillId="0" borderId="134" xfId="0" applyNumberFormat="1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3" fontId="38" fillId="0" borderId="64" xfId="0" applyNumberFormat="1" applyFont="1" applyBorder="1" applyAlignment="1">
      <alignment vertical="center"/>
    </xf>
    <xf numFmtId="3" fontId="38" fillId="0" borderId="62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112" xfId="0" applyNumberFormat="1" applyFont="1" applyBorder="1" applyAlignment="1">
      <alignment/>
    </xf>
    <xf numFmtId="0" fontId="44" fillId="0" borderId="19" xfId="0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/>
    </xf>
    <xf numFmtId="3" fontId="38" fillId="0" borderId="137" xfId="0" applyNumberFormat="1" applyFont="1" applyBorder="1" applyAlignment="1">
      <alignment/>
    </xf>
    <xf numFmtId="3" fontId="40" fillId="0" borderId="26" xfId="0" applyNumberFormat="1" applyFont="1" applyBorder="1" applyAlignment="1">
      <alignment vertical="center"/>
    </xf>
    <xf numFmtId="3" fontId="40" fillId="0" borderId="30" xfId="0" applyNumberFormat="1" applyFont="1" applyBorder="1" applyAlignment="1">
      <alignment vertical="center"/>
    </xf>
    <xf numFmtId="3" fontId="40" fillId="0" borderId="29" xfId="0" applyNumberFormat="1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43" fillId="0" borderId="2" xfId="0" applyNumberFormat="1" applyFont="1" applyBorder="1" applyAlignment="1">
      <alignment vertical="center"/>
    </xf>
    <xf numFmtId="3" fontId="43" fillId="0" borderId="8" xfId="0" applyNumberFormat="1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4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3" fontId="45" fillId="0" borderId="30" xfId="0" applyNumberFormat="1" applyFont="1" applyBorder="1" applyAlignment="1">
      <alignment vertical="center"/>
    </xf>
    <xf numFmtId="3" fontId="45" fillId="0" borderId="29" xfId="0" applyNumberFormat="1" applyFont="1" applyBorder="1" applyAlignment="1">
      <alignment vertical="center"/>
    </xf>
    <xf numFmtId="3" fontId="36" fillId="0" borderId="27" xfId="0" applyNumberFormat="1" applyFont="1" applyBorder="1" applyAlignment="1">
      <alignment vertical="center"/>
    </xf>
    <xf numFmtId="3" fontId="39" fillId="0" borderId="138" xfId="0" applyNumberFormat="1" applyFont="1" applyBorder="1" applyAlignment="1">
      <alignment vertical="center"/>
    </xf>
    <xf numFmtId="3" fontId="39" fillId="0" borderId="139" xfId="0" applyNumberFormat="1" applyFont="1" applyBorder="1" applyAlignment="1">
      <alignment vertical="center"/>
    </xf>
    <xf numFmtId="0" fontId="39" fillId="0" borderId="140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 vertical="center"/>
    </xf>
    <xf numFmtId="3" fontId="43" fillId="0" borderId="28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6" fillId="0" borderId="8" xfId="0" applyNumberFormat="1" applyFont="1" applyBorder="1" applyAlignment="1">
      <alignment vertical="center"/>
    </xf>
    <xf numFmtId="3" fontId="46" fillId="0" borderId="6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3" fontId="43" fillId="0" borderId="19" xfId="0" applyNumberFormat="1" applyFont="1" applyBorder="1" applyAlignment="1">
      <alignment vertical="center"/>
    </xf>
    <xf numFmtId="3" fontId="43" fillId="0" borderId="62" xfId="0" applyNumberFormat="1" applyFont="1" applyBorder="1" applyAlignment="1">
      <alignment vertical="center"/>
    </xf>
    <xf numFmtId="3" fontId="46" fillId="0" borderId="64" xfId="0" applyNumberFormat="1" applyFont="1" applyBorder="1" applyAlignment="1">
      <alignment vertical="center"/>
    </xf>
    <xf numFmtId="3" fontId="46" fillId="0" borderId="20" xfId="0" applyNumberFormat="1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3" fontId="45" fillId="0" borderId="30" xfId="0" applyNumberFormat="1" applyFont="1" applyBorder="1" applyAlignment="1">
      <alignment vertical="center"/>
    </xf>
    <xf numFmtId="3" fontId="36" fillId="0" borderId="27" xfId="0" applyNumberFormat="1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3" fontId="43" fillId="0" borderId="11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12" xfId="0" applyNumberFormat="1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3" fontId="39" fillId="0" borderId="64" xfId="0" applyNumberFormat="1" applyFont="1" applyBorder="1" applyAlignment="1">
      <alignment vertical="center"/>
    </xf>
    <xf numFmtId="3" fontId="39" fillId="0" borderId="62" xfId="0" applyNumberFormat="1" applyFont="1" applyBorder="1" applyAlignment="1">
      <alignment vertical="center"/>
    </xf>
    <xf numFmtId="0" fontId="39" fillId="0" borderId="134" xfId="0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3" fontId="36" fillId="0" borderId="30" xfId="0" applyNumberFormat="1" applyFont="1" applyBorder="1" applyAlignment="1">
      <alignment vertical="center"/>
    </xf>
    <xf numFmtId="3" fontId="36" fillId="0" borderId="29" xfId="0" applyNumberFormat="1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3" fontId="36" fillId="0" borderId="91" xfId="0" applyNumberFormat="1" applyFont="1" applyBorder="1" applyAlignment="1">
      <alignment vertical="center"/>
    </xf>
    <xf numFmtId="3" fontId="36" fillId="0" borderId="133" xfId="0" applyNumberFormat="1" applyFont="1" applyBorder="1" applyAlignment="1">
      <alignment vertical="center"/>
    </xf>
    <xf numFmtId="3" fontId="36" fillId="0" borderId="31" xfId="0" applyNumberFormat="1" applyFont="1" applyBorder="1" applyAlignment="1">
      <alignment vertical="center"/>
    </xf>
    <xf numFmtId="3" fontId="36" fillId="0" borderId="68" xfId="0" applyNumberFormat="1" applyFont="1" applyBorder="1" applyAlignment="1">
      <alignment vertical="center"/>
    </xf>
    <xf numFmtId="3" fontId="35" fillId="0" borderId="138" xfId="0" applyNumberFormat="1" applyFont="1" applyBorder="1" applyAlignment="1">
      <alignment vertical="center"/>
    </xf>
    <xf numFmtId="3" fontId="35" fillId="0" borderId="139" xfId="0" applyNumberFormat="1" applyFont="1" applyBorder="1" applyAlignment="1">
      <alignment vertical="center"/>
    </xf>
    <xf numFmtId="0" fontId="35" fillId="0" borderId="14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58" xfId="0" applyFont="1" applyBorder="1" applyAlignment="1">
      <alignment/>
    </xf>
    <xf numFmtId="0" fontId="36" fillId="0" borderId="58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10 pli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B15" sqref="B15"/>
    </sheetView>
  </sheetViews>
  <sheetFormatPr defaultColWidth="9.00390625" defaultRowHeight="12.75"/>
  <cols>
    <col min="1" max="1" width="51.25390625" style="615" customWidth="1"/>
    <col min="2" max="2" width="16.125" style="616" customWidth="1"/>
    <col min="3" max="3" width="18.125" style="616" customWidth="1"/>
    <col min="4" max="4" width="13.125" style="565" customWidth="1"/>
    <col min="5" max="5" width="20.75390625" style="565" customWidth="1"/>
    <col min="6" max="16384" width="9.125" style="565" customWidth="1"/>
  </cols>
  <sheetData>
    <row r="1" spans="1:3" s="550" customFormat="1" ht="15" customHeight="1">
      <c r="A1" s="547"/>
      <c r="B1" s="548"/>
      <c r="C1" s="549" t="s">
        <v>315</v>
      </c>
    </row>
    <row r="2" spans="1:4" s="552" customFormat="1" ht="23.25" customHeight="1">
      <c r="A2" s="626" t="s">
        <v>316</v>
      </c>
      <c r="B2" s="626"/>
      <c r="C2" s="626"/>
      <c r="D2" s="551"/>
    </row>
    <row r="3" spans="1:4" s="552" customFormat="1" ht="15.75">
      <c r="A3" s="627" t="s">
        <v>317</v>
      </c>
      <c r="B3" s="627"/>
      <c r="C3" s="627"/>
      <c r="D3" s="551"/>
    </row>
    <row r="4" spans="1:4" s="556" customFormat="1" ht="11.25" customHeight="1" thickBot="1">
      <c r="A4" s="547"/>
      <c r="B4" s="554"/>
      <c r="C4" s="555" t="s">
        <v>318</v>
      </c>
      <c r="D4" s="550"/>
    </row>
    <row r="5" spans="1:4" s="561" customFormat="1" ht="13.5" thickBot="1">
      <c r="A5" s="557" t="s">
        <v>319</v>
      </c>
      <c r="B5" s="558" t="s">
        <v>320</v>
      </c>
      <c r="C5" s="559" t="s">
        <v>321</v>
      </c>
      <c r="D5" s="560"/>
    </row>
    <row r="6" spans="1:4" s="566" customFormat="1" ht="13.5" thickBot="1">
      <c r="A6" s="562" t="s">
        <v>355</v>
      </c>
      <c r="B6" s="563">
        <f>SUM(B7:B16)</f>
        <v>992371.45</v>
      </c>
      <c r="C6" s="564">
        <f>SUM(C7:C16)</f>
        <v>7272405.9</v>
      </c>
      <c r="D6" s="565"/>
    </row>
    <row r="7" spans="1:4" s="570" customFormat="1" ht="12.75">
      <c r="A7" s="567" t="s">
        <v>322</v>
      </c>
      <c r="B7" s="568">
        <v>0</v>
      </c>
      <c r="C7" s="569">
        <v>921025.6</v>
      </c>
      <c r="D7" s="565"/>
    </row>
    <row r="8" spans="1:4" s="574" customFormat="1" ht="12.75">
      <c r="A8" s="571" t="s">
        <v>323</v>
      </c>
      <c r="B8" s="572">
        <v>0</v>
      </c>
      <c r="C8" s="573">
        <v>28926.1</v>
      </c>
      <c r="D8" s="565"/>
    </row>
    <row r="9" spans="1:4" s="574" customFormat="1" ht="25.5">
      <c r="A9" s="571" t="s">
        <v>324</v>
      </c>
      <c r="B9" s="572">
        <v>0</v>
      </c>
      <c r="C9" s="573">
        <v>4752393.7</v>
      </c>
      <c r="D9" s="565"/>
    </row>
    <row r="10" spans="1:4" s="574" customFormat="1" ht="12.75">
      <c r="A10" s="571" t="s">
        <v>325</v>
      </c>
      <c r="B10" s="572">
        <v>0</v>
      </c>
      <c r="C10" s="573">
        <v>2160</v>
      </c>
      <c r="D10" s="565"/>
    </row>
    <row r="11" spans="1:4" s="574" customFormat="1" ht="12.75">
      <c r="A11" s="575" t="s">
        <v>326</v>
      </c>
      <c r="B11" s="572">
        <v>0</v>
      </c>
      <c r="C11" s="576"/>
      <c r="D11" s="565"/>
    </row>
    <row r="12" spans="1:4" s="574" customFormat="1" ht="12.75">
      <c r="A12" s="571" t="s">
        <v>327</v>
      </c>
      <c r="B12" s="572">
        <v>0</v>
      </c>
      <c r="C12" s="573">
        <v>1540953.2</v>
      </c>
      <c r="D12" s="565"/>
    </row>
    <row r="13" spans="1:4" s="574" customFormat="1" ht="25.5">
      <c r="A13" s="571" t="s">
        <v>328</v>
      </c>
      <c r="B13" s="572">
        <v>0</v>
      </c>
      <c r="C13" s="573">
        <v>5030.2</v>
      </c>
      <c r="D13" s="565"/>
    </row>
    <row r="14" spans="1:4" s="574" customFormat="1" ht="25.5">
      <c r="A14" s="571" t="s">
        <v>329</v>
      </c>
      <c r="B14" s="572">
        <v>0</v>
      </c>
      <c r="C14" s="573">
        <v>21917.1</v>
      </c>
      <c r="D14" s="565"/>
    </row>
    <row r="15" spans="1:4" s="574" customFormat="1" ht="12.75">
      <c r="A15" s="571" t="s">
        <v>330</v>
      </c>
      <c r="B15" s="577">
        <v>427453.46</v>
      </c>
      <c r="C15" s="578" t="s">
        <v>331</v>
      </c>
      <c r="D15" s="565"/>
    </row>
    <row r="16" spans="1:4" s="574" customFormat="1" ht="13.5" thickBot="1">
      <c r="A16" s="579" t="s">
        <v>332</v>
      </c>
      <c r="B16" s="580">
        <v>564917.99</v>
      </c>
      <c r="C16" s="581" t="s">
        <v>331</v>
      </c>
      <c r="D16" s="565"/>
    </row>
    <row r="17" spans="1:4" s="574" customFormat="1" ht="13.5" thickBot="1">
      <c r="A17" s="562" t="s">
        <v>356</v>
      </c>
      <c r="B17" s="582">
        <f>SUM(B18)</f>
        <v>0</v>
      </c>
      <c r="C17" s="564">
        <f>C18</f>
        <v>248.9</v>
      </c>
      <c r="D17" s="565"/>
    </row>
    <row r="18" spans="1:4" s="574" customFormat="1" ht="13.5" thickBot="1">
      <c r="A18" s="583" t="s">
        <v>333</v>
      </c>
      <c r="B18" s="584">
        <v>0</v>
      </c>
      <c r="C18" s="585">
        <v>248.9</v>
      </c>
      <c r="D18" s="565"/>
    </row>
    <row r="19" spans="1:4" s="574" customFormat="1" ht="13.5" thickBot="1">
      <c r="A19" s="562" t="s">
        <v>357</v>
      </c>
      <c r="B19" s="563">
        <v>41447.7</v>
      </c>
      <c r="C19" s="564">
        <v>94827</v>
      </c>
      <c r="D19" s="565"/>
    </row>
    <row r="20" spans="1:4" s="574" customFormat="1" ht="13.5" thickBot="1">
      <c r="A20" s="562" t="s">
        <v>358</v>
      </c>
      <c r="B20" s="582">
        <v>0</v>
      </c>
      <c r="C20" s="586">
        <v>0</v>
      </c>
      <c r="D20" s="565"/>
    </row>
    <row r="21" spans="1:4" s="566" customFormat="1" ht="13.5" thickBot="1">
      <c r="A21" s="562" t="s">
        <v>359</v>
      </c>
      <c r="B21" s="582">
        <f>SUM(B22:B23)</f>
        <v>1428114.6014711752</v>
      </c>
      <c r="C21" s="564">
        <f>SUM(C22:C27)</f>
        <v>160683.8</v>
      </c>
      <c r="D21" s="565"/>
    </row>
    <row r="22" spans="1:4" s="566" customFormat="1" ht="25.5">
      <c r="A22" s="587" t="s">
        <v>334</v>
      </c>
      <c r="B22" s="588">
        <v>939032.7636934938</v>
      </c>
      <c r="C22" s="589">
        <v>0</v>
      </c>
      <c r="D22" s="565"/>
    </row>
    <row r="23" spans="1:4" s="566" customFormat="1" ht="12.75">
      <c r="A23" s="571" t="s">
        <v>335</v>
      </c>
      <c r="B23" s="572">
        <v>489081.8377776814</v>
      </c>
      <c r="C23" s="590">
        <v>0</v>
      </c>
      <c r="D23" s="565"/>
    </row>
    <row r="24" spans="1:4" s="574" customFormat="1" ht="12.75">
      <c r="A24" s="591" t="s">
        <v>336</v>
      </c>
      <c r="B24" s="592">
        <v>0</v>
      </c>
      <c r="C24" s="569">
        <v>2022</v>
      </c>
      <c r="D24" s="565"/>
    </row>
    <row r="25" spans="1:4" s="574" customFormat="1" ht="12.75">
      <c r="A25" s="571" t="s">
        <v>337</v>
      </c>
      <c r="B25" s="572">
        <v>0</v>
      </c>
      <c r="C25" s="573">
        <v>59650.6</v>
      </c>
      <c r="D25" s="565"/>
    </row>
    <row r="26" spans="1:4" s="574" customFormat="1" ht="12.75">
      <c r="A26" s="571" t="s">
        <v>338</v>
      </c>
      <c r="B26" s="572">
        <v>0</v>
      </c>
      <c r="C26" s="576">
        <v>0</v>
      </c>
      <c r="D26" s="565"/>
    </row>
    <row r="27" spans="1:4" s="574" customFormat="1" ht="13.5" thickBot="1">
      <c r="A27" s="579" t="s">
        <v>339</v>
      </c>
      <c r="B27" s="593">
        <v>0</v>
      </c>
      <c r="C27" s="594">
        <v>99011.2</v>
      </c>
      <c r="D27" s="565"/>
    </row>
    <row r="28" spans="1:4" s="574" customFormat="1" ht="13.5" thickBot="1">
      <c r="A28" s="562" t="s">
        <v>360</v>
      </c>
      <c r="B28" s="582">
        <f>SUM(B29:B30)</f>
        <v>0</v>
      </c>
      <c r="C28" s="564">
        <f>SUM(C29:C30)</f>
        <v>523.5</v>
      </c>
      <c r="D28" s="565"/>
    </row>
    <row r="29" spans="1:4" s="574" customFormat="1" ht="12.75">
      <c r="A29" s="587" t="s">
        <v>340</v>
      </c>
      <c r="B29" s="588">
        <v>0</v>
      </c>
      <c r="C29" s="595">
        <v>523.5</v>
      </c>
      <c r="D29" s="565"/>
    </row>
    <row r="30" spans="1:4" s="574" customFormat="1" ht="26.25" thickBot="1">
      <c r="A30" s="596" t="s">
        <v>341</v>
      </c>
      <c r="B30" s="597">
        <v>0</v>
      </c>
      <c r="C30" s="598">
        <v>0</v>
      </c>
      <c r="D30" s="565"/>
    </row>
    <row r="31" spans="1:4" s="566" customFormat="1" ht="13.5" thickBot="1">
      <c r="A31" s="562" t="s">
        <v>361</v>
      </c>
      <c r="B31" s="564">
        <f>SUM(B32,B39)</f>
        <v>0</v>
      </c>
      <c r="C31" s="564">
        <f>SUM(C32,C39)</f>
        <v>220251.7</v>
      </c>
      <c r="D31" s="565"/>
    </row>
    <row r="32" spans="1:4" s="570" customFormat="1" ht="25.5">
      <c r="A32" s="599" t="s">
        <v>342</v>
      </c>
      <c r="B32" s="600">
        <v>0</v>
      </c>
      <c r="C32" s="600">
        <f>SUM(C33:C38)</f>
        <v>55820.7</v>
      </c>
      <c r="D32" s="601"/>
    </row>
    <row r="33" spans="1:4" s="574" customFormat="1" ht="12.75">
      <c r="A33" s="571" t="s">
        <v>343</v>
      </c>
      <c r="B33" s="572">
        <v>0</v>
      </c>
      <c r="C33" s="573">
        <v>0</v>
      </c>
      <c r="D33" s="565"/>
    </row>
    <row r="34" spans="1:15" s="574" customFormat="1" ht="12.75">
      <c r="A34" s="571" t="s">
        <v>344</v>
      </c>
      <c r="B34" s="572">
        <v>0</v>
      </c>
      <c r="C34" s="573">
        <v>8312.9</v>
      </c>
      <c r="D34" s="565"/>
      <c r="O34" s="574" t="s">
        <v>345</v>
      </c>
    </row>
    <row r="35" spans="1:4" s="574" customFormat="1" ht="12.75">
      <c r="A35" s="571" t="s">
        <v>346</v>
      </c>
      <c r="B35" s="572">
        <v>0</v>
      </c>
      <c r="C35" s="573">
        <v>12188.4</v>
      </c>
      <c r="D35" s="565"/>
    </row>
    <row r="36" spans="1:4" s="574" customFormat="1" ht="12.75">
      <c r="A36" s="571" t="s">
        <v>347</v>
      </c>
      <c r="B36" s="572">
        <v>0</v>
      </c>
      <c r="C36" s="573">
        <f>33824.5+1494.9</f>
        <v>35319.4</v>
      </c>
      <c r="D36" s="565"/>
    </row>
    <row r="37" spans="1:4" s="574" customFormat="1" ht="12.75">
      <c r="A37" s="571" t="s">
        <v>348</v>
      </c>
      <c r="B37" s="572">
        <v>0</v>
      </c>
      <c r="C37" s="573">
        <v>0</v>
      </c>
      <c r="D37" s="565"/>
    </row>
    <row r="38" spans="1:4" s="574" customFormat="1" ht="12.75">
      <c r="A38" s="571" t="s">
        <v>349</v>
      </c>
      <c r="B38" s="572">
        <v>0</v>
      </c>
      <c r="C38" s="573">
        <v>0</v>
      </c>
      <c r="D38" s="565"/>
    </row>
    <row r="39" spans="1:4" s="570" customFormat="1" ht="12.75">
      <c r="A39" s="602" t="s">
        <v>350</v>
      </c>
      <c r="B39" s="603">
        <f>SUM(B40:B44)</f>
        <v>0</v>
      </c>
      <c r="C39" s="603">
        <f>SUM(C40:C44)</f>
        <v>164431</v>
      </c>
      <c r="D39" s="601"/>
    </row>
    <row r="40" spans="1:4" s="574" customFormat="1" ht="12.75">
      <c r="A40" s="571" t="s">
        <v>343</v>
      </c>
      <c r="B40" s="572">
        <v>0</v>
      </c>
      <c r="C40" s="573">
        <v>140081.1</v>
      </c>
      <c r="D40" s="565"/>
    </row>
    <row r="41" spans="1:4" s="574" customFormat="1" ht="12.75">
      <c r="A41" s="571" t="s">
        <v>351</v>
      </c>
      <c r="B41" s="572">
        <v>0</v>
      </c>
      <c r="C41" s="573">
        <v>0.8</v>
      </c>
      <c r="D41" s="565"/>
    </row>
    <row r="42" spans="1:4" s="574" customFormat="1" ht="12.75">
      <c r="A42" s="571" t="s">
        <v>352</v>
      </c>
      <c r="B42" s="572">
        <v>0</v>
      </c>
      <c r="C42" s="573">
        <v>0</v>
      </c>
      <c r="D42" s="565"/>
    </row>
    <row r="43" spans="1:4" s="574" customFormat="1" ht="12.75">
      <c r="A43" s="571" t="s">
        <v>353</v>
      </c>
      <c r="B43" s="572">
        <v>0</v>
      </c>
      <c r="C43" s="573">
        <v>24349.1</v>
      </c>
      <c r="D43" s="565"/>
    </row>
    <row r="44" spans="1:4" s="574" customFormat="1" ht="13.5" thickBot="1">
      <c r="A44" s="583" t="s">
        <v>354</v>
      </c>
      <c r="B44" s="572">
        <v>0</v>
      </c>
      <c r="C44" s="585">
        <v>0</v>
      </c>
      <c r="D44" s="565"/>
    </row>
    <row r="45" spans="1:4" s="570" customFormat="1" ht="13.5" thickBot="1">
      <c r="A45" s="604" t="s">
        <v>2</v>
      </c>
      <c r="B45" s="605">
        <f>SUM(B31,B28,B21,B20,B19,B17,B6)</f>
        <v>2461933.751471175</v>
      </c>
      <c r="C45" s="564">
        <f>SUM(C31,C28,C21,C20,C19,C17,C6)</f>
        <v>7748940.800000001</v>
      </c>
      <c r="D45" s="565"/>
    </row>
    <row r="46" spans="1:4" s="609" customFormat="1" ht="11.25">
      <c r="A46" s="606"/>
      <c r="B46" s="607"/>
      <c r="C46" s="607"/>
      <c r="D46" s="608"/>
    </row>
    <row r="47" spans="1:4" s="609" customFormat="1" ht="11.25">
      <c r="A47" s="610"/>
      <c r="B47" s="611"/>
      <c r="C47" s="611"/>
      <c r="D47" s="608"/>
    </row>
    <row r="48" spans="1:4" s="609" customFormat="1" ht="11.25">
      <c r="A48" s="610"/>
      <c r="B48" s="611"/>
      <c r="C48" s="611"/>
      <c r="D48" s="608"/>
    </row>
    <row r="49" spans="1:4" s="609" customFormat="1" ht="11.25">
      <c r="A49" s="612"/>
      <c r="B49" s="611"/>
      <c r="C49" s="611"/>
      <c r="D49" s="608"/>
    </row>
    <row r="50" spans="1:4" s="574" customFormat="1" ht="12.75">
      <c r="A50" s="613"/>
      <c r="B50" s="614"/>
      <c r="C50" s="614"/>
      <c r="D50" s="565"/>
    </row>
    <row r="51" spans="1:4" s="574" customFormat="1" ht="12.75">
      <c r="A51" s="613"/>
      <c r="B51" s="614"/>
      <c r="C51" s="614"/>
      <c r="D51" s="565"/>
    </row>
    <row r="52" spans="1:4" s="574" customFormat="1" ht="12.75">
      <c r="A52" s="613"/>
      <c r="B52" s="614"/>
      <c r="C52" s="614"/>
      <c r="D52" s="565"/>
    </row>
    <row r="53" spans="1:4" s="574" customFormat="1" ht="12.75">
      <c r="A53" s="613"/>
      <c r="B53" s="614"/>
      <c r="C53" s="614"/>
      <c r="D53" s="565"/>
    </row>
    <row r="54" spans="1:4" s="574" customFormat="1" ht="12.75">
      <c r="A54" s="613"/>
      <c r="B54" s="614"/>
      <c r="C54" s="614"/>
      <c r="D54" s="565"/>
    </row>
    <row r="55" spans="1:4" s="574" customFormat="1" ht="12.75">
      <c r="A55" s="613"/>
      <c r="B55" s="614"/>
      <c r="C55" s="614"/>
      <c r="D55" s="565"/>
    </row>
    <row r="56" spans="1:4" s="574" customFormat="1" ht="12.75">
      <c r="A56" s="613"/>
      <c r="B56" s="614"/>
      <c r="C56" s="614"/>
      <c r="D56" s="565"/>
    </row>
    <row r="57" spans="1:4" s="574" customFormat="1" ht="12.75">
      <c r="A57" s="613"/>
      <c r="B57" s="614"/>
      <c r="C57" s="614"/>
      <c r="D57" s="565"/>
    </row>
    <row r="58" spans="1:4" s="574" customFormat="1" ht="12.75">
      <c r="A58" s="613"/>
      <c r="B58" s="614"/>
      <c r="C58" s="614"/>
      <c r="D58" s="565"/>
    </row>
  </sheetData>
  <mergeCells count="2">
    <mergeCell ref="A2:C2"/>
    <mergeCell ref="A3:C3"/>
  </mergeCells>
  <printOptions/>
  <pageMargins left="0.78" right="0.67" top="1.13" bottom="0.14" header="1.06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pane ySplit="7" topLeftCell="BM37" activePane="bottomLeft" state="frozen"/>
      <selection pane="topLeft" activeCell="A1" sqref="A1"/>
      <selection pane="bottomLeft" activeCell="K1" sqref="K1:L1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7.375" style="0" customWidth="1"/>
    <col min="4" max="4" width="7.25390625" style="0" customWidth="1"/>
    <col min="5" max="5" width="8.25390625" style="0" customWidth="1"/>
    <col min="6" max="6" width="8.375" style="0" customWidth="1"/>
    <col min="7" max="7" width="7.875" style="0" customWidth="1"/>
    <col min="8" max="8" width="6.125" style="0" customWidth="1"/>
    <col min="9" max="9" width="6.875" style="0" customWidth="1"/>
    <col min="10" max="10" width="9.875" style="0" customWidth="1"/>
    <col min="11" max="11" width="10.375" style="0" customWidth="1"/>
    <col min="12" max="12" width="8.00390625" style="0" customWidth="1"/>
  </cols>
  <sheetData>
    <row r="1" spans="11:12" ht="12.75">
      <c r="K1" s="722" t="s">
        <v>313</v>
      </c>
      <c r="L1" s="722"/>
    </row>
    <row r="2" spans="1:12" ht="15.75">
      <c r="A2" s="512" t="s">
        <v>296</v>
      </c>
      <c r="B2" s="513"/>
      <c r="C2" s="513"/>
      <c r="D2" s="513"/>
      <c r="E2" s="513"/>
      <c r="F2" s="513"/>
      <c r="G2" s="513"/>
      <c r="H2" s="513"/>
      <c r="I2" s="513"/>
      <c r="J2" s="513"/>
      <c r="K2" s="514"/>
      <c r="L2" s="514"/>
    </row>
    <row r="3" spans="1:12" ht="15.75">
      <c r="A3" s="512" t="s">
        <v>314</v>
      </c>
      <c r="B3" s="513"/>
      <c r="C3" s="513"/>
      <c r="D3" s="513"/>
      <c r="E3" s="513"/>
      <c r="F3" s="513"/>
      <c r="G3" s="513"/>
      <c r="H3" s="513"/>
      <c r="I3" s="513"/>
      <c r="J3" s="513"/>
      <c r="K3" s="514"/>
      <c r="L3" s="514"/>
    </row>
    <row r="4" spans="1:12" ht="12.75">
      <c r="A4" s="515"/>
      <c r="B4" s="516"/>
      <c r="C4" s="517"/>
      <c r="D4" s="518"/>
      <c r="E4" s="518"/>
      <c r="F4" s="518"/>
      <c r="G4" s="518"/>
      <c r="H4" s="518"/>
      <c r="I4" s="518"/>
      <c r="J4" s="518"/>
      <c r="K4" s="518"/>
      <c r="L4" s="518"/>
    </row>
    <row r="5" spans="1:12" ht="12.75">
      <c r="A5" s="617" t="s">
        <v>45</v>
      </c>
      <c r="B5" s="618" t="s">
        <v>297</v>
      </c>
      <c r="C5" s="618" t="s">
        <v>298</v>
      </c>
      <c r="D5" s="619" t="s">
        <v>297</v>
      </c>
      <c r="E5" s="619" t="s">
        <v>3</v>
      </c>
      <c r="F5" s="521" t="s">
        <v>299</v>
      </c>
      <c r="G5" s="522"/>
      <c r="H5" s="522"/>
      <c r="I5" s="522"/>
      <c r="J5" s="719" t="s">
        <v>300</v>
      </c>
      <c r="K5" s="721"/>
      <c r="L5" s="619" t="s">
        <v>301</v>
      </c>
    </row>
    <row r="6" spans="1:12" ht="12.75">
      <c r="A6" s="620" t="s">
        <v>362</v>
      </c>
      <c r="B6" s="621" t="s">
        <v>302</v>
      </c>
      <c r="C6" s="621" t="s">
        <v>303</v>
      </c>
      <c r="D6" s="622" t="s">
        <v>304</v>
      </c>
      <c r="E6" s="622" t="s">
        <v>305</v>
      </c>
      <c r="F6" s="723" t="s">
        <v>3</v>
      </c>
      <c r="G6" s="719" t="s">
        <v>298</v>
      </c>
      <c r="H6" s="720"/>
      <c r="I6" s="721"/>
      <c r="J6" s="723" t="s">
        <v>0</v>
      </c>
      <c r="K6" s="723" t="s">
        <v>1</v>
      </c>
      <c r="L6" s="622" t="s">
        <v>306</v>
      </c>
    </row>
    <row r="7" spans="1:12" ht="12.75">
      <c r="A7" s="623"/>
      <c r="B7" s="623"/>
      <c r="C7" s="624" t="s">
        <v>307</v>
      </c>
      <c r="D7" s="625"/>
      <c r="E7" s="625"/>
      <c r="F7" s="724"/>
      <c r="G7" s="525" t="s">
        <v>308</v>
      </c>
      <c r="H7" s="520" t="s">
        <v>216</v>
      </c>
      <c r="I7" s="526" t="s">
        <v>309</v>
      </c>
      <c r="J7" s="724"/>
      <c r="K7" s="724"/>
      <c r="L7" s="625"/>
    </row>
    <row r="8" spans="1:12" ht="12.75">
      <c r="A8" s="519">
        <v>4</v>
      </c>
      <c r="B8" s="523">
        <v>73</v>
      </c>
      <c r="C8" s="523">
        <v>56</v>
      </c>
      <c r="D8" s="524">
        <v>3</v>
      </c>
      <c r="E8" s="524">
        <v>73</v>
      </c>
      <c r="F8" s="527">
        <f aca="true" t="shared" si="0" ref="F8:F45">G8+H8+I8</f>
        <v>14.34</v>
      </c>
      <c r="G8" s="527">
        <v>6.09</v>
      </c>
      <c r="H8" s="527">
        <v>1.5</v>
      </c>
      <c r="I8" s="527">
        <v>6.75</v>
      </c>
      <c r="J8" s="523">
        <v>391548</v>
      </c>
      <c r="K8" s="523">
        <v>391548</v>
      </c>
      <c r="L8" s="528">
        <f aca="true" t="shared" si="1" ref="L8:L45">K8/B8/12</f>
        <v>446.97</v>
      </c>
    </row>
    <row r="9" spans="1:12" ht="12.75">
      <c r="A9" s="519">
        <v>5</v>
      </c>
      <c r="B9" s="523">
        <v>99</v>
      </c>
      <c r="C9" s="523">
        <v>81</v>
      </c>
      <c r="D9" s="524">
        <v>4</v>
      </c>
      <c r="E9" s="529">
        <v>96</v>
      </c>
      <c r="F9" s="527">
        <f t="shared" si="0"/>
        <v>18.34</v>
      </c>
      <c r="G9" s="527">
        <v>9.09</v>
      </c>
      <c r="H9" s="527">
        <v>1.75</v>
      </c>
      <c r="I9" s="527">
        <v>7.5</v>
      </c>
      <c r="J9" s="523">
        <v>472945</v>
      </c>
      <c r="K9" s="523">
        <v>472945</v>
      </c>
      <c r="L9" s="528">
        <f t="shared" si="1"/>
        <v>398.1</v>
      </c>
    </row>
    <row r="10" spans="1:12" ht="12.75">
      <c r="A10" s="519">
        <v>6</v>
      </c>
      <c r="B10" s="523">
        <v>140</v>
      </c>
      <c r="C10" s="523">
        <v>137</v>
      </c>
      <c r="D10" s="524">
        <v>5</v>
      </c>
      <c r="E10" s="524">
        <v>140</v>
      </c>
      <c r="F10" s="527">
        <f t="shared" si="0"/>
        <v>22.13</v>
      </c>
      <c r="G10" s="527">
        <v>11.13</v>
      </c>
      <c r="H10" s="527">
        <v>1.75</v>
      </c>
      <c r="I10" s="527">
        <v>9.25</v>
      </c>
      <c r="J10" s="523">
        <v>623329</v>
      </c>
      <c r="K10" s="523">
        <v>623329</v>
      </c>
      <c r="L10" s="528">
        <f t="shared" si="1"/>
        <v>371.03</v>
      </c>
    </row>
    <row r="11" spans="1:12" ht="12.75">
      <c r="A11" s="519">
        <v>7</v>
      </c>
      <c r="B11" s="523">
        <v>113</v>
      </c>
      <c r="C11" s="523">
        <v>94</v>
      </c>
      <c r="D11" s="524">
        <v>4</v>
      </c>
      <c r="E11" s="524">
        <v>105</v>
      </c>
      <c r="F11" s="527">
        <f t="shared" si="0"/>
        <v>20.09</v>
      </c>
      <c r="G11" s="527">
        <v>9.59</v>
      </c>
      <c r="H11" s="527">
        <v>2</v>
      </c>
      <c r="I11" s="527">
        <v>8.5</v>
      </c>
      <c r="J11" s="523">
        <v>586329</v>
      </c>
      <c r="K11" s="523">
        <v>586329</v>
      </c>
      <c r="L11" s="528">
        <f t="shared" si="1"/>
        <v>432.4</v>
      </c>
    </row>
    <row r="12" spans="1:12" ht="12.75">
      <c r="A12" s="519">
        <v>8</v>
      </c>
      <c r="B12" s="523">
        <v>80</v>
      </c>
      <c r="C12" s="523">
        <v>58</v>
      </c>
      <c r="D12" s="524">
        <v>3</v>
      </c>
      <c r="E12" s="524">
        <v>74</v>
      </c>
      <c r="F12" s="527">
        <f t="shared" si="0"/>
        <v>13.22</v>
      </c>
      <c r="G12" s="527">
        <v>6.09</v>
      </c>
      <c r="H12" s="527">
        <v>1.625</v>
      </c>
      <c r="I12" s="527">
        <v>5.5</v>
      </c>
      <c r="J12" s="523">
        <v>380489</v>
      </c>
      <c r="K12" s="523">
        <v>380489</v>
      </c>
      <c r="L12" s="528">
        <f t="shared" si="1"/>
        <v>396.34</v>
      </c>
    </row>
    <row r="13" spans="1:12" ht="12.75">
      <c r="A13" s="519">
        <v>9</v>
      </c>
      <c r="B13" s="523">
        <v>97</v>
      </c>
      <c r="C13" s="523">
        <v>76</v>
      </c>
      <c r="D13" s="524">
        <v>4</v>
      </c>
      <c r="E13" s="524">
        <v>86</v>
      </c>
      <c r="F13" s="527">
        <f t="shared" si="0"/>
        <v>18.14</v>
      </c>
      <c r="G13" s="527">
        <v>9.14</v>
      </c>
      <c r="H13" s="527">
        <v>1.5</v>
      </c>
      <c r="I13" s="527">
        <v>7.5</v>
      </c>
      <c r="J13" s="523">
        <v>483725</v>
      </c>
      <c r="K13" s="523">
        <v>483725</v>
      </c>
      <c r="L13" s="528">
        <f t="shared" si="1"/>
        <v>415.57</v>
      </c>
    </row>
    <row r="14" spans="1:12" ht="12.75">
      <c r="A14" s="519" t="s">
        <v>310</v>
      </c>
      <c r="B14" s="523">
        <v>111</v>
      </c>
      <c r="C14" s="523">
        <v>86</v>
      </c>
      <c r="D14" s="524">
        <v>4</v>
      </c>
      <c r="E14" s="524">
        <v>97</v>
      </c>
      <c r="F14" s="527">
        <f t="shared" si="0"/>
        <v>18.06</v>
      </c>
      <c r="G14" s="527">
        <v>9.09</v>
      </c>
      <c r="H14" s="527">
        <v>1.67</v>
      </c>
      <c r="I14" s="527">
        <v>7.3</v>
      </c>
      <c r="J14" s="523">
        <v>494352</v>
      </c>
      <c r="K14" s="523">
        <v>494350</v>
      </c>
      <c r="L14" s="528">
        <f t="shared" si="1"/>
        <v>371.13</v>
      </c>
    </row>
    <row r="15" spans="1:12" ht="12.75">
      <c r="A15" s="519">
        <v>12</v>
      </c>
      <c r="B15" s="523">
        <v>30</v>
      </c>
      <c r="C15" s="523">
        <v>28</v>
      </c>
      <c r="D15" s="524">
        <v>2</v>
      </c>
      <c r="E15" s="524">
        <v>30</v>
      </c>
      <c r="F15" s="527">
        <f t="shared" si="0"/>
        <v>11.75</v>
      </c>
      <c r="G15" s="527">
        <v>5</v>
      </c>
      <c r="H15" s="527">
        <v>1.75</v>
      </c>
      <c r="I15" s="527">
        <v>5</v>
      </c>
      <c r="J15" s="523">
        <v>303345</v>
      </c>
      <c r="K15" s="523">
        <v>303345</v>
      </c>
      <c r="L15" s="528">
        <f t="shared" si="1"/>
        <v>842.63</v>
      </c>
    </row>
    <row r="16" spans="1:12" ht="12.75">
      <c r="A16" s="519">
        <v>13</v>
      </c>
      <c r="B16" s="523">
        <v>106</v>
      </c>
      <c r="C16" s="523">
        <v>86</v>
      </c>
      <c r="D16" s="524">
        <v>4</v>
      </c>
      <c r="E16" s="524">
        <v>105</v>
      </c>
      <c r="F16" s="527">
        <f t="shared" si="0"/>
        <v>19.2</v>
      </c>
      <c r="G16" s="527">
        <v>8.7</v>
      </c>
      <c r="H16" s="527">
        <v>2</v>
      </c>
      <c r="I16" s="527">
        <v>8.5</v>
      </c>
      <c r="J16" s="523">
        <v>522333</v>
      </c>
      <c r="K16" s="523">
        <v>522333</v>
      </c>
      <c r="L16" s="528">
        <f t="shared" si="1"/>
        <v>410.64</v>
      </c>
    </row>
    <row r="17" spans="1:12" ht="12.75">
      <c r="A17" s="519">
        <v>14</v>
      </c>
      <c r="B17" s="523">
        <v>73</v>
      </c>
      <c r="C17" s="523">
        <v>41</v>
      </c>
      <c r="D17" s="524">
        <v>3</v>
      </c>
      <c r="E17" s="524">
        <v>46</v>
      </c>
      <c r="F17" s="527">
        <f t="shared" si="0"/>
        <v>12.88</v>
      </c>
      <c r="G17" s="527">
        <v>5.88</v>
      </c>
      <c r="H17" s="527">
        <v>1.5</v>
      </c>
      <c r="I17" s="527">
        <v>5.5</v>
      </c>
      <c r="J17" s="523">
        <v>368915</v>
      </c>
      <c r="K17" s="523">
        <v>368915</v>
      </c>
      <c r="L17" s="528">
        <f t="shared" si="1"/>
        <v>421.14</v>
      </c>
    </row>
    <row r="18" spans="1:12" ht="12.75">
      <c r="A18" s="519">
        <v>15</v>
      </c>
      <c r="B18" s="523">
        <v>100</v>
      </c>
      <c r="C18" s="523">
        <v>90</v>
      </c>
      <c r="D18" s="524">
        <v>4</v>
      </c>
      <c r="E18" s="524">
        <v>100</v>
      </c>
      <c r="F18" s="527">
        <f t="shared" si="0"/>
        <v>19.44</v>
      </c>
      <c r="G18" s="527">
        <v>10.19</v>
      </c>
      <c r="H18" s="527">
        <v>1.75</v>
      </c>
      <c r="I18" s="527">
        <v>7.5</v>
      </c>
      <c r="J18" s="523">
        <v>503497</v>
      </c>
      <c r="K18" s="523">
        <v>503497</v>
      </c>
      <c r="L18" s="528">
        <f t="shared" si="1"/>
        <v>419.58</v>
      </c>
    </row>
    <row r="19" spans="1:12" ht="12.75">
      <c r="A19" s="519">
        <v>16</v>
      </c>
      <c r="B19" s="523">
        <v>119</v>
      </c>
      <c r="C19" s="523">
        <v>102</v>
      </c>
      <c r="D19" s="524">
        <v>4</v>
      </c>
      <c r="E19" s="524">
        <v>116</v>
      </c>
      <c r="F19" s="527">
        <f t="shared" si="0"/>
        <v>19.59</v>
      </c>
      <c r="G19" s="527">
        <v>9.09</v>
      </c>
      <c r="H19" s="527">
        <v>1.75</v>
      </c>
      <c r="I19" s="527">
        <v>8.75</v>
      </c>
      <c r="J19" s="523">
        <v>548767</v>
      </c>
      <c r="K19" s="523">
        <v>548767</v>
      </c>
      <c r="L19" s="528">
        <f t="shared" si="1"/>
        <v>384.29</v>
      </c>
    </row>
    <row r="20" spans="1:12" ht="12.75">
      <c r="A20" s="519">
        <v>18</v>
      </c>
      <c r="B20" s="523">
        <v>126</v>
      </c>
      <c r="C20" s="523">
        <v>50</v>
      </c>
      <c r="D20" s="524">
        <v>5</v>
      </c>
      <c r="E20" s="524">
        <v>96</v>
      </c>
      <c r="F20" s="527">
        <f t="shared" si="0"/>
        <v>18.9</v>
      </c>
      <c r="G20" s="527">
        <v>9.8</v>
      </c>
      <c r="H20" s="527">
        <v>1.6</v>
      </c>
      <c r="I20" s="527">
        <v>7.5</v>
      </c>
      <c r="J20" s="523">
        <v>602569</v>
      </c>
      <c r="K20" s="523">
        <v>602569</v>
      </c>
      <c r="L20" s="528">
        <f t="shared" si="1"/>
        <v>398.52</v>
      </c>
    </row>
    <row r="21" spans="1:12" ht="12.75">
      <c r="A21" s="519">
        <v>19</v>
      </c>
      <c r="B21" s="523">
        <v>83</v>
      </c>
      <c r="C21" s="523">
        <v>61</v>
      </c>
      <c r="D21" s="524">
        <v>4</v>
      </c>
      <c r="E21" s="524">
        <v>70</v>
      </c>
      <c r="F21" s="527">
        <f t="shared" si="0"/>
        <v>17.14</v>
      </c>
      <c r="G21" s="527">
        <v>8.14</v>
      </c>
      <c r="H21" s="527">
        <v>1.75</v>
      </c>
      <c r="I21" s="527">
        <v>7.25</v>
      </c>
      <c r="J21" s="523">
        <v>474485</v>
      </c>
      <c r="K21" s="523">
        <v>474485</v>
      </c>
      <c r="L21" s="528">
        <f t="shared" si="1"/>
        <v>476.39</v>
      </c>
    </row>
    <row r="22" spans="1:12" ht="12.75">
      <c r="A22" s="519" t="s">
        <v>311</v>
      </c>
      <c r="B22" s="523">
        <v>72</v>
      </c>
      <c r="C22" s="523">
        <v>44</v>
      </c>
      <c r="D22" s="524">
        <v>3</v>
      </c>
      <c r="E22" s="524">
        <v>67</v>
      </c>
      <c r="F22" s="527">
        <f t="shared" si="0"/>
        <v>12.09</v>
      </c>
      <c r="G22" s="527">
        <v>5.84</v>
      </c>
      <c r="H22" s="527">
        <v>1.25</v>
      </c>
      <c r="I22" s="527">
        <v>5</v>
      </c>
      <c r="J22" s="523">
        <v>320665</v>
      </c>
      <c r="K22" s="523">
        <v>320665</v>
      </c>
      <c r="L22" s="528">
        <f t="shared" si="1"/>
        <v>371.14</v>
      </c>
    </row>
    <row r="23" spans="1:12" ht="12.75">
      <c r="A23" s="519">
        <v>22</v>
      </c>
      <c r="B23" s="523">
        <v>116</v>
      </c>
      <c r="C23" s="523">
        <v>76</v>
      </c>
      <c r="D23" s="524">
        <v>5</v>
      </c>
      <c r="E23" s="524">
        <v>115</v>
      </c>
      <c r="F23" s="527">
        <f t="shared" si="0"/>
        <v>20.53</v>
      </c>
      <c r="G23" s="527">
        <v>9.78</v>
      </c>
      <c r="H23" s="527">
        <v>1.75</v>
      </c>
      <c r="I23" s="527">
        <v>9</v>
      </c>
      <c r="J23" s="523">
        <v>555439</v>
      </c>
      <c r="K23" s="523">
        <v>555439</v>
      </c>
      <c r="L23" s="528">
        <f t="shared" si="1"/>
        <v>399.02</v>
      </c>
    </row>
    <row r="24" spans="1:12" ht="12.75">
      <c r="A24" s="519">
        <v>23</v>
      </c>
      <c r="B24" s="523">
        <v>114</v>
      </c>
      <c r="C24" s="523">
        <v>99</v>
      </c>
      <c r="D24" s="524">
        <v>4</v>
      </c>
      <c r="E24" s="524">
        <v>100</v>
      </c>
      <c r="F24" s="527">
        <f t="shared" si="0"/>
        <v>16.17</v>
      </c>
      <c r="G24" s="527">
        <v>7.79</v>
      </c>
      <c r="H24" s="527">
        <v>1.875</v>
      </c>
      <c r="I24" s="527">
        <v>6.5</v>
      </c>
      <c r="J24" s="523">
        <v>502083</v>
      </c>
      <c r="K24" s="523">
        <v>499390</v>
      </c>
      <c r="L24" s="528">
        <f t="shared" si="1"/>
        <v>365.05</v>
      </c>
    </row>
    <row r="25" spans="1:12" ht="12.75">
      <c r="A25" s="519">
        <v>24</v>
      </c>
      <c r="B25" s="523">
        <v>98</v>
      </c>
      <c r="C25" s="523">
        <v>73</v>
      </c>
      <c r="D25" s="524">
        <v>4</v>
      </c>
      <c r="E25" s="524">
        <v>98</v>
      </c>
      <c r="F25" s="527">
        <f t="shared" si="0"/>
        <v>19.14</v>
      </c>
      <c r="G25" s="527">
        <v>9.14</v>
      </c>
      <c r="H25" s="527">
        <v>1.75</v>
      </c>
      <c r="I25" s="527">
        <v>8.25</v>
      </c>
      <c r="J25" s="523">
        <v>558738</v>
      </c>
      <c r="K25" s="523">
        <v>558737</v>
      </c>
      <c r="L25" s="528">
        <f t="shared" si="1"/>
        <v>475.12</v>
      </c>
    </row>
    <row r="26" spans="1:12" ht="12.75">
      <c r="A26" s="519">
        <v>25</v>
      </c>
      <c r="B26" s="523">
        <v>92</v>
      </c>
      <c r="C26" s="523">
        <v>87</v>
      </c>
      <c r="D26" s="524">
        <v>4</v>
      </c>
      <c r="E26" s="524">
        <v>92</v>
      </c>
      <c r="F26" s="527">
        <f t="shared" si="0"/>
        <v>17.62</v>
      </c>
      <c r="G26" s="527">
        <v>8.16</v>
      </c>
      <c r="H26" s="527">
        <v>1.71</v>
      </c>
      <c r="I26" s="527">
        <v>7.75</v>
      </c>
      <c r="J26" s="523">
        <v>453983</v>
      </c>
      <c r="K26" s="523">
        <v>453983</v>
      </c>
      <c r="L26" s="528">
        <f t="shared" si="1"/>
        <v>411.22</v>
      </c>
    </row>
    <row r="27" spans="1:12" ht="12.75">
      <c r="A27" s="519">
        <v>26</v>
      </c>
      <c r="B27" s="523">
        <v>150</v>
      </c>
      <c r="C27" s="523">
        <v>109</v>
      </c>
      <c r="D27" s="524">
        <v>6</v>
      </c>
      <c r="E27" s="524">
        <v>114</v>
      </c>
      <c r="F27" s="527">
        <f t="shared" si="0"/>
        <v>21.98</v>
      </c>
      <c r="G27" s="527">
        <v>11.23</v>
      </c>
      <c r="H27" s="527">
        <v>1.75</v>
      </c>
      <c r="I27" s="527">
        <v>9</v>
      </c>
      <c r="J27" s="523">
        <v>671029</v>
      </c>
      <c r="K27" s="523">
        <v>671029</v>
      </c>
      <c r="L27" s="528">
        <f t="shared" si="1"/>
        <v>372.79</v>
      </c>
    </row>
    <row r="28" spans="1:12" ht="12.75">
      <c r="A28" s="519">
        <v>27</v>
      </c>
      <c r="B28" s="523">
        <v>116</v>
      </c>
      <c r="C28" s="523">
        <v>82</v>
      </c>
      <c r="D28" s="524">
        <v>4</v>
      </c>
      <c r="E28" s="524">
        <v>108</v>
      </c>
      <c r="F28" s="527">
        <f t="shared" si="0"/>
        <v>17.34</v>
      </c>
      <c r="G28" s="527">
        <v>8.09</v>
      </c>
      <c r="H28" s="527">
        <v>1.75</v>
      </c>
      <c r="I28" s="527">
        <v>7.5</v>
      </c>
      <c r="J28" s="523">
        <v>469834</v>
      </c>
      <c r="K28" s="523">
        <v>469834</v>
      </c>
      <c r="L28" s="528">
        <f t="shared" si="1"/>
        <v>337.52</v>
      </c>
    </row>
    <row r="29" spans="1:12" ht="12.75">
      <c r="A29" s="519">
        <v>28</v>
      </c>
      <c r="B29" s="523">
        <v>125</v>
      </c>
      <c r="C29" s="523">
        <v>99</v>
      </c>
      <c r="D29" s="524">
        <v>5</v>
      </c>
      <c r="E29" s="524">
        <v>125</v>
      </c>
      <c r="F29" s="527">
        <f t="shared" si="0"/>
        <v>21.11</v>
      </c>
      <c r="G29" s="527">
        <v>10.11</v>
      </c>
      <c r="H29" s="527">
        <v>2</v>
      </c>
      <c r="I29" s="527">
        <v>9</v>
      </c>
      <c r="J29" s="523">
        <v>628221</v>
      </c>
      <c r="K29" s="523">
        <v>628221</v>
      </c>
      <c r="L29" s="528">
        <f t="shared" si="1"/>
        <v>418.81</v>
      </c>
    </row>
    <row r="30" spans="1:12" ht="12.75">
      <c r="A30" s="519">
        <v>29</v>
      </c>
      <c r="B30" s="523">
        <v>125</v>
      </c>
      <c r="C30" s="523">
        <v>98</v>
      </c>
      <c r="D30" s="524">
        <v>5</v>
      </c>
      <c r="E30" s="524">
        <v>124</v>
      </c>
      <c r="F30" s="527">
        <f t="shared" si="0"/>
        <v>24.39</v>
      </c>
      <c r="G30" s="527">
        <v>13.27</v>
      </c>
      <c r="H30" s="527">
        <v>1.875</v>
      </c>
      <c r="I30" s="527">
        <v>9.24</v>
      </c>
      <c r="J30" s="523">
        <v>571898</v>
      </c>
      <c r="K30" s="523">
        <v>571898</v>
      </c>
      <c r="L30" s="528">
        <f t="shared" si="1"/>
        <v>381.27</v>
      </c>
    </row>
    <row r="31" spans="1:12" ht="12.75">
      <c r="A31" s="519">
        <v>30</v>
      </c>
      <c r="B31" s="523">
        <v>96</v>
      </c>
      <c r="C31" s="523">
        <v>43</v>
      </c>
      <c r="D31" s="524">
        <v>4</v>
      </c>
      <c r="E31" s="524">
        <v>77</v>
      </c>
      <c r="F31" s="527">
        <f t="shared" si="0"/>
        <v>17.16</v>
      </c>
      <c r="G31" s="527">
        <v>7.97</v>
      </c>
      <c r="H31" s="527">
        <v>1.69</v>
      </c>
      <c r="I31" s="527">
        <v>7.5</v>
      </c>
      <c r="J31" s="523">
        <v>458806</v>
      </c>
      <c r="K31" s="523">
        <v>458806</v>
      </c>
      <c r="L31" s="528">
        <f t="shared" si="1"/>
        <v>398.27</v>
      </c>
    </row>
    <row r="32" spans="1:12" ht="12.75">
      <c r="A32" s="519" t="s">
        <v>312</v>
      </c>
      <c r="B32" s="523">
        <v>91</v>
      </c>
      <c r="C32" s="523">
        <v>74</v>
      </c>
      <c r="D32" s="524">
        <v>4</v>
      </c>
      <c r="E32" s="524">
        <v>85</v>
      </c>
      <c r="F32" s="527">
        <f t="shared" si="0"/>
        <v>19.09</v>
      </c>
      <c r="G32" s="527">
        <v>9.09</v>
      </c>
      <c r="H32" s="527">
        <v>1.75</v>
      </c>
      <c r="I32" s="527">
        <v>8.25</v>
      </c>
      <c r="J32" s="523">
        <v>516510</v>
      </c>
      <c r="K32" s="523">
        <v>516510</v>
      </c>
      <c r="L32" s="528">
        <f t="shared" si="1"/>
        <v>472.99</v>
      </c>
    </row>
    <row r="33" spans="1:12" ht="12.75">
      <c r="A33" s="519">
        <v>32</v>
      </c>
      <c r="B33" s="523">
        <v>134</v>
      </c>
      <c r="C33" s="523">
        <v>102</v>
      </c>
      <c r="D33" s="524">
        <v>5</v>
      </c>
      <c r="E33" s="524">
        <v>134</v>
      </c>
      <c r="F33" s="527">
        <f t="shared" si="0"/>
        <v>23.87</v>
      </c>
      <c r="G33" s="527">
        <v>12.14</v>
      </c>
      <c r="H33" s="527">
        <v>1.75</v>
      </c>
      <c r="I33" s="527">
        <v>9.975</v>
      </c>
      <c r="J33" s="523">
        <v>622973</v>
      </c>
      <c r="K33" s="523">
        <v>622903</v>
      </c>
      <c r="L33" s="528">
        <f t="shared" si="1"/>
        <v>387.38</v>
      </c>
    </row>
    <row r="34" spans="1:12" ht="12.75">
      <c r="A34" s="519">
        <v>35</v>
      </c>
      <c r="B34" s="523">
        <v>108</v>
      </c>
      <c r="C34" s="523">
        <v>66</v>
      </c>
      <c r="D34" s="524">
        <v>4</v>
      </c>
      <c r="E34" s="524">
        <v>81</v>
      </c>
      <c r="F34" s="527">
        <f t="shared" si="0"/>
        <v>16.09</v>
      </c>
      <c r="G34" s="527">
        <v>7.59</v>
      </c>
      <c r="H34" s="527">
        <v>1.75</v>
      </c>
      <c r="I34" s="527">
        <v>6.75</v>
      </c>
      <c r="J34" s="523">
        <v>482642</v>
      </c>
      <c r="K34" s="523">
        <v>482642</v>
      </c>
      <c r="L34" s="528">
        <f t="shared" si="1"/>
        <v>372.41</v>
      </c>
    </row>
    <row r="35" spans="1:12" ht="12.75">
      <c r="A35" s="519">
        <v>36</v>
      </c>
      <c r="B35" s="523">
        <v>71</v>
      </c>
      <c r="C35" s="523">
        <v>51</v>
      </c>
      <c r="D35" s="524">
        <v>3</v>
      </c>
      <c r="E35" s="524">
        <v>66</v>
      </c>
      <c r="F35" s="527">
        <f t="shared" si="0"/>
        <v>15.39</v>
      </c>
      <c r="G35" s="527">
        <v>7.89</v>
      </c>
      <c r="H35" s="527">
        <v>1.25</v>
      </c>
      <c r="I35" s="527">
        <v>6.25</v>
      </c>
      <c r="J35" s="523">
        <v>372102</v>
      </c>
      <c r="K35" s="523">
        <v>372093</v>
      </c>
      <c r="L35" s="528">
        <f t="shared" si="1"/>
        <v>436.73</v>
      </c>
    </row>
    <row r="36" spans="1:12" ht="12.75">
      <c r="A36" s="519">
        <v>42</v>
      </c>
      <c r="B36" s="523">
        <v>99</v>
      </c>
      <c r="C36" s="523">
        <v>38</v>
      </c>
      <c r="D36" s="524">
        <v>4</v>
      </c>
      <c r="E36" s="524">
        <v>75</v>
      </c>
      <c r="F36" s="527">
        <f t="shared" si="0"/>
        <v>16.55</v>
      </c>
      <c r="G36" s="527">
        <v>8.02</v>
      </c>
      <c r="H36" s="527">
        <v>1.89</v>
      </c>
      <c r="I36" s="527">
        <v>6.64</v>
      </c>
      <c r="J36" s="523">
        <v>455379</v>
      </c>
      <c r="K36" s="523">
        <v>455379</v>
      </c>
      <c r="L36" s="528">
        <f t="shared" si="1"/>
        <v>383.32</v>
      </c>
    </row>
    <row r="37" spans="1:12" ht="12.75">
      <c r="A37" s="519">
        <v>43</v>
      </c>
      <c r="B37" s="523">
        <v>96</v>
      </c>
      <c r="C37" s="523">
        <v>35</v>
      </c>
      <c r="D37" s="524">
        <v>4</v>
      </c>
      <c r="E37" s="524">
        <v>63</v>
      </c>
      <c r="F37" s="527">
        <f t="shared" si="0"/>
        <v>16.39</v>
      </c>
      <c r="G37" s="527">
        <v>7.8</v>
      </c>
      <c r="H37" s="527">
        <v>1.78</v>
      </c>
      <c r="I37" s="527">
        <v>6.81</v>
      </c>
      <c r="J37" s="523">
        <v>463089</v>
      </c>
      <c r="K37" s="523">
        <v>463089</v>
      </c>
      <c r="L37" s="528">
        <f t="shared" si="1"/>
        <v>401.99</v>
      </c>
    </row>
    <row r="38" spans="1:12" ht="12.75">
      <c r="A38" s="519">
        <v>44</v>
      </c>
      <c r="B38" s="523">
        <v>190</v>
      </c>
      <c r="C38" s="523">
        <v>163</v>
      </c>
      <c r="D38" s="524">
        <v>7</v>
      </c>
      <c r="E38" s="524">
        <v>190</v>
      </c>
      <c r="F38" s="527">
        <f t="shared" si="0"/>
        <v>31.5</v>
      </c>
      <c r="G38" s="527">
        <v>16.25</v>
      </c>
      <c r="H38" s="527">
        <v>2.5</v>
      </c>
      <c r="I38" s="527">
        <v>12.75</v>
      </c>
      <c r="J38" s="523">
        <v>847567</v>
      </c>
      <c r="K38" s="523">
        <v>847567</v>
      </c>
      <c r="L38" s="528">
        <f t="shared" si="1"/>
        <v>371.74</v>
      </c>
    </row>
    <row r="39" spans="1:12" ht="12.75">
      <c r="A39" s="519">
        <v>46</v>
      </c>
      <c r="B39" s="523">
        <v>155</v>
      </c>
      <c r="C39" s="523">
        <v>91</v>
      </c>
      <c r="D39" s="524">
        <v>6</v>
      </c>
      <c r="E39" s="524">
        <v>126</v>
      </c>
      <c r="F39" s="527">
        <f t="shared" si="0"/>
        <v>22.68</v>
      </c>
      <c r="G39" s="527">
        <v>11.18</v>
      </c>
      <c r="H39" s="527">
        <v>1.75</v>
      </c>
      <c r="I39" s="527">
        <v>9.75</v>
      </c>
      <c r="J39" s="523">
        <v>685086</v>
      </c>
      <c r="K39" s="523">
        <v>685086</v>
      </c>
      <c r="L39" s="528">
        <f t="shared" si="1"/>
        <v>368.33</v>
      </c>
    </row>
    <row r="40" spans="1:12" ht="12.75">
      <c r="A40" s="519">
        <v>47</v>
      </c>
      <c r="B40" s="523">
        <v>98</v>
      </c>
      <c r="C40" s="523">
        <v>67</v>
      </c>
      <c r="D40" s="524">
        <v>4</v>
      </c>
      <c r="E40" s="524">
        <v>76</v>
      </c>
      <c r="F40" s="527">
        <f t="shared" si="0"/>
        <v>16.98</v>
      </c>
      <c r="G40" s="527">
        <v>8.81</v>
      </c>
      <c r="H40" s="527">
        <v>1.5</v>
      </c>
      <c r="I40" s="527">
        <v>6.67</v>
      </c>
      <c r="J40" s="523">
        <v>460017</v>
      </c>
      <c r="K40" s="523">
        <v>460017</v>
      </c>
      <c r="L40" s="528">
        <f t="shared" si="1"/>
        <v>391.17</v>
      </c>
    </row>
    <row r="41" spans="1:12" ht="12.75">
      <c r="A41" s="519">
        <v>48</v>
      </c>
      <c r="B41" s="523">
        <v>178</v>
      </c>
      <c r="C41" s="523">
        <v>102</v>
      </c>
      <c r="D41" s="524">
        <v>7</v>
      </c>
      <c r="E41" s="524">
        <v>125</v>
      </c>
      <c r="F41" s="527">
        <f t="shared" si="0"/>
        <v>27.97</v>
      </c>
      <c r="G41" s="527">
        <v>15.64</v>
      </c>
      <c r="H41" s="527">
        <v>1.58</v>
      </c>
      <c r="I41" s="527">
        <v>10.75</v>
      </c>
      <c r="J41" s="523">
        <v>795537</v>
      </c>
      <c r="K41" s="523">
        <v>795537</v>
      </c>
      <c r="L41" s="528">
        <f t="shared" si="1"/>
        <v>372.44</v>
      </c>
    </row>
    <row r="42" spans="1:12" ht="12.75">
      <c r="A42" s="519">
        <v>49</v>
      </c>
      <c r="B42" s="523">
        <v>110</v>
      </c>
      <c r="C42" s="523">
        <v>97</v>
      </c>
      <c r="D42" s="524">
        <v>4</v>
      </c>
      <c r="E42" s="524">
        <v>109</v>
      </c>
      <c r="F42" s="527">
        <f t="shared" si="0"/>
        <v>20.25</v>
      </c>
      <c r="G42" s="527">
        <v>9</v>
      </c>
      <c r="H42" s="527">
        <v>1.75</v>
      </c>
      <c r="I42" s="527">
        <v>9.5</v>
      </c>
      <c r="J42" s="523">
        <v>526434</v>
      </c>
      <c r="K42" s="523">
        <v>526434</v>
      </c>
      <c r="L42" s="528">
        <f t="shared" si="1"/>
        <v>398.81</v>
      </c>
    </row>
    <row r="43" spans="1:12" ht="12.75">
      <c r="A43" s="519">
        <v>50</v>
      </c>
      <c r="B43" s="523">
        <v>150</v>
      </c>
      <c r="C43" s="523">
        <v>142</v>
      </c>
      <c r="D43" s="524">
        <v>5</v>
      </c>
      <c r="E43" s="524">
        <v>150</v>
      </c>
      <c r="F43" s="527">
        <f t="shared" si="0"/>
        <v>24.09</v>
      </c>
      <c r="G43" s="527">
        <v>11.09</v>
      </c>
      <c r="H43" s="527">
        <v>2</v>
      </c>
      <c r="I43" s="527">
        <v>11</v>
      </c>
      <c r="J43" s="523">
        <v>640370</v>
      </c>
      <c r="K43" s="523">
        <v>640370</v>
      </c>
      <c r="L43" s="528">
        <f t="shared" si="1"/>
        <v>355.76</v>
      </c>
    </row>
    <row r="44" spans="1:12" ht="12.75">
      <c r="A44" s="519">
        <v>51</v>
      </c>
      <c r="B44" s="523">
        <v>101</v>
      </c>
      <c r="C44" s="523">
        <v>89</v>
      </c>
      <c r="D44" s="524">
        <v>4</v>
      </c>
      <c r="E44" s="524">
        <v>101</v>
      </c>
      <c r="F44" s="527">
        <f t="shared" si="0"/>
        <v>19.53</v>
      </c>
      <c r="G44" s="527">
        <v>9.78</v>
      </c>
      <c r="H44" s="527">
        <v>1.75</v>
      </c>
      <c r="I44" s="527">
        <v>8</v>
      </c>
      <c r="J44" s="523">
        <v>498948</v>
      </c>
      <c r="K44" s="523">
        <v>498948</v>
      </c>
      <c r="L44" s="528">
        <f t="shared" si="1"/>
        <v>411.67</v>
      </c>
    </row>
    <row r="45" spans="1:12" ht="12.75">
      <c r="A45" s="519" t="s">
        <v>363</v>
      </c>
      <c r="B45" s="530">
        <f>SUM(B8:B44)</f>
        <v>4035</v>
      </c>
      <c r="C45" s="530">
        <f>SUM(C8:C44)</f>
        <v>2973</v>
      </c>
      <c r="D45" s="530">
        <f>SUM(D8:D44)</f>
        <v>158</v>
      </c>
      <c r="E45" s="530">
        <f>SUM(E8:E44)</f>
        <v>3635</v>
      </c>
      <c r="F45" s="531">
        <f t="shared" si="0"/>
        <v>701.12</v>
      </c>
      <c r="G45" s="531">
        <f>SUM(G8:G44)</f>
        <v>342.68</v>
      </c>
      <c r="H45" s="531">
        <f>SUM(H8:H44)</f>
        <v>64.3</v>
      </c>
      <c r="I45" s="531">
        <f>SUM(I8:I44)</f>
        <v>294.14</v>
      </c>
      <c r="J45" s="530">
        <f>SUM(J8:J44)</f>
        <v>19313978</v>
      </c>
      <c r="K45" s="530">
        <f>SUM(K8:K44)</f>
        <v>19311203</v>
      </c>
      <c r="L45" s="532">
        <f t="shared" si="1"/>
        <v>398.83</v>
      </c>
    </row>
  </sheetData>
  <mergeCells count="6">
    <mergeCell ref="G6:I6"/>
    <mergeCell ref="K1:L1"/>
    <mergeCell ref="J5:K5"/>
    <mergeCell ref="F6:F7"/>
    <mergeCell ref="J6:J7"/>
    <mergeCell ref="K6:K7"/>
  </mergeCells>
  <printOptions/>
  <pageMargins left="0.66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E8" sqref="E8"/>
    </sheetView>
  </sheetViews>
  <sheetFormatPr defaultColWidth="9.00390625" defaultRowHeight="12.75"/>
  <cols>
    <col min="1" max="1" width="2.625" style="725" customWidth="1"/>
    <col min="2" max="2" width="8.375" style="725" customWidth="1"/>
    <col min="3" max="3" width="9.25390625" style="725" customWidth="1"/>
    <col min="4" max="4" width="9.75390625" style="725" customWidth="1"/>
    <col min="5" max="5" width="9.25390625" style="725" customWidth="1"/>
    <col min="6" max="6" width="8.375" style="725" customWidth="1"/>
    <col min="7" max="7" width="12.125" style="725" hidden="1" customWidth="1"/>
    <col min="8" max="8" width="8.625" style="725" customWidth="1"/>
    <col min="9" max="9" width="9.625" style="725" customWidth="1"/>
    <col min="10" max="10" width="9.375" style="725" customWidth="1"/>
    <col min="11" max="11" width="9.25390625" style="725" customWidth="1"/>
    <col min="12" max="12" width="9.375" style="725" customWidth="1"/>
    <col min="13" max="13" width="3.375" style="725" customWidth="1"/>
    <col min="14" max="16384" width="9.125" style="725" customWidth="1"/>
  </cols>
  <sheetData>
    <row r="1" ht="12.75">
      <c r="L1" s="348" t="s">
        <v>364</v>
      </c>
    </row>
    <row r="2" spans="1:12" ht="29.25" customHeight="1">
      <c r="A2" s="726" t="s">
        <v>365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12" ht="14.25" customHeight="1" thickBot="1">
      <c r="A3" s="727" t="s">
        <v>345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8" t="s">
        <v>318</v>
      </c>
    </row>
    <row r="4" spans="1:14" s="736" customFormat="1" ht="15.75" customHeight="1">
      <c r="A4" s="729"/>
      <c r="B4" s="730" t="s">
        <v>366</v>
      </c>
      <c r="C4" s="730" t="s">
        <v>367</v>
      </c>
      <c r="D4" s="731" t="s">
        <v>368</v>
      </c>
      <c r="E4" s="732"/>
      <c r="F4" s="732"/>
      <c r="G4" s="732"/>
      <c r="H4" s="733"/>
      <c r="I4" s="731" t="s">
        <v>369</v>
      </c>
      <c r="J4" s="733"/>
      <c r="K4" s="730" t="s">
        <v>370</v>
      </c>
      <c r="L4" s="734" t="s">
        <v>371</v>
      </c>
      <c r="M4" s="735"/>
      <c r="N4" s="735"/>
    </row>
    <row r="5" spans="1:14" s="736" customFormat="1" ht="18.75" customHeight="1">
      <c r="A5" s="737" t="s">
        <v>372</v>
      </c>
      <c r="B5" s="738"/>
      <c r="C5" s="738"/>
      <c r="D5" s="739" t="s">
        <v>373</v>
      </c>
      <c r="E5" s="739" t="s">
        <v>1</v>
      </c>
      <c r="F5" s="735" t="s">
        <v>374</v>
      </c>
      <c r="G5" s="735"/>
      <c r="H5" s="740"/>
      <c r="I5" s="739" t="s">
        <v>0</v>
      </c>
      <c r="J5" s="739" t="s">
        <v>1</v>
      </c>
      <c r="K5" s="738"/>
      <c r="L5" s="741"/>
      <c r="M5" s="735"/>
      <c r="N5" s="735"/>
    </row>
    <row r="6" spans="1:14" s="736" customFormat="1" ht="23.25" customHeight="1" thickBot="1">
      <c r="A6" s="742"/>
      <c r="B6" s="743"/>
      <c r="C6" s="743"/>
      <c r="D6" s="744"/>
      <c r="E6" s="744"/>
      <c r="F6" s="745" t="s">
        <v>0</v>
      </c>
      <c r="G6" s="745" t="s">
        <v>375</v>
      </c>
      <c r="H6" s="745" t="s">
        <v>1</v>
      </c>
      <c r="I6" s="744"/>
      <c r="J6" s="744"/>
      <c r="K6" s="743"/>
      <c r="L6" s="746"/>
      <c r="M6" s="735"/>
      <c r="N6" s="735"/>
    </row>
    <row r="7" spans="1:12" s="751" customFormat="1" ht="12.75" customHeight="1">
      <c r="A7" s="747">
        <v>1</v>
      </c>
      <c r="B7" s="748" t="s">
        <v>376</v>
      </c>
      <c r="C7" s="749">
        <v>-19649</v>
      </c>
      <c r="D7" s="749">
        <v>573727</v>
      </c>
      <c r="E7" s="749">
        <v>538346</v>
      </c>
      <c r="F7" s="749">
        <v>391548</v>
      </c>
      <c r="G7" s="749"/>
      <c r="H7" s="749">
        <v>391548</v>
      </c>
      <c r="I7" s="749">
        <v>558570</v>
      </c>
      <c r="J7" s="749">
        <v>520350.12</v>
      </c>
      <c r="K7" s="749">
        <v>-1653</v>
      </c>
      <c r="L7" s="750">
        <v>-4492</v>
      </c>
    </row>
    <row r="8" spans="1:12" s="751" customFormat="1" ht="12.75" customHeight="1">
      <c r="A8" s="747">
        <v>2</v>
      </c>
      <c r="B8" s="748" t="s">
        <v>377</v>
      </c>
      <c r="C8" s="749">
        <v>24479</v>
      </c>
      <c r="D8" s="749">
        <v>712876</v>
      </c>
      <c r="E8" s="749">
        <v>699939</v>
      </c>
      <c r="F8" s="749">
        <v>472945</v>
      </c>
      <c r="G8" s="749"/>
      <c r="H8" s="749">
        <v>472945</v>
      </c>
      <c r="I8" s="749">
        <v>686314</v>
      </c>
      <c r="J8" s="749">
        <v>648078</v>
      </c>
      <c r="K8" s="749">
        <v>76340</v>
      </c>
      <c r="L8" s="750">
        <v>51041</v>
      </c>
    </row>
    <row r="9" spans="1:12" s="751" customFormat="1" ht="12.75" customHeight="1">
      <c r="A9" s="747">
        <v>3</v>
      </c>
      <c r="B9" s="748" t="s">
        <v>378</v>
      </c>
      <c r="C9" s="749">
        <v>20711</v>
      </c>
      <c r="D9" s="749">
        <v>943743</v>
      </c>
      <c r="E9" s="749">
        <v>950324</v>
      </c>
      <c r="F9" s="749">
        <v>623329</v>
      </c>
      <c r="G9" s="749"/>
      <c r="H9" s="749">
        <v>623329</v>
      </c>
      <c r="I9" s="749">
        <v>939084</v>
      </c>
      <c r="J9" s="749">
        <v>948360</v>
      </c>
      <c r="K9" s="749">
        <v>22674</v>
      </c>
      <c r="L9" s="750">
        <v>25370</v>
      </c>
    </row>
    <row r="10" spans="1:14" s="751" customFormat="1" ht="12.75" customHeight="1">
      <c r="A10" s="747">
        <v>4</v>
      </c>
      <c r="B10" s="748" t="s">
        <v>379</v>
      </c>
      <c r="C10" s="749">
        <v>19575</v>
      </c>
      <c r="D10" s="749">
        <v>801121</v>
      </c>
      <c r="E10" s="752">
        <v>814363</v>
      </c>
      <c r="F10" s="749">
        <v>586329</v>
      </c>
      <c r="G10" s="749"/>
      <c r="H10" s="749">
        <v>586329</v>
      </c>
      <c r="I10" s="749">
        <v>801237</v>
      </c>
      <c r="J10" s="752">
        <v>801063</v>
      </c>
      <c r="K10" s="752">
        <v>32874</v>
      </c>
      <c r="L10" s="750">
        <v>19459</v>
      </c>
      <c r="N10" s="753"/>
    </row>
    <row r="11" spans="1:12" s="751" customFormat="1" ht="12.75" customHeight="1">
      <c r="A11" s="747">
        <v>5</v>
      </c>
      <c r="B11" s="748" t="s">
        <v>380</v>
      </c>
      <c r="C11" s="749">
        <v>16397</v>
      </c>
      <c r="D11" s="749">
        <v>527415</v>
      </c>
      <c r="E11" s="749">
        <v>546749</v>
      </c>
      <c r="F11" s="749">
        <v>380489</v>
      </c>
      <c r="G11" s="749"/>
      <c r="H11" s="749">
        <v>380489</v>
      </c>
      <c r="I11" s="749">
        <v>528981</v>
      </c>
      <c r="J11" s="749">
        <v>552994</v>
      </c>
      <c r="K11" s="749">
        <v>10152</v>
      </c>
      <c r="L11" s="750">
        <v>14831</v>
      </c>
    </row>
    <row r="12" spans="1:12" s="751" customFormat="1" ht="12.75" customHeight="1">
      <c r="A12" s="747">
        <v>6</v>
      </c>
      <c r="B12" s="748" t="s">
        <v>381</v>
      </c>
      <c r="C12" s="749">
        <v>-29535</v>
      </c>
      <c r="D12" s="749">
        <v>665248</v>
      </c>
      <c r="E12" s="749">
        <v>658413</v>
      </c>
      <c r="F12" s="749">
        <v>483725</v>
      </c>
      <c r="G12" s="749"/>
      <c r="H12" s="749">
        <v>483725</v>
      </c>
      <c r="I12" s="749">
        <v>660626</v>
      </c>
      <c r="J12" s="749">
        <v>650336</v>
      </c>
      <c r="K12" s="749">
        <v>-21457</v>
      </c>
      <c r="L12" s="750">
        <v>-24913</v>
      </c>
    </row>
    <row r="13" spans="1:12" s="751" customFormat="1" ht="12.75" customHeight="1">
      <c r="A13" s="747">
        <v>7</v>
      </c>
      <c r="B13" s="748" t="s">
        <v>382</v>
      </c>
      <c r="C13" s="749">
        <v>-23016</v>
      </c>
      <c r="D13" s="749">
        <v>740981</v>
      </c>
      <c r="E13" s="749">
        <v>713253</v>
      </c>
      <c r="F13" s="749">
        <v>494352</v>
      </c>
      <c r="G13" s="749"/>
      <c r="H13" s="749">
        <v>494350</v>
      </c>
      <c r="I13" s="749">
        <v>738981</v>
      </c>
      <c r="J13" s="749">
        <v>699126</v>
      </c>
      <c r="K13" s="749">
        <v>-8889</v>
      </c>
      <c r="L13" s="750">
        <v>-21016</v>
      </c>
    </row>
    <row r="14" spans="1:14" s="751" customFormat="1" ht="12.75" customHeight="1">
      <c r="A14" s="747">
        <v>8</v>
      </c>
      <c r="B14" s="748" t="s">
        <v>383</v>
      </c>
      <c r="C14" s="749">
        <v>15844</v>
      </c>
      <c r="D14" s="749">
        <v>435625</v>
      </c>
      <c r="E14" s="749">
        <v>359017</v>
      </c>
      <c r="F14" s="749">
        <v>303345</v>
      </c>
      <c r="G14" s="749"/>
      <c r="H14" s="749">
        <v>303345</v>
      </c>
      <c r="I14" s="749">
        <v>506006</v>
      </c>
      <c r="J14" s="749">
        <v>364092</v>
      </c>
      <c r="K14" s="749">
        <v>0</v>
      </c>
      <c r="L14" s="750">
        <v>-54537</v>
      </c>
      <c r="M14" s="754"/>
      <c r="N14" s="753"/>
    </row>
    <row r="15" spans="1:12" s="751" customFormat="1" ht="12.75" customHeight="1">
      <c r="A15" s="747">
        <v>9</v>
      </c>
      <c r="B15" s="748" t="s">
        <v>384</v>
      </c>
      <c r="C15" s="749">
        <v>15971</v>
      </c>
      <c r="D15" s="749">
        <v>766890</v>
      </c>
      <c r="E15" s="749">
        <v>750215</v>
      </c>
      <c r="F15" s="749">
        <v>522333</v>
      </c>
      <c r="G15" s="749"/>
      <c r="H15" s="749">
        <v>522333</v>
      </c>
      <c r="I15" s="749">
        <v>767789</v>
      </c>
      <c r="J15" s="749">
        <v>744683</v>
      </c>
      <c r="K15" s="749">
        <v>21502</v>
      </c>
      <c r="L15" s="750">
        <v>15072</v>
      </c>
    </row>
    <row r="16" spans="1:12" s="751" customFormat="1" ht="12.75" customHeight="1">
      <c r="A16" s="747">
        <v>10</v>
      </c>
      <c r="B16" s="748" t="s">
        <v>385</v>
      </c>
      <c r="C16" s="749">
        <v>8017</v>
      </c>
      <c r="D16" s="749">
        <v>499334</v>
      </c>
      <c r="E16" s="749">
        <v>471421</v>
      </c>
      <c r="F16" s="749">
        <v>364693</v>
      </c>
      <c r="G16" s="749"/>
      <c r="H16" s="749">
        <v>364693</v>
      </c>
      <c r="I16" s="749">
        <v>495806</v>
      </c>
      <c r="J16" s="749">
        <v>477012</v>
      </c>
      <c r="K16" s="749">
        <v>2427</v>
      </c>
      <c r="L16" s="750">
        <v>11545</v>
      </c>
    </row>
    <row r="17" spans="1:12" s="751" customFormat="1" ht="12.75" customHeight="1">
      <c r="A17" s="747">
        <v>11</v>
      </c>
      <c r="B17" s="748" t="s">
        <v>386</v>
      </c>
      <c r="C17" s="749">
        <v>-16601</v>
      </c>
      <c r="D17" s="749">
        <v>714941</v>
      </c>
      <c r="E17" s="749">
        <v>688157</v>
      </c>
      <c r="F17" s="749">
        <v>503497</v>
      </c>
      <c r="G17" s="749"/>
      <c r="H17" s="749">
        <v>503497</v>
      </c>
      <c r="I17" s="749">
        <v>728956</v>
      </c>
      <c r="J17" s="749">
        <v>709676</v>
      </c>
      <c r="K17" s="749">
        <v>-38120</v>
      </c>
      <c r="L17" s="750">
        <v>-30616</v>
      </c>
    </row>
    <row r="18" spans="1:12" s="751" customFormat="1" ht="12.75" customHeight="1">
      <c r="A18" s="747">
        <v>12</v>
      </c>
      <c r="B18" s="748" t="s">
        <v>387</v>
      </c>
      <c r="C18" s="749">
        <v>9452</v>
      </c>
      <c r="D18" s="749">
        <v>822386</v>
      </c>
      <c r="E18" s="749">
        <v>804813</v>
      </c>
      <c r="F18" s="749">
        <v>548767</v>
      </c>
      <c r="G18" s="749"/>
      <c r="H18" s="749">
        <v>548767</v>
      </c>
      <c r="I18" s="749">
        <v>828814</v>
      </c>
      <c r="J18" s="749">
        <v>799483</v>
      </c>
      <c r="K18" s="749">
        <v>14783</v>
      </c>
      <c r="L18" s="750">
        <v>3024</v>
      </c>
    </row>
    <row r="19" spans="1:12" s="751" customFormat="1" ht="12.75" customHeight="1">
      <c r="A19" s="747">
        <v>13</v>
      </c>
      <c r="B19" s="748" t="s">
        <v>388</v>
      </c>
      <c r="C19" s="749">
        <v>-30859</v>
      </c>
      <c r="D19" s="749">
        <v>792332</v>
      </c>
      <c r="E19" s="749">
        <v>771179</v>
      </c>
      <c r="F19" s="749">
        <v>602569</v>
      </c>
      <c r="G19" s="749"/>
      <c r="H19" s="749">
        <v>602569</v>
      </c>
      <c r="I19" s="749">
        <v>766724</v>
      </c>
      <c r="J19" s="749">
        <v>764921</v>
      </c>
      <c r="K19" s="749">
        <v>-24602</v>
      </c>
      <c r="L19" s="750">
        <v>-5251</v>
      </c>
    </row>
    <row r="20" spans="1:12" s="751" customFormat="1" ht="12.75" customHeight="1">
      <c r="A20" s="747">
        <v>14</v>
      </c>
      <c r="B20" s="748" t="s">
        <v>389</v>
      </c>
      <c r="C20" s="749">
        <v>-13537</v>
      </c>
      <c r="D20" s="749">
        <v>690731</v>
      </c>
      <c r="E20" s="749">
        <v>627576</v>
      </c>
      <c r="F20" s="749">
        <v>474485</v>
      </c>
      <c r="G20" s="749"/>
      <c r="H20" s="749">
        <v>474485</v>
      </c>
      <c r="I20" s="749">
        <v>667790</v>
      </c>
      <c r="J20" s="749">
        <v>618879</v>
      </c>
      <c r="K20" s="749">
        <v>-4840</v>
      </c>
      <c r="L20" s="750">
        <v>9404</v>
      </c>
    </row>
    <row r="21" spans="1:12" s="751" customFormat="1" ht="12.75" customHeight="1">
      <c r="A21" s="747">
        <v>15</v>
      </c>
      <c r="B21" s="748" t="s">
        <v>390</v>
      </c>
      <c r="C21" s="749">
        <v>14976</v>
      </c>
      <c r="D21" s="749">
        <v>428453</v>
      </c>
      <c r="E21" s="749">
        <v>429165</v>
      </c>
      <c r="F21" s="749">
        <v>320665</v>
      </c>
      <c r="G21" s="749"/>
      <c r="H21" s="749">
        <v>320665</v>
      </c>
      <c r="I21" s="749">
        <v>456402</v>
      </c>
      <c r="J21" s="749">
        <v>440577</v>
      </c>
      <c r="K21" s="749">
        <v>3564</v>
      </c>
      <c r="L21" s="750">
        <v>-12973</v>
      </c>
    </row>
    <row r="22" spans="1:12" s="751" customFormat="1" ht="12.75" customHeight="1">
      <c r="A22" s="747">
        <v>16</v>
      </c>
      <c r="B22" s="748" t="s">
        <v>391</v>
      </c>
      <c r="C22" s="749">
        <v>-44700</v>
      </c>
      <c r="D22" s="749">
        <v>777048</v>
      </c>
      <c r="E22" s="749">
        <v>765734</v>
      </c>
      <c r="F22" s="749">
        <v>555439</v>
      </c>
      <c r="G22" s="749"/>
      <c r="H22" s="749">
        <v>555439</v>
      </c>
      <c r="I22" s="749">
        <v>750075</v>
      </c>
      <c r="J22" s="749">
        <v>752342</v>
      </c>
      <c r="K22" s="749">
        <v>-31308</v>
      </c>
      <c r="L22" s="750">
        <v>-17727</v>
      </c>
    </row>
    <row r="23" spans="1:12" s="751" customFormat="1" ht="12.75" customHeight="1">
      <c r="A23" s="747">
        <v>17</v>
      </c>
      <c r="B23" s="748" t="s">
        <v>392</v>
      </c>
      <c r="C23" s="749">
        <v>72270</v>
      </c>
      <c r="D23" s="749">
        <v>619695</v>
      </c>
      <c r="E23" s="749">
        <v>762009</v>
      </c>
      <c r="F23" s="749">
        <v>432653</v>
      </c>
      <c r="G23" s="749"/>
      <c r="H23" s="749">
        <v>432653</v>
      </c>
      <c r="I23" s="749">
        <v>642056</v>
      </c>
      <c r="J23" s="749">
        <v>758657</v>
      </c>
      <c r="K23" s="749">
        <v>75622</v>
      </c>
      <c r="L23" s="750">
        <v>49909</v>
      </c>
    </row>
    <row r="24" spans="1:12" s="751" customFormat="1" ht="12.75" customHeight="1">
      <c r="A24" s="747">
        <v>18</v>
      </c>
      <c r="B24" s="748" t="s">
        <v>393</v>
      </c>
      <c r="C24" s="749">
        <v>31082</v>
      </c>
      <c r="D24" s="749">
        <v>786845</v>
      </c>
      <c r="E24" s="749">
        <v>814137</v>
      </c>
      <c r="F24" s="749">
        <v>558738</v>
      </c>
      <c r="G24" s="749"/>
      <c r="H24" s="749">
        <v>558737</v>
      </c>
      <c r="I24" s="749">
        <v>776506</v>
      </c>
      <c r="J24" s="749">
        <v>793017</v>
      </c>
      <c r="K24" s="749">
        <v>52201</v>
      </c>
      <c r="L24" s="750">
        <v>41421</v>
      </c>
    </row>
    <row r="25" spans="1:12" s="751" customFormat="1" ht="12.75" customHeight="1">
      <c r="A25" s="747">
        <v>19</v>
      </c>
      <c r="B25" s="748" t="s">
        <v>394</v>
      </c>
      <c r="C25" s="749">
        <v>273</v>
      </c>
      <c r="D25" s="749">
        <v>659423</v>
      </c>
      <c r="E25" s="749">
        <v>646280</v>
      </c>
      <c r="F25" s="749">
        <v>449483</v>
      </c>
      <c r="G25" s="749"/>
      <c r="H25" s="749">
        <v>449483</v>
      </c>
      <c r="I25" s="749">
        <v>667702</v>
      </c>
      <c r="J25" s="749">
        <v>644968</v>
      </c>
      <c r="K25" s="749">
        <v>1585</v>
      </c>
      <c r="L25" s="750">
        <v>-8006</v>
      </c>
    </row>
    <row r="26" spans="1:12" s="751" customFormat="1" ht="12.75" customHeight="1">
      <c r="A26" s="747">
        <v>20</v>
      </c>
      <c r="B26" s="748" t="s">
        <v>395</v>
      </c>
      <c r="C26" s="749">
        <v>23206</v>
      </c>
      <c r="D26" s="749">
        <v>873169</v>
      </c>
      <c r="E26" s="749">
        <v>906136</v>
      </c>
      <c r="F26" s="749">
        <v>671029</v>
      </c>
      <c r="G26" s="749"/>
      <c r="H26" s="749">
        <v>671029</v>
      </c>
      <c r="I26" s="749">
        <v>872269</v>
      </c>
      <c r="J26" s="749">
        <v>869586</v>
      </c>
      <c r="K26" s="749">
        <v>59756</v>
      </c>
      <c r="L26" s="750">
        <v>24106</v>
      </c>
    </row>
    <row r="27" spans="1:12" s="751" customFormat="1" ht="12.75" customHeight="1">
      <c r="A27" s="747">
        <v>21</v>
      </c>
      <c r="B27" s="748" t="s">
        <v>396</v>
      </c>
      <c r="C27" s="749">
        <v>-35234</v>
      </c>
      <c r="D27" s="749">
        <v>699192</v>
      </c>
      <c r="E27" s="749">
        <v>672478</v>
      </c>
      <c r="F27" s="749">
        <v>469834</v>
      </c>
      <c r="G27" s="749"/>
      <c r="H27" s="749">
        <v>469834</v>
      </c>
      <c r="I27" s="749">
        <v>670045</v>
      </c>
      <c r="J27" s="749">
        <v>684795</v>
      </c>
      <c r="K27" s="749">
        <v>-47552</v>
      </c>
      <c r="L27" s="750">
        <v>-6087</v>
      </c>
    </row>
    <row r="28" spans="1:12" s="751" customFormat="1" ht="12.75" customHeight="1">
      <c r="A28" s="747">
        <v>22</v>
      </c>
      <c r="B28" s="748" t="s">
        <v>397</v>
      </c>
      <c r="C28" s="749">
        <v>72</v>
      </c>
      <c r="D28" s="749">
        <v>914320</v>
      </c>
      <c r="E28" s="749">
        <v>865575</v>
      </c>
      <c r="F28" s="749">
        <v>628221</v>
      </c>
      <c r="G28" s="749"/>
      <c r="H28" s="749">
        <v>628221</v>
      </c>
      <c r="I28" s="749">
        <v>912720</v>
      </c>
      <c r="J28" s="749">
        <v>866900</v>
      </c>
      <c r="K28" s="749">
        <v>-1252</v>
      </c>
      <c r="L28" s="750">
        <v>1672</v>
      </c>
    </row>
    <row r="29" spans="1:12" s="751" customFormat="1" ht="12.75" customHeight="1">
      <c r="A29" s="747">
        <v>23</v>
      </c>
      <c r="B29" s="748" t="s">
        <v>398</v>
      </c>
      <c r="C29" s="749">
        <v>20203</v>
      </c>
      <c r="D29" s="749">
        <v>874840</v>
      </c>
      <c r="E29" s="749">
        <v>830986</v>
      </c>
      <c r="F29" s="749">
        <v>571898</v>
      </c>
      <c r="G29" s="749"/>
      <c r="H29" s="749">
        <v>571898</v>
      </c>
      <c r="I29" s="749">
        <v>878193</v>
      </c>
      <c r="J29" s="749">
        <v>844818</v>
      </c>
      <c r="K29" s="749">
        <v>6371</v>
      </c>
      <c r="L29" s="750">
        <v>16850</v>
      </c>
    </row>
    <row r="30" spans="1:12" s="751" customFormat="1" ht="12.75" customHeight="1">
      <c r="A30" s="747">
        <v>24</v>
      </c>
      <c r="B30" s="748" t="s">
        <v>399</v>
      </c>
      <c r="C30" s="749">
        <v>14119</v>
      </c>
      <c r="D30" s="749">
        <v>585868</v>
      </c>
      <c r="E30" s="749">
        <v>642564</v>
      </c>
      <c r="F30" s="749">
        <v>458806</v>
      </c>
      <c r="G30" s="749"/>
      <c r="H30" s="749">
        <v>458806</v>
      </c>
      <c r="I30" s="749">
        <v>574823</v>
      </c>
      <c r="J30" s="749">
        <v>620047</v>
      </c>
      <c r="K30" s="749">
        <v>36636</v>
      </c>
      <c r="L30" s="750">
        <v>25164</v>
      </c>
    </row>
    <row r="31" spans="1:12" s="751" customFormat="1" ht="12.75" customHeight="1">
      <c r="A31" s="747">
        <v>25</v>
      </c>
      <c r="B31" s="748" t="s">
        <v>400</v>
      </c>
      <c r="C31" s="749">
        <v>-38608</v>
      </c>
      <c r="D31" s="749">
        <v>751437</v>
      </c>
      <c r="E31" s="749">
        <v>723417</v>
      </c>
      <c r="F31" s="749">
        <v>516510</v>
      </c>
      <c r="G31" s="749"/>
      <c r="H31" s="749">
        <v>516510</v>
      </c>
      <c r="I31" s="749">
        <v>721406</v>
      </c>
      <c r="J31" s="749">
        <v>705144</v>
      </c>
      <c r="K31" s="749">
        <v>-20335</v>
      </c>
      <c r="L31" s="750">
        <v>-8577</v>
      </c>
    </row>
    <row r="32" spans="1:12" s="751" customFormat="1" ht="12.75" customHeight="1">
      <c r="A32" s="747">
        <v>26</v>
      </c>
      <c r="B32" s="748" t="s">
        <v>401</v>
      </c>
      <c r="C32" s="749">
        <v>-45515</v>
      </c>
      <c r="D32" s="749">
        <v>919373</v>
      </c>
      <c r="E32" s="749">
        <v>897975</v>
      </c>
      <c r="F32" s="749">
        <v>622973</v>
      </c>
      <c r="G32" s="749"/>
      <c r="H32" s="749">
        <v>622903</v>
      </c>
      <c r="I32" s="749">
        <v>903536</v>
      </c>
      <c r="J32" s="749">
        <v>906621</v>
      </c>
      <c r="K32" s="749">
        <v>-54161</v>
      </c>
      <c r="L32" s="750">
        <v>-29678</v>
      </c>
    </row>
    <row r="33" spans="1:12" s="751" customFormat="1" ht="12.75" customHeight="1">
      <c r="A33" s="747">
        <v>27</v>
      </c>
      <c r="B33" s="748" t="s">
        <v>402</v>
      </c>
      <c r="C33" s="749">
        <v>12792</v>
      </c>
      <c r="D33" s="749">
        <v>687313</v>
      </c>
      <c r="E33" s="749">
        <v>666007</v>
      </c>
      <c r="F33" s="749">
        <v>482642</v>
      </c>
      <c r="G33" s="749"/>
      <c r="H33" s="749">
        <v>482642</v>
      </c>
      <c r="I33" s="749">
        <v>698750</v>
      </c>
      <c r="J33" s="749">
        <v>675646</v>
      </c>
      <c r="K33" s="749">
        <v>3153</v>
      </c>
      <c r="L33" s="750">
        <v>1355</v>
      </c>
    </row>
    <row r="34" spans="1:12" s="751" customFormat="1" ht="12.75" customHeight="1">
      <c r="A34" s="747">
        <v>28</v>
      </c>
      <c r="B34" s="748" t="s">
        <v>403</v>
      </c>
      <c r="C34" s="749">
        <v>8834</v>
      </c>
      <c r="D34" s="749">
        <v>508446</v>
      </c>
      <c r="E34" s="749">
        <v>511603</v>
      </c>
      <c r="F34" s="749">
        <v>365102</v>
      </c>
      <c r="G34" s="749"/>
      <c r="H34" s="749">
        <v>365102</v>
      </c>
      <c r="I34" s="749">
        <v>507161</v>
      </c>
      <c r="J34" s="749">
        <v>508236</v>
      </c>
      <c r="K34" s="749">
        <v>12201</v>
      </c>
      <c r="L34" s="750">
        <v>10119</v>
      </c>
    </row>
    <row r="35" spans="1:12" s="751" customFormat="1" ht="12.75" customHeight="1">
      <c r="A35" s="747">
        <v>29</v>
      </c>
      <c r="B35" s="748" t="s">
        <v>404</v>
      </c>
      <c r="C35" s="749">
        <v>12900</v>
      </c>
      <c r="D35" s="749">
        <v>599838</v>
      </c>
      <c r="E35" s="749">
        <v>604490</v>
      </c>
      <c r="F35" s="749">
        <v>455379</v>
      </c>
      <c r="G35" s="749"/>
      <c r="H35" s="749">
        <v>455379</v>
      </c>
      <c r="I35" s="749">
        <v>597607</v>
      </c>
      <c r="J35" s="749">
        <v>592027</v>
      </c>
      <c r="K35" s="749">
        <v>25363</v>
      </c>
      <c r="L35" s="750">
        <v>15131</v>
      </c>
    </row>
    <row r="36" spans="1:12" s="751" customFormat="1" ht="12.75" customHeight="1">
      <c r="A36" s="747">
        <v>30</v>
      </c>
      <c r="B36" s="748" t="s">
        <v>405</v>
      </c>
      <c r="C36" s="749">
        <v>-5450</v>
      </c>
      <c r="D36" s="749">
        <v>607308</v>
      </c>
      <c r="E36" s="749">
        <v>588283</v>
      </c>
      <c r="F36" s="749">
        <v>463089</v>
      </c>
      <c r="G36" s="749"/>
      <c r="H36" s="749">
        <v>463089</v>
      </c>
      <c r="I36" s="749">
        <v>604464</v>
      </c>
      <c r="J36" s="749">
        <v>588176</v>
      </c>
      <c r="K36" s="749">
        <v>-5344</v>
      </c>
      <c r="L36" s="750">
        <v>-2606</v>
      </c>
    </row>
    <row r="37" spans="1:12" s="751" customFormat="1" ht="12.75" customHeight="1">
      <c r="A37" s="747">
        <v>31</v>
      </c>
      <c r="B37" s="748" t="s">
        <v>406</v>
      </c>
      <c r="C37" s="749">
        <v>48849</v>
      </c>
      <c r="D37" s="749">
        <v>1254555</v>
      </c>
      <c r="E37" s="749">
        <v>1241154</v>
      </c>
      <c r="F37" s="749">
        <v>847567</v>
      </c>
      <c r="G37" s="749"/>
      <c r="H37" s="749">
        <v>847567</v>
      </c>
      <c r="I37" s="749">
        <v>1268498</v>
      </c>
      <c r="J37" s="749">
        <v>1257286</v>
      </c>
      <c r="K37" s="749">
        <v>32717</v>
      </c>
      <c r="L37" s="750">
        <v>34906</v>
      </c>
    </row>
    <row r="38" spans="1:12" s="751" customFormat="1" ht="12.75" customHeight="1">
      <c r="A38" s="747">
        <v>32</v>
      </c>
      <c r="B38" s="748" t="s">
        <v>407</v>
      </c>
      <c r="C38" s="749">
        <v>21507</v>
      </c>
      <c r="D38" s="749">
        <v>976650</v>
      </c>
      <c r="E38" s="749">
        <v>913158</v>
      </c>
      <c r="F38" s="749">
        <v>685086</v>
      </c>
      <c r="G38" s="749"/>
      <c r="H38" s="749">
        <v>685086</v>
      </c>
      <c r="I38" s="749">
        <v>960182</v>
      </c>
      <c r="J38" s="749">
        <v>940434</v>
      </c>
      <c r="K38" s="749">
        <v>-5768</v>
      </c>
      <c r="L38" s="750">
        <v>37975</v>
      </c>
    </row>
    <row r="39" spans="1:12" s="751" customFormat="1" ht="12.75" customHeight="1">
      <c r="A39" s="747">
        <v>33</v>
      </c>
      <c r="B39" s="748" t="s">
        <v>408</v>
      </c>
      <c r="C39" s="749">
        <v>15919</v>
      </c>
      <c r="D39" s="749">
        <v>630050</v>
      </c>
      <c r="E39" s="749">
        <v>639465</v>
      </c>
      <c r="F39" s="749">
        <v>460017</v>
      </c>
      <c r="G39" s="749"/>
      <c r="H39" s="749">
        <v>460017</v>
      </c>
      <c r="I39" s="749">
        <v>635661</v>
      </c>
      <c r="J39" s="749">
        <v>626599</v>
      </c>
      <c r="K39" s="749">
        <v>28785</v>
      </c>
      <c r="L39" s="750">
        <v>10308</v>
      </c>
    </row>
    <row r="40" spans="1:12" s="751" customFormat="1" ht="12.75" customHeight="1">
      <c r="A40" s="747">
        <v>34</v>
      </c>
      <c r="B40" s="748" t="s">
        <v>409</v>
      </c>
      <c r="C40" s="749">
        <v>39480</v>
      </c>
      <c r="D40" s="749">
        <v>1071877</v>
      </c>
      <c r="E40" s="749">
        <v>1063072</v>
      </c>
      <c r="F40" s="749">
        <v>795537</v>
      </c>
      <c r="G40" s="749"/>
      <c r="H40" s="749">
        <v>795537</v>
      </c>
      <c r="I40" s="749">
        <v>1084528</v>
      </c>
      <c r="J40" s="749">
        <v>1072101</v>
      </c>
      <c r="K40" s="749">
        <v>29893</v>
      </c>
      <c r="L40" s="750">
        <v>24829</v>
      </c>
    </row>
    <row r="41" spans="1:12" s="751" customFormat="1" ht="12.75" customHeight="1">
      <c r="A41" s="747">
        <v>35</v>
      </c>
      <c r="B41" s="748" t="s">
        <v>410</v>
      </c>
      <c r="C41" s="749">
        <v>-30524</v>
      </c>
      <c r="D41" s="749">
        <v>775434</v>
      </c>
      <c r="E41" s="749">
        <v>762496</v>
      </c>
      <c r="F41" s="749">
        <v>526434</v>
      </c>
      <c r="G41" s="749"/>
      <c r="H41" s="749">
        <v>526434</v>
      </c>
      <c r="I41" s="749">
        <v>757417</v>
      </c>
      <c r="J41" s="749">
        <v>744801</v>
      </c>
      <c r="K41" s="749">
        <v>-12828</v>
      </c>
      <c r="L41" s="750">
        <v>-12507</v>
      </c>
    </row>
    <row r="42" spans="1:12" s="751" customFormat="1" ht="12.75" customHeight="1">
      <c r="A42" s="747">
        <v>36</v>
      </c>
      <c r="B42" s="748" t="s">
        <v>411</v>
      </c>
      <c r="C42" s="749">
        <v>28924</v>
      </c>
      <c r="D42" s="749">
        <v>1005760</v>
      </c>
      <c r="E42" s="749">
        <v>983513</v>
      </c>
      <c r="F42" s="749">
        <v>640370</v>
      </c>
      <c r="G42" s="749"/>
      <c r="H42" s="749">
        <v>640370</v>
      </c>
      <c r="I42" s="749">
        <v>1003932</v>
      </c>
      <c r="J42" s="749">
        <v>960001</v>
      </c>
      <c r="K42" s="749">
        <v>52437</v>
      </c>
      <c r="L42" s="750">
        <v>30752</v>
      </c>
    </row>
    <row r="43" spans="1:12" s="751" customFormat="1" ht="12.75" customHeight="1">
      <c r="A43" s="747">
        <v>37</v>
      </c>
      <c r="B43" s="755" t="s">
        <v>412</v>
      </c>
      <c r="C43" s="756">
        <v>-8352</v>
      </c>
      <c r="D43" s="756">
        <v>741425</v>
      </c>
      <c r="E43" s="756">
        <v>782351</v>
      </c>
      <c r="F43" s="756">
        <v>498948</v>
      </c>
      <c r="G43" s="756"/>
      <c r="H43" s="756">
        <v>498948</v>
      </c>
      <c r="I43" s="756">
        <v>719961</v>
      </c>
      <c r="J43" s="756">
        <v>775872</v>
      </c>
      <c r="K43" s="756">
        <v>-1874</v>
      </c>
      <c r="L43" s="757">
        <v>13112</v>
      </c>
    </row>
    <row r="44" spans="1:12" s="736" customFormat="1" ht="12.75" customHeight="1">
      <c r="A44" s="765" t="s">
        <v>413</v>
      </c>
      <c r="B44" s="758"/>
      <c r="C44" s="759">
        <f aca="true" t="shared" si="0" ref="C44:L44">SUM(C7:C43)</f>
        <v>154272</v>
      </c>
      <c r="D44" s="759">
        <f t="shared" si="0"/>
        <v>27435669</v>
      </c>
      <c r="E44" s="759">
        <f t="shared" si="0"/>
        <v>27105813</v>
      </c>
      <c r="F44" s="759">
        <f t="shared" si="0"/>
        <v>19228826</v>
      </c>
      <c r="G44" s="759">
        <f t="shared" si="0"/>
        <v>0</v>
      </c>
      <c r="H44" s="759">
        <f t="shared" si="0"/>
        <v>19228753</v>
      </c>
      <c r="I44" s="759">
        <f t="shared" si="0"/>
        <v>27339572</v>
      </c>
      <c r="J44" s="759">
        <f t="shared" si="0"/>
        <v>26927704</v>
      </c>
      <c r="K44" s="759">
        <f t="shared" si="0"/>
        <v>321053</v>
      </c>
      <c r="L44" s="760">
        <f t="shared" si="0"/>
        <v>248369</v>
      </c>
    </row>
    <row r="45" spans="1:12" s="736" customFormat="1" ht="12.75" customHeight="1">
      <c r="A45" s="761">
        <v>38</v>
      </c>
      <c r="B45" s="762" t="s">
        <v>414</v>
      </c>
      <c r="C45" s="763">
        <v>737092</v>
      </c>
      <c r="D45" s="763">
        <v>94823500</v>
      </c>
      <c r="E45" s="763">
        <v>94909997</v>
      </c>
      <c r="F45" s="763">
        <v>26175000</v>
      </c>
      <c r="G45" s="763"/>
      <c r="H45" s="763">
        <v>26175000</v>
      </c>
      <c r="I45" s="763">
        <v>95560592</v>
      </c>
      <c r="J45" s="763">
        <v>96747438</v>
      </c>
      <c r="K45" s="763">
        <v>-1100354</v>
      </c>
      <c r="L45" s="764">
        <v>0</v>
      </c>
    </row>
    <row r="46" spans="1:12" s="736" customFormat="1" ht="12.75" customHeight="1">
      <c r="A46" s="765">
        <v>39</v>
      </c>
      <c r="B46" s="758" t="s">
        <v>415</v>
      </c>
      <c r="C46" s="759">
        <v>4179</v>
      </c>
      <c r="D46" s="759">
        <v>3810288</v>
      </c>
      <c r="E46" s="759">
        <v>3938197</v>
      </c>
      <c r="F46" s="759">
        <v>0</v>
      </c>
      <c r="G46" s="759"/>
      <c r="H46" s="759">
        <v>0</v>
      </c>
      <c r="I46" s="759">
        <v>3810405</v>
      </c>
      <c r="J46" s="759">
        <v>3940278</v>
      </c>
      <c r="K46" s="759">
        <v>2097</v>
      </c>
      <c r="L46" s="760">
        <v>4062</v>
      </c>
    </row>
    <row r="47" spans="1:12" s="736" customFormat="1" ht="12.75" customHeight="1">
      <c r="A47" s="766">
        <v>40</v>
      </c>
      <c r="B47" s="767" t="s">
        <v>416</v>
      </c>
      <c r="C47" s="768">
        <v>82351</v>
      </c>
      <c r="D47" s="768">
        <v>14239051</v>
      </c>
      <c r="E47" s="768">
        <v>10974102</v>
      </c>
      <c r="F47" s="768">
        <v>543426</v>
      </c>
      <c r="G47" s="768"/>
      <c r="H47" s="768">
        <v>543426</v>
      </c>
      <c r="I47" s="768">
        <v>14075562</v>
      </c>
      <c r="J47" s="768">
        <v>10890203</v>
      </c>
      <c r="K47" s="768">
        <v>166250</v>
      </c>
      <c r="L47" s="769">
        <v>245840</v>
      </c>
    </row>
    <row r="48" spans="1:12" s="736" customFormat="1" ht="12.75" customHeight="1">
      <c r="A48" s="766">
        <v>41</v>
      </c>
      <c r="B48" s="767" t="s">
        <v>417</v>
      </c>
      <c r="C48" s="768">
        <v>219208</v>
      </c>
      <c r="D48" s="768">
        <v>13833208</v>
      </c>
      <c r="E48" s="768">
        <v>13643837</v>
      </c>
      <c r="F48" s="768">
        <v>87700</v>
      </c>
      <c r="G48" s="768"/>
      <c r="H48" s="768">
        <v>87700</v>
      </c>
      <c r="I48" s="768">
        <v>13768418</v>
      </c>
      <c r="J48" s="768">
        <v>13587374</v>
      </c>
      <c r="K48" s="768">
        <v>275671</v>
      </c>
      <c r="L48" s="769">
        <v>283998</v>
      </c>
    </row>
    <row r="49" spans="1:12" s="736" customFormat="1" ht="12.75" customHeight="1">
      <c r="A49" s="766">
        <v>42</v>
      </c>
      <c r="B49" s="767" t="s">
        <v>418</v>
      </c>
      <c r="C49" s="768">
        <v>166357</v>
      </c>
      <c r="D49" s="768">
        <v>13987209</v>
      </c>
      <c r="E49" s="768">
        <v>11694670</v>
      </c>
      <c r="F49" s="768">
        <v>514039</v>
      </c>
      <c r="G49" s="768"/>
      <c r="H49" s="768">
        <v>514039</v>
      </c>
      <c r="I49" s="768">
        <v>13950700</v>
      </c>
      <c r="J49" s="768">
        <v>11676967</v>
      </c>
      <c r="K49" s="768">
        <v>184060</v>
      </c>
      <c r="L49" s="769">
        <v>202866</v>
      </c>
    </row>
    <row r="50" spans="1:12" s="736" customFormat="1" ht="12.75" customHeight="1">
      <c r="A50" s="770">
        <v>43</v>
      </c>
      <c r="B50" s="771" t="s">
        <v>419</v>
      </c>
      <c r="C50" s="772">
        <v>215477</v>
      </c>
      <c r="D50" s="772">
        <v>22771730</v>
      </c>
      <c r="E50" s="772">
        <v>14633733</v>
      </c>
      <c r="F50" s="772">
        <v>80760</v>
      </c>
      <c r="G50" s="772"/>
      <c r="H50" s="772">
        <v>80760</v>
      </c>
      <c r="I50" s="772">
        <v>22772743</v>
      </c>
      <c r="J50" s="772">
        <v>14634754</v>
      </c>
      <c r="K50" s="772">
        <v>214456</v>
      </c>
      <c r="L50" s="773">
        <v>214464</v>
      </c>
    </row>
    <row r="51" spans="1:12" s="736" customFormat="1" ht="12.75" customHeight="1">
      <c r="A51" s="765" t="s">
        <v>420</v>
      </c>
      <c r="B51" s="758"/>
      <c r="C51" s="759">
        <f>SUM(C47:C50)</f>
        <v>683393</v>
      </c>
      <c r="D51" s="759">
        <f>SUM(D47:D50)</f>
        <v>64831198</v>
      </c>
      <c r="E51" s="759">
        <f>SUM(E47:E50)</f>
        <v>50946342</v>
      </c>
      <c r="F51" s="759">
        <f>SUM(F47:F50)</f>
        <v>1225925</v>
      </c>
      <c r="G51" s="759"/>
      <c r="H51" s="759">
        <f>SUM(H47:H50)</f>
        <v>1225925</v>
      </c>
      <c r="I51" s="759">
        <f>SUM(I47:I50)</f>
        <v>64567423</v>
      </c>
      <c r="J51" s="759">
        <f>SUM(J47:J50)</f>
        <v>50789298</v>
      </c>
      <c r="K51" s="759">
        <f>SUM(K47:K50)</f>
        <v>840437</v>
      </c>
      <c r="L51" s="760">
        <f>SUM(L47:L50)</f>
        <v>947168</v>
      </c>
    </row>
    <row r="52" spans="1:12" s="736" customFormat="1" ht="12.75" customHeight="1" thickBot="1">
      <c r="A52" s="774"/>
      <c r="B52" s="775" t="s">
        <v>130</v>
      </c>
      <c r="C52" s="776">
        <f>SUM(C51,C46,C45,C44)</f>
        <v>1578936</v>
      </c>
      <c r="D52" s="776">
        <f aca="true" t="shared" si="1" ref="D52:L52">SUM(D51,D46,D45,D44)</f>
        <v>190900655</v>
      </c>
      <c r="E52" s="776">
        <f t="shared" si="1"/>
        <v>176900349</v>
      </c>
      <c r="F52" s="776">
        <f t="shared" si="1"/>
        <v>46629751</v>
      </c>
      <c r="G52" s="776">
        <f t="shared" si="1"/>
        <v>0</v>
      </c>
      <c r="H52" s="776">
        <f t="shared" si="1"/>
        <v>46629678</v>
      </c>
      <c r="I52" s="776">
        <f t="shared" si="1"/>
        <v>191277992</v>
      </c>
      <c r="J52" s="776">
        <f t="shared" si="1"/>
        <v>178404718</v>
      </c>
      <c r="K52" s="776">
        <f t="shared" si="1"/>
        <v>63233</v>
      </c>
      <c r="L52" s="777">
        <f t="shared" si="1"/>
        <v>1199599</v>
      </c>
    </row>
    <row r="53" ht="12">
      <c r="C53" s="725" t="s">
        <v>345</v>
      </c>
    </row>
  </sheetData>
  <mergeCells count="11">
    <mergeCell ref="D5:D6"/>
    <mergeCell ref="E5:E6"/>
    <mergeCell ref="I5:I6"/>
    <mergeCell ref="J5:J6"/>
    <mergeCell ref="A2:L2"/>
    <mergeCell ref="B4:B6"/>
    <mergeCell ref="C4:C6"/>
    <mergeCell ref="D4:H4"/>
    <mergeCell ref="I4:J4"/>
    <mergeCell ref="K4:K6"/>
    <mergeCell ref="L4:L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9" sqref="F49"/>
    </sheetView>
  </sheetViews>
  <sheetFormatPr defaultColWidth="9.00390625" defaultRowHeight="12.75"/>
  <cols>
    <col min="1" max="1" width="2.625" style="725" customWidth="1"/>
    <col min="2" max="2" width="26.25390625" style="725" customWidth="1"/>
    <col min="3" max="3" width="7.25390625" style="725" customWidth="1"/>
    <col min="4" max="4" width="7.75390625" style="725" customWidth="1"/>
    <col min="5" max="5" width="8.25390625" style="725" customWidth="1"/>
    <col min="6" max="6" width="8.625" style="725" customWidth="1"/>
    <col min="7" max="7" width="8.375" style="725" customWidth="1"/>
    <col min="8" max="8" width="7.75390625" style="725" customWidth="1"/>
    <col min="9" max="9" width="8.75390625" style="725" customWidth="1"/>
    <col min="10" max="10" width="8.875" style="725" hidden="1" customWidth="1"/>
    <col min="11" max="11" width="9.00390625" style="725" hidden="1" customWidth="1"/>
    <col min="12" max="12" width="6.875" style="725" hidden="1" customWidth="1"/>
    <col min="13" max="16384" width="9.125" style="779" customWidth="1"/>
  </cols>
  <sheetData>
    <row r="1" spans="7:9" ht="12">
      <c r="G1" s="778" t="s">
        <v>421</v>
      </c>
      <c r="H1" s="778"/>
      <c r="I1" s="778"/>
    </row>
    <row r="2" ht="12">
      <c r="G2" s="255"/>
    </row>
    <row r="3" spans="1:12" ht="37.5" customHeight="1">
      <c r="A3" s="780" t="s">
        <v>422</v>
      </c>
      <c r="B3" s="780"/>
      <c r="C3" s="780"/>
      <c r="D3" s="780"/>
      <c r="E3" s="780"/>
      <c r="F3" s="780"/>
      <c r="G3" s="780"/>
      <c r="H3" s="780"/>
      <c r="I3" s="780"/>
      <c r="J3" s="514"/>
      <c r="K3" s="514"/>
      <c r="L3" s="514"/>
    </row>
    <row r="4" spans="1:12" ht="15.75" customHeight="1" thickBot="1">
      <c r="A4" s="781"/>
      <c r="B4" s="781"/>
      <c r="C4" s="781"/>
      <c r="D4" s="781"/>
      <c r="E4" s="781"/>
      <c r="F4" s="781"/>
      <c r="G4" s="781"/>
      <c r="H4" s="781"/>
      <c r="I4" s="781"/>
      <c r="J4" s="514"/>
      <c r="K4" s="514"/>
      <c r="L4" s="514"/>
    </row>
    <row r="5" spans="1:12" s="789" customFormat="1" ht="12" customHeight="1">
      <c r="A5" s="782"/>
      <c r="B5" s="783" t="s">
        <v>366</v>
      </c>
      <c r="C5" s="784" t="s">
        <v>423</v>
      </c>
      <c r="D5" s="785" t="s">
        <v>368</v>
      </c>
      <c r="E5" s="785"/>
      <c r="F5" s="785" t="s">
        <v>369</v>
      </c>
      <c r="G5" s="785"/>
      <c r="H5" s="784" t="s">
        <v>424</v>
      </c>
      <c r="I5" s="784" t="s">
        <v>425</v>
      </c>
      <c r="J5" s="786"/>
      <c r="K5" s="787"/>
      <c r="L5" s="788"/>
    </row>
    <row r="6" spans="1:12" s="789" customFormat="1" ht="14.25" customHeight="1">
      <c r="A6" s="790" t="s">
        <v>426</v>
      </c>
      <c r="B6" s="738"/>
      <c r="C6" s="791"/>
      <c r="D6" s="739" t="s">
        <v>373</v>
      </c>
      <c r="E6" s="739" t="s">
        <v>1</v>
      </c>
      <c r="F6" s="739" t="s">
        <v>0</v>
      </c>
      <c r="G6" s="739" t="s">
        <v>1</v>
      </c>
      <c r="H6" s="791"/>
      <c r="I6" s="791"/>
      <c r="J6" s="792" t="s">
        <v>427</v>
      </c>
      <c r="K6" s="793" t="s">
        <v>428</v>
      </c>
      <c r="L6" s="794" t="s">
        <v>429</v>
      </c>
    </row>
    <row r="7" spans="1:12" s="789" customFormat="1" ht="21.75" customHeight="1" thickBot="1">
      <c r="A7" s="790"/>
      <c r="B7" s="738"/>
      <c r="C7" s="791"/>
      <c r="D7" s="795"/>
      <c r="E7" s="795"/>
      <c r="F7" s="795"/>
      <c r="G7" s="795"/>
      <c r="H7" s="791"/>
      <c r="I7" s="791"/>
      <c r="J7" s="796" t="s">
        <v>430</v>
      </c>
      <c r="K7" s="797" t="s">
        <v>430</v>
      </c>
      <c r="L7" s="798"/>
    </row>
    <row r="8" spans="1:12" s="808" customFormat="1" ht="12.75" customHeight="1">
      <c r="A8" s="799">
        <v>1</v>
      </c>
      <c r="B8" s="800" t="s">
        <v>431</v>
      </c>
      <c r="C8" s="801">
        <v>4197.6</v>
      </c>
      <c r="D8" s="801">
        <v>172225</v>
      </c>
      <c r="E8" s="802">
        <v>172223.96</v>
      </c>
      <c r="F8" s="802">
        <v>176422</v>
      </c>
      <c r="G8" s="802">
        <v>176421.56</v>
      </c>
      <c r="H8" s="803"/>
      <c r="I8" s="804">
        <v>0.6</v>
      </c>
      <c r="J8" s="805"/>
      <c r="K8" s="806"/>
      <c r="L8" s="807"/>
    </row>
    <row r="9" spans="1:12" s="808" customFormat="1" ht="12.75" customHeight="1">
      <c r="A9" s="809">
        <v>2</v>
      </c>
      <c r="B9" s="810" t="s">
        <v>432</v>
      </c>
      <c r="C9" s="811">
        <v>19914.17</v>
      </c>
      <c r="D9" s="811">
        <v>9000</v>
      </c>
      <c r="E9" s="812">
        <v>11004.69</v>
      </c>
      <c r="F9" s="812">
        <v>20000</v>
      </c>
      <c r="G9" s="812">
        <v>16161.04</v>
      </c>
      <c r="H9" s="811">
        <v>14757.82</v>
      </c>
      <c r="I9" s="813">
        <v>8914.17</v>
      </c>
      <c r="J9" s="805"/>
      <c r="K9" s="806"/>
      <c r="L9" s="807"/>
    </row>
    <row r="10" spans="1:12" s="808" customFormat="1" ht="12.75" customHeight="1">
      <c r="A10" s="809">
        <v>3</v>
      </c>
      <c r="B10" s="810" t="s">
        <v>433</v>
      </c>
      <c r="C10" s="811">
        <v>3181.34</v>
      </c>
      <c r="D10" s="811">
        <v>5112</v>
      </c>
      <c r="E10" s="812">
        <v>2467.1</v>
      </c>
      <c r="F10" s="812">
        <v>6721</v>
      </c>
      <c r="G10" s="812">
        <v>5648.44</v>
      </c>
      <c r="H10" s="811"/>
      <c r="I10" s="813">
        <v>1572.34</v>
      </c>
      <c r="J10" s="805"/>
      <c r="K10" s="806"/>
      <c r="L10" s="807"/>
    </row>
    <row r="11" spans="1:12" s="808" customFormat="1" ht="12.75" customHeight="1">
      <c r="A11" s="814">
        <v>4</v>
      </c>
      <c r="B11" s="810" t="s">
        <v>434</v>
      </c>
      <c r="C11" s="811">
        <v>5410.04</v>
      </c>
      <c r="D11" s="811">
        <v>66701</v>
      </c>
      <c r="E11" s="812">
        <v>59104.38</v>
      </c>
      <c r="F11" s="812">
        <v>50679</v>
      </c>
      <c r="G11" s="812">
        <v>50374.99</v>
      </c>
      <c r="H11" s="811">
        <v>14139.43</v>
      </c>
      <c r="I11" s="813">
        <v>21432.04</v>
      </c>
      <c r="J11" s="805"/>
      <c r="K11" s="806"/>
      <c r="L11" s="807"/>
    </row>
    <row r="12" spans="1:12" s="808" customFormat="1" ht="12.75" customHeight="1">
      <c r="A12" s="809">
        <v>5</v>
      </c>
      <c r="B12" s="810" t="s">
        <v>435</v>
      </c>
      <c r="C12" s="811">
        <v>7393</v>
      </c>
      <c r="D12" s="811">
        <v>33932</v>
      </c>
      <c r="E12" s="812">
        <v>33931.11</v>
      </c>
      <c r="F12" s="812">
        <v>41325</v>
      </c>
      <c r="G12" s="812">
        <v>41323.75</v>
      </c>
      <c r="H12" s="811"/>
      <c r="I12" s="813"/>
      <c r="J12" s="805"/>
      <c r="K12" s="806"/>
      <c r="L12" s="807"/>
    </row>
    <row r="13" spans="1:12" s="808" customFormat="1" ht="12.75" customHeight="1">
      <c r="A13" s="809">
        <v>6</v>
      </c>
      <c r="B13" s="810" t="s">
        <v>436</v>
      </c>
      <c r="C13" s="811">
        <v>11239</v>
      </c>
      <c r="D13" s="811">
        <v>14000</v>
      </c>
      <c r="E13" s="812">
        <v>11664.35</v>
      </c>
      <c r="F13" s="812">
        <v>16000</v>
      </c>
      <c r="G13" s="812">
        <v>14695.16</v>
      </c>
      <c r="H13" s="811">
        <v>8208.6</v>
      </c>
      <c r="I13" s="813">
        <v>9239</v>
      </c>
      <c r="J13" s="805"/>
      <c r="K13" s="806"/>
      <c r="L13" s="807"/>
    </row>
    <row r="14" spans="1:12" s="808" customFormat="1" ht="12.75" customHeight="1">
      <c r="A14" s="814">
        <v>7</v>
      </c>
      <c r="B14" s="810" t="s">
        <v>437</v>
      </c>
      <c r="C14" s="811">
        <v>8000.12</v>
      </c>
      <c r="D14" s="811">
        <v>2220</v>
      </c>
      <c r="E14" s="812">
        <v>3085.74</v>
      </c>
      <c r="F14" s="812">
        <v>8000</v>
      </c>
      <c r="G14" s="812">
        <v>3771.75</v>
      </c>
      <c r="H14" s="811">
        <v>7314.11</v>
      </c>
      <c r="I14" s="813">
        <v>2220.12</v>
      </c>
      <c r="J14" s="805"/>
      <c r="K14" s="806"/>
      <c r="L14" s="807"/>
    </row>
    <row r="15" spans="1:12" s="808" customFormat="1" ht="12.75" customHeight="1">
      <c r="A15" s="814">
        <v>8</v>
      </c>
      <c r="B15" s="810" t="s">
        <v>438</v>
      </c>
      <c r="C15" s="811">
        <v>8324</v>
      </c>
      <c r="D15" s="811">
        <v>26500</v>
      </c>
      <c r="E15" s="812">
        <v>24875.13</v>
      </c>
      <c r="F15" s="812">
        <v>33210</v>
      </c>
      <c r="G15" s="812">
        <v>28873.42</v>
      </c>
      <c r="H15" s="811">
        <v>4325.22</v>
      </c>
      <c r="I15" s="813">
        <v>1614</v>
      </c>
      <c r="J15" s="805"/>
      <c r="K15" s="806"/>
      <c r="L15" s="807"/>
    </row>
    <row r="16" spans="1:12" s="808" customFormat="1" ht="12.75" customHeight="1">
      <c r="A16" s="809">
        <v>9</v>
      </c>
      <c r="B16" s="810" t="s">
        <v>439</v>
      </c>
      <c r="C16" s="811">
        <v>8004.31</v>
      </c>
      <c r="D16" s="811">
        <v>11400</v>
      </c>
      <c r="E16" s="812">
        <v>14410.07</v>
      </c>
      <c r="F16" s="812">
        <v>17800</v>
      </c>
      <c r="G16" s="812">
        <v>17882.16</v>
      </c>
      <c r="H16" s="811">
        <v>4532.22</v>
      </c>
      <c r="I16" s="813">
        <v>1604.31</v>
      </c>
      <c r="J16" s="805"/>
      <c r="K16" s="806"/>
      <c r="L16" s="807"/>
    </row>
    <row r="17" spans="1:12" s="808" customFormat="1" ht="12.75" customHeight="1">
      <c r="A17" s="809">
        <v>10</v>
      </c>
      <c r="B17" s="810" t="s">
        <v>440</v>
      </c>
      <c r="C17" s="811">
        <v>21629.98</v>
      </c>
      <c r="D17" s="811">
        <v>78986</v>
      </c>
      <c r="E17" s="812">
        <v>78983.92</v>
      </c>
      <c r="F17" s="812">
        <v>86421</v>
      </c>
      <c r="G17" s="812">
        <v>86414.86</v>
      </c>
      <c r="H17" s="811">
        <v>14199.04</v>
      </c>
      <c r="I17" s="813">
        <v>14194.98</v>
      </c>
      <c r="J17" s="805"/>
      <c r="K17" s="806"/>
      <c r="L17" s="807"/>
    </row>
    <row r="18" spans="1:12" s="808" customFormat="1" ht="12.75" customHeight="1">
      <c r="A18" s="814">
        <v>11</v>
      </c>
      <c r="B18" s="810" t="s">
        <v>441</v>
      </c>
      <c r="C18" s="811">
        <v>1384</v>
      </c>
      <c r="D18" s="811">
        <v>3500</v>
      </c>
      <c r="E18" s="812">
        <v>2290</v>
      </c>
      <c r="F18" s="812">
        <v>3500</v>
      </c>
      <c r="G18" s="812">
        <v>1988</v>
      </c>
      <c r="H18" s="811">
        <v>1686.08</v>
      </c>
      <c r="I18" s="813">
        <v>1384</v>
      </c>
      <c r="J18" s="805"/>
      <c r="K18" s="806"/>
      <c r="L18" s="807"/>
    </row>
    <row r="19" spans="1:12" s="808" customFormat="1" ht="12.75" customHeight="1">
      <c r="A19" s="809">
        <v>12</v>
      </c>
      <c r="B19" s="810" t="s">
        <v>442</v>
      </c>
      <c r="C19" s="811">
        <v>9852.16</v>
      </c>
      <c r="D19" s="811">
        <v>8300</v>
      </c>
      <c r="E19" s="812">
        <v>2360.63</v>
      </c>
      <c r="F19" s="812">
        <v>9000</v>
      </c>
      <c r="G19" s="812">
        <v>4800.23</v>
      </c>
      <c r="H19" s="811">
        <v>7412.56</v>
      </c>
      <c r="I19" s="813">
        <v>9152.16</v>
      </c>
      <c r="J19" s="805"/>
      <c r="K19" s="806"/>
      <c r="L19" s="807"/>
    </row>
    <row r="20" spans="1:12" s="808" customFormat="1" ht="12.75" customHeight="1">
      <c r="A20" s="809">
        <v>13</v>
      </c>
      <c r="B20" s="810" t="s">
        <v>443</v>
      </c>
      <c r="C20" s="811">
        <v>2342.4</v>
      </c>
      <c r="D20" s="811">
        <v>18816</v>
      </c>
      <c r="E20" s="812">
        <v>18812.8</v>
      </c>
      <c r="F20" s="812">
        <v>16213</v>
      </c>
      <c r="G20" s="812">
        <v>16161.14</v>
      </c>
      <c r="H20" s="811">
        <v>4994.06</v>
      </c>
      <c r="I20" s="813">
        <v>4945.4</v>
      </c>
      <c r="J20" s="805"/>
      <c r="K20" s="806"/>
      <c r="L20" s="807"/>
    </row>
    <row r="21" spans="1:12" s="808" customFormat="1" ht="12.75" customHeight="1">
      <c r="A21" s="814">
        <v>14</v>
      </c>
      <c r="B21" s="810" t="s">
        <v>444</v>
      </c>
      <c r="C21" s="811">
        <v>15260.36</v>
      </c>
      <c r="D21" s="811">
        <v>26700</v>
      </c>
      <c r="E21" s="812">
        <v>17935.55</v>
      </c>
      <c r="F21" s="812">
        <v>41000</v>
      </c>
      <c r="G21" s="812">
        <v>14908.9</v>
      </c>
      <c r="H21" s="811">
        <v>18287.01</v>
      </c>
      <c r="I21" s="813">
        <v>960.36</v>
      </c>
      <c r="J21" s="805"/>
      <c r="K21" s="806"/>
      <c r="L21" s="807"/>
    </row>
    <row r="22" spans="1:12" s="808" customFormat="1" ht="12.75" customHeight="1">
      <c r="A22" s="814">
        <v>15</v>
      </c>
      <c r="B22" s="810" t="s">
        <v>445</v>
      </c>
      <c r="C22" s="811">
        <v>55129</v>
      </c>
      <c r="D22" s="811">
        <v>270000</v>
      </c>
      <c r="E22" s="812">
        <v>162033.49</v>
      </c>
      <c r="F22" s="812">
        <v>267500</v>
      </c>
      <c r="G22" s="812">
        <v>188033.57</v>
      </c>
      <c r="H22" s="811">
        <v>29128.86</v>
      </c>
      <c r="I22" s="813">
        <v>57629</v>
      </c>
      <c r="J22" s="805"/>
      <c r="K22" s="806"/>
      <c r="L22" s="807"/>
    </row>
    <row r="23" spans="1:12" s="808" customFormat="1" ht="12.75" customHeight="1">
      <c r="A23" s="809">
        <v>16</v>
      </c>
      <c r="B23" s="810" t="s">
        <v>446</v>
      </c>
      <c r="C23" s="811">
        <v>5281.87</v>
      </c>
      <c r="D23" s="811">
        <v>9500</v>
      </c>
      <c r="E23" s="812">
        <v>3022.81</v>
      </c>
      <c r="F23" s="812">
        <v>12000</v>
      </c>
      <c r="G23" s="812">
        <v>8304.68</v>
      </c>
      <c r="H23" s="811"/>
      <c r="I23" s="813">
        <v>2781.87</v>
      </c>
      <c r="J23" s="805"/>
      <c r="K23" s="806"/>
      <c r="L23" s="807"/>
    </row>
    <row r="24" spans="1:12" s="808" customFormat="1" ht="12.75" customHeight="1">
      <c r="A24" s="814">
        <v>17</v>
      </c>
      <c r="B24" s="810" t="s">
        <v>447</v>
      </c>
      <c r="C24" s="811">
        <v>171</v>
      </c>
      <c r="D24" s="811">
        <v>7499</v>
      </c>
      <c r="E24" s="812">
        <v>7498.59</v>
      </c>
      <c r="F24" s="812">
        <v>3771</v>
      </c>
      <c r="G24" s="812">
        <v>3665.87</v>
      </c>
      <c r="H24" s="811">
        <v>4003.3</v>
      </c>
      <c r="I24" s="813">
        <v>3899</v>
      </c>
      <c r="J24" s="805"/>
      <c r="K24" s="806"/>
      <c r="L24" s="807"/>
    </row>
    <row r="25" spans="1:12" s="808" customFormat="1" ht="12.75" customHeight="1">
      <c r="A25" s="809">
        <v>18</v>
      </c>
      <c r="B25" s="810" t="s">
        <v>448</v>
      </c>
      <c r="C25" s="811">
        <v>16182</v>
      </c>
      <c r="D25" s="811">
        <v>38500</v>
      </c>
      <c r="E25" s="812">
        <v>28103.48</v>
      </c>
      <c r="F25" s="812">
        <v>45000</v>
      </c>
      <c r="G25" s="812">
        <v>33335.48</v>
      </c>
      <c r="H25" s="811">
        <v>10949.82</v>
      </c>
      <c r="I25" s="813">
        <v>9682</v>
      </c>
      <c r="J25" s="805"/>
      <c r="K25" s="806"/>
      <c r="L25" s="807"/>
    </row>
    <row r="26" spans="1:12" s="808" customFormat="1" ht="12.75" customHeight="1">
      <c r="A26" s="809">
        <v>19</v>
      </c>
      <c r="B26" s="810" t="s">
        <v>449</v>
      </c>
      <c r="C26" s="811">
        <v>15100.45</v>
      </c>
      <c r="D26" s="811">
        <v>35500</v>
      </c>
      <c r="E26" s="812">
        <v>24737.99</v>
      </c>
      <c r="F26" s="812">
        <v>38500</v>
      </c>
      <c r="G26" s="812">
        <v>30679.53</v>
      </c>
      <c r="H26" s="811">
        <v>9158.91</v>
      </c>
      <c r="I26" s="813">
        <v>12100.45</v>
      </c>
      <c r="J26" s="805"/>
      <c r="K26" s="806"/>
      <c r="L26" s="807"/>
    </row>
    <row r="27" spans="1:12" s="808" customFormat="1" ht="12.75" customHeight="1">
      <c r="A27" s="814">
        <v>20</v>
      </c>
      <c r="B27" s="810" t="s">
        <v>450</v>
      </c>
      <c r="C27" s="811">
        <v>12424.71</v>
      </c>
      <c r="D27" s="811">
        <v>16400</v>
      </c>
      <c r="E27" s="812">
        <v>12417.26</v>
      </c>
      <c r="F27" s="812">
        <v>20300</v>
      </c>
      <c r="G27" s="812">
        <v>11436.01</v>
      </c>
      <c r="H27" s="811">
        <v>13405.96</v>
      </c>
      <c r="I27" s="813">
        <v>8524.71</v>
      </c>
      <c r="J27" s="805"/>
      <c r="K27" s="806"/>
      <c r="L27" s="807"/>
    </row>
    <row r="28" spans="1:12" s="808" customFormat="1" ht="12.75" customHeight="1">
      <c r="A28" s="809">
        <v>21</v>
      </c>
      <c r="B28" s="810" t="s">
        <v>451</v>
      </c>
      <c r="C28" s="811">
        <v>6328</v>
      </c>
      <c r="D28" s="811">
        <v>8000</v>
      </c>
      <c r="E28" s="812">
        <v>7830.24</v>
      </c>
      <c r="F28" s="812">
        <v>14000</v>
      </c>
      <c r="G28" s="812">
        <v>14158.1</v>
      </c>
      <c r="H28" s="811"/>
      <c r="I28" s="813">
        <v>328</v>
      </c>
      <c r="J28" s="805"/>
      <c r="K28" s="806"/>
      <c r="L28" s="807"/>
    </row>
    <row r="29" spans="1:12" s="808" customFormat="1" ht="12.75" customHeight="1">
      <c r="A29" s="809">
        <v>22</v>
      </c>
      <c r="B29" s="810" t="s">
        <v>452</v>
      </c>
      <c r="C29" s="811">
        <v>2168</v>
      </c>
      <c r="D29" s="811">
        <v>28070</v>
      </c>
      <c r="E29" s="812">
        <v>14035.58</v>
      </c>
      <c r="F29" s="812">
        <v>28070</v>
      </c>
      <c r="G29" s="812">
        <v>12209.83</v>
      </c>
      <c r="H29" s="811">
        <v>3993.49</v>
      </c>
      <c r="I29" s="813">
        <v>2168</v>
      </c>
      <c r="J29" s="805"/>
      <c r="K29" s="806"/>
      <c r="L29" s="807"/>
    </row>
    <row r="30" spans="1:12" s="808" customFormat="1" ht="12.75" customHeight="1">
      <c r="A30" s="814">
        <v>23</v>
      </c>
      <c r="B30" s="810" t="s">
        <v>453</v>
      </c>
      <c r="C30" s="811">
        <v>11016</v>
      </c>
      <c r="D30" s="811">
        <v>16000</v>
      </c>
      <c r="E30" s="812">
        <v>9850.07</v>
      </c>
      <c r="F30" s="812">
        <v>18000</v>
      </c>
      <c r="G30" s="812">
        <v>10670.97</v>
      </c>
      <c r="H30" s="811">
        <v>10195.62</v>
      </c>
      <c r="I30" s="813">
        <v>9016.52</v>
      </c>
      <c r="J30" s="805"/>
      <c r="K30" s="806"/>
      <c r="L30" s="807"/>
    </row>
    <row r="31" spans="1:12" s="808" customFormat="1" ht="12.75" customHeight="1">
      <c r="A31" s="814">
        <v>24</v>
      </c>
      <c r="B31" s="810" t="s">
        <v>454</v>
      </c>
      <c r="C31" s="811">
        <v>9439</v>
      </c>
      <c r="D31" s="811">
        <v>96740</v>
      </c>
      <c r="E31" s="812">
        <v>63790.9</v>
      </c>
      <c r="F31" s="812">
        <v>106179</v>
      </c>
      <c r="G31" s="812">
        <v>57886.31</v>
      </c>
      <c r="H31" s="811">
        <v>15343.31</v>
      </c>
      <c r="I31" s="813"/>
      <c r="J31" s="805"/>
      <c r="K31" s="806"/>
      <c r="L31" s="807"/>
    </row>
    <row r="32" spans="1:12" s="808" customFormat="1" ht="12.75" customHeight="1">
      <c r="A32" s="809">
        <v>25</v>
      </c>
      <c r="B32" s="810" t="s">
        <v>455</v>
      </c>
      <c r="C32" s="811">
        <v>6259</v>
      </c>
      <c r="D32" s="811">
        <v>9750</v>
      </c>
      <c r="E32" s="812">
        <v>7513.27</v>
      </c>
      <c r="F32" s="812">
        <v>7500</v>
      </c>
      <c r="G32" s="812">
        <v>9143.65</v>
      </c>
      <c r="H32" s="811">
        <v>4629.16</v>
      </c>
      <c r="I32" s="813">
        <v>8509.54</v>
      </c>
      <c r="J32" s="805"/>
      <c r="K32" s="806"/>
      <c r="L32" s="807"/>
    </row>
    <row r="33" spans="1:12" s="808" customFormat="1" ht="12.75" customHeight="1">
      <c r="A33" s="809">
        <v>26</v>
      </c>
      <c r="B33" s="810" t="s">
        <v>456</v>
      </c>
      <c r="C33" s="811">
        <v>3202</v>
      </c>
      <c r="D33" s="811">
        <v>59500</v>
      </c>
      <c r="E33" s="812">
        <v>28762.46</v>
      </c>
      <c r="F33" s="812">
        <v>62702</v>
      </c>
      <c r="G33" s="812">
        <v>24166.98</v>
      </c>
      <c r="H33" s="811">
        <v>7797.69</v>
      </c>
      <c r="I33" s="813"/>
      <c r="J33" s="805"/>
      <c r="K33" s="806"/>
      <c r="L33" s="807"/>
    </row>
    <row r="34" spans="1:12" s="808" customFormat="1" ht="12.75" customHeight="1">
      <c r="A34" s="814">
        <v>27</v>
      </c>
      <c r="B34" s="810" t="s">
        <v>457</v>
      </c>
      <c r="C34" s="811">
        <v>5562</v>
      </c>
      <c r="D34" s="811">
        <v>16750</v>
      </c>
      <c r="E34" s="812">
        <v>12604.03</v>
      </c>
      <c r="F34" s="812">
        <v>21500</v>
      </c>
      <c r="G34" s="812">
        <v>15557.57</v>
      </c>
      <c r="H34" s="811">
        <v>2608.36</v>
      </c>
      <c r="I34" s="813">
        <v>812</v>
      </c>
      <c r="J34" s="805"/>
      <c r="K34" s="806"/>
      <c r="L34" s="807"/>
    </row>
    <row r="35" spans="1:12" s="808" customFormat="1" ht="12.75" customHeight="1">
      <c r="A35" s="809">
        <v>28</v>
      </c>
      <c r="B35" s="810" t="s">
        <v>458</v>
      </c>
      <c r="C35" s="811">
        <v>5917.42</v>
      </c>
      <c r="D35" s="811">
        <v>7140</v>
      </c>
      <c r="E35" s="812">
        <v>11020.31</v>
      </c>
      <c r="F35" s="812">
        <v>12700</v>
      </c>
      <c r="G35" s="812">
        <v>8201.72</v>
      </c>
      <c r="H35" s="811">
        <v>8736.01</v>
      </c>
      <c r="I35" s="813">
        <v>357.42</v>
      </c>
      <c r="J35" s="805"/>
      <c r="K35" s="806"/>
      <c r="L35" s="807"/>
    </row>
    <row r="36" spans="1:12" s="808" customFormat="1" ht="12.75" customHeight="1">
      <c r="A36" s="809">
        <v>29</v>
      </c>
      <c r="B36" s="810" t="s">
        <v>459</v>
      </c>
      <c r="C36" s="811">
        <v>7461.64</v>
      </c>
      <c r="D36" s="811">
        <v>7700</v>
      </c>
      <c r="E36" s="812">
        <v>7764.9</v>
      </c>
      <c r="F36" s="812">
        <v>9000</v>
      </c>
      <c r="G36" s="812">
        <v>6653.7</v>
      </c>
      <c r="H36" s="811">
        <v>8572.84</v>
      </c>
      <c r="I36" s="813">
        <v>6161.64</v>
      </c>
      <c r="J36" s="805"/>
      <c r="K36" s="806"/>
      <c r="L36" s="807"/>
    </row>
    <row r="37" spans="1:12" s="808" customFormat="1" ht="12.75" customHeight="1">
      <c r="A37" s="814">
        <v>30</v>
      </c>
      <c r="B37" s="810" t="s">
        <v>460</v>
      </c>
      <c r="C37" s="811">
        <v>1022.43</v>
      </c>
      <c r="D37" s="811">
        <v>1000</v>
      </c>
      <c r="E37" s="812">
        <v>50</v>
      </c>
      <c r="F37" s="812">
        <v>2022</v>
      </c>
      <c r="G37" s="812">
        <v>504.89</v>
      </c>
      <c r="H37" s="811">
        <v>567.54</v>
      </c>
      <c r="I37" s="813">
        <v>0.43</v>
      </c>
      <c r="J37" s="805"/>
      <c r="K37" s="806"/>
      <c r="L37" s="807"/>
    </row>
    <row r="38" spans="1:12" s="808" customFormat="1" ht="12.75" customHeight="1">
      <c r="A38" s="814">
        <v>31</v>
      </c>
      <c r="B38" s="810" t="s">
        <v>461</v>
      </c>
      <c r="C38" s="811">
        <v>4402</v>
      </c>
      <c r="D38" s="811">
        <v>20250</v>
      </c>
      <c r="E38" s="812">
        <v>20142.61</v>
      </c>
      <c r="F38" s="812">
        <v>22600</v>
      </c>
      <c r="G38" s="812">
        <v>22456.06</v>
      </c>
      <c r="H38" s="811">
        <v>2088.79</v>
      </c>
      <c r="I38" s="813">
        <v>2052</v>
      </c>
      <c r="J38" s="805"/>
      <c r="K38" s="806"/>
      <c r="L38" s="807"/>
    </row>
    <row r="39" spans="1:12" s="808" customFormat="1" ht="12.75" customHeight="1">
      <c r="A39" s="809">
        <v>32</v>
      </c>
      <c r="B39" s="810" t="s">
        <v>462</v>
      </c>
      <c r="C39" s="811">
        <v>37213.67</v>
      </c>
      <c r="D39" s="811">
        <v>58000</v>
      </c>
      <c r="E39" s="812">
        <v>41079.71</v>
      </c>
      <c r="F39" s="812">
        <v>78100</v>
      </c>
      <c r="G39" s="812">
        <v>49392.43</v>
      </c>
      <c r="H39" s="811">
        <v>28900.95</v>
      </c>
      <c r="I39" s="813">
        <v>17113.67</v>
      </c>
      <c r="J39" s="805"/>
      <c r="K39" s="806"/>
      <c r="L39" s="807"/>
    </row>
    <row r="40" spans="1:12" s="808" customFormat="1" ht="12.75" customHeight="1">
      <c r="A40" s="814">
        <v>33</v>
      </c>
      <c r="B40" s="810" t="s">
        <v>463</v>
      </c>
      <c r="C40" s="811">
        <v>43982.49</v>
      </c>
      <c r="D40" s="811">
        <v>48124</v>
      </c>
      <c r="E40" s="812">
        <v>48123.67</v>
      </c>
      <c r="F40" s="812">
        <v>75000</v>
      </c>
      <c r="G40" s="812">
        <v>70136.91</v>
      </c>
      <c r="H40" s="811">
        <v>21969.25</v>
      </c>
      <c r="I40" s="813">
        <v>17106.49</v>
      </c>
      <c r="J40" s="805"/>
      <c r="K40" s="806"/>
      <c r="L40" s="807"/>
    </row>
    <row r="41" spans="1:12" s="808" customFormat="1" ht="12.75" customHeight="1">
      <c r="A41" s="809">
        <v>34</v>
      </c>
      <c r="B41" s="810" t="s">
        <v>464</v>
      </c>
      <c r="C41" s="811">
        <v>9321.04</v>
      </c>
      <c r="D41" s="815">
        <v>6500</v>
      </c>
      <c r="E41" s="816">
        <v>8637.23</v>
      </c>
      <c r="F41" s="812">
        <v>10600</v>
      </c>
      <c r="G41" s="812">
        <v>8440.89</v>
      </c>
      <c r="H41" s="811">
        <v>9517.38</v>
      </c>
      <c r="I41" s="813">
        <v>5221.04</v>
      </c>
      <c r="J41" s="805"/>
      <c r="K41" s="806"/>
      <c r="L41" s="807"/>
    </row>
    <row r="42" spans="1:12" s="808" customFormat="1" ht="12.75" customHeight="1">
      <c r="A42" s="809">
        <v>35</v>
      </c>
      <c r="B42" s="810" t="s">
        <v>465</v>
      </c>
      <c r="C42" s="811">
        <v>650</v>
      </c>
      <c r="D42" s="815">
        <v>5600</v>
      </c>
      <c r="E42" s="816">
        <v>1590.58</v>
      </c>
      <c r="F42" s="812">
        <v>5500</v>
      </c>
      <c r="G42" s="812">
        <v>1000</v>
      </c>
      <c r="H42" s="811">
        <v>1240.77</v>
      </c>
      <c r="I42" s="813">
        <v>750</v>
      </c>
      <c r="J42" s="805"/>
      <c r="K42" s="806"/>
      <c r="L42" s="807"/>
    </row>
    <row r="43" spans="1:12" s="808" customFormat="1" ht="12.75" customHeight="1">
      <c r="A43" s="814">
        <v>36</v>
      </c>
      <c r="B43" s="810" t="s">
        <v>466</v>
      </c>
      <c r="C43" s="811">
        <v>2267</v>
      </c>
      <c r="D43" s="815">
        <v>9000</v>
      </c>
      <c r="E43" s="816">
        <v>6013.56</v>
      </c>
      <c r="F43" s="812">
        <v>9000</v>
      </c>
      <c r="G43" s="812">
        <v>4039.76</v>
      </c>
      <c r="H43" s="811">
        <v>4240.46</v>
      </c>
      <c r="I43" s="813">
        <v>2267</v>
      </c>
      <c r="J43" s="805"/>
      <c r="K43" s="806"/>
      <c r="L43" s="807"/>
    </row>
    <row r="44" spans="1:12" s="808" customFormat="1" ht="12.75" customHeight="1">
      <c r="A44" s="809">
        <v>37</v>
      </c>
      <c r="B44" s="810" t="s">
        <v>467</v>
      </c>
      <c r="C44" s="811">
        <v>19189.52</v>
      </c>
      <c r="D44" s="815">
        <v>61703</v>
      </c>
      <c r="E44" s="816">
        <v>50008.46</v>
      </c>
      <c r="F44" s="812">
        <v>66884</v>
      </c>
      <c r="G44" s="812">
        <v>62793.87</v>
      </c>
      <c r="H44" s="811">
        <v>6404.11</v>
      </c>
      <c r="I44" s="813">
        <v>14008.52</v>
      </c>
      <c r="J44" s="805"/>
      <c r="K44" s="806"/>
      <c r="L44" s="807"/>
    </row>
    <row r="45" spans="1:12" s="808" customFormat="1" ht="12.75" customHeight="1">
      <c r="A45" s="817">
        <v>38</v>
      </c>
      <c r="B45" s="810" t="s">
        <v>468</v>
      </c>
      <c r="C45" s="818">
        <v>26770.64</v>
      </c>
      <c r="D45" s="819">
        <v>76700</v>
      </c>
      <c r="E45" s="820">
        <v>60857.33</v>
      </c>
      <c r="F45" s="821">
        <v>77300</v>
      </c>
      <c r="G45" s="821">
        <v>67987.17</v>
      </c>
      <c r="H45" s="822">
        <v>19640.8</v>
      </c>
      <c r="I45" s="823">
        <v>26170.64</v>
      </c>
      <c r="J45" s="805"/>
      <c r="K45" s="806"/>
      <c r="L45" s="807"/>
    </row>
    <row r="46" spans="1:12" s="808" customFormat="1" ht="12.75" customHeight="1">
      <c r="A46" s="824"/>
      <c r="B46" s="825" t="s">
        <v>469</v>
      </c>
      <c r="C46" s="826">
        <f aca="true" t="shared" si="0" ref="C46:I46">SUM(C8:C45)</f>
        <v>432593.36</v>
      </c>
      <c r="D46" s="827">
        <f t="shared" si="0"/>
        <v>1391318</v>
      </c>
      <c r="E46" s="828">
        <f t="shared" si="0"/>
        <v>1090637.96</v>
      </c>
      <c r="F46" s="827">
        <f t="shared" si="0"/>
        <v>1540019</v>
      </c>
      <c r="G46" s="826">
        <f t="shared" si="0"/>
        <v>1200281.3499999999</v>
      </c>
      <c r="H46" s="826">
        <f t="shared" si="0"/>
        <v>322949.53</v>
      </c>
      <c r="I46" s="829">
        <f t="shared" si="0"/>
        <v>283893.42</v>
      </c>
      <c r="J46" s="805"/>
      <c r="K46" s="806"/>
      <c r="L46" s="807"/>
    </row>
    <row r="47" spans="1:12" s="808" customFormat="1" ht="12.75" customHeight="1">
      <c r="A47" s="830">
        <v>1</v>
      </c>
      <c r="B47" s="831" t="s">
        <v>470</v>
      </c>
      <c r="C47" s="832"/>
      <c r="D47" s="833">
        <v>5634</v>
      </c>
      <c r="E47" s="834">
        <v>13612.71</v>
      </c>
      <c r="F47" s="801">
        <v>5634</v>
      </c>
      <c r="G47" s="835">
        <v>2156.59</v>
      </c>
      <c r="H47" s="836">
        <v>11456.12</v>
      </c>
      <c r="I47" s="837"/>
      <c r="J47" s="805"/>
      <c r="K47" s="806"/>
      <c r="L47" s="807"/>
    </row>
    <row r="48" spans="1:12" s="808" customFormat="1" ht="12.75" customHeight="1">
      <c r="A48" s="838">
        <v>2</v>
      </c>
      <c r="B48" s="767" t="s">
        <v>471</v>
      </c>
      <c r="C48" s="839"/>
      <c r="D48" s="815">
        <v>3848</v>
      </c>
      <c r="E48" s="840">
        <v>3154.9</v>
      </c>
      <c r="F48" s="811">
        <v>2239</v>
      </c>
      <c r="G48" s="839">
        <v>716.61</v>
      </c>
      <c r="H48" s="841">
        <v>2438.29</v>
      </c>
      <c r="I48" s="842">
        <v>1609</v>
      </c>
      <c r="J48" s="805"/>
      <c r="K48" s="806"/>
      <c r="L48" s="807"/>
    </row>
    <row r="49" spans="1:12" s="808" customFormat="1" ht="12.75" customHeight="1">
      <c r="A49" s="838">
        <v>3</v>
      </c>
      <c r="B49" s="767" t="s">
        <v>472</v>
      </c>
      <c r="C49" s="839"/>
      <c r="D49" s="815">
        <v>37500</v>
      </c>
      <c r="E49" s="840">
        <v>17318.83</v>
      </c>
      <c r="F49" s="811">
        <v>35000</v>
      </c>
      <c r="G49" s="839">
        <v>9707.74</v>
      </c>
      <c r="H49" s="841">
        <v>7611.09</v>
      </c>
      <c r="I49" s="842">
        <v>2500</v>
      </c>
      <c r="J49" s="805"/>
      <c r="K49" s="806"/>
      <c r="L49" s="807"/>
    </row>
    <row r="50" spans="1:12" s="808" customFormat="1" ht="12.75" customHeight="1">
      <c r="A50" s="838">
        <v>4</v>
      </c>
      <c r="B50" s="767" t="s">
        <v>473</v>
      </c>
      <c r="C50" s="839"/>
      <c r="D50" s="815">
        <v>7300</v>
      </c>
      <c r="E50" s="840">
        <v>7188.8</v>
      </c>
      <c r="F50" s="811">
        <v>6000</v>
      </c>
      <c r="G50" s="839">
        <v>2893.93</v>
      </c>
      <c r="H50" s="841">
        <v>4294.87</v>
      </c>
      <c r="I50" s="842">
        <v>1300</v>
      </c>
      <c r="J50" s="805"/>
      <c r="K50" s="806"/>
      <c r="L50" s="807"/>
    </row>
    <row r="51" spans="1:12" s="808" customFormat="1" ht="12.75" customHeight="1">
      <c r="A51" s="838">
        <v>5</v>
      </c>
      <c r="B51" s="767" t="s">
        <v>474</v>
      </c>
      <c r="C51" s="839"/>
      <c r="D51" s="815">
        <v>9200</v>
      </c>
      <c r="E51" s="840">
        <v>8103.35</v>
      </c>
      <c r="F51" s="811">
        <v>9200</v>
      </c>
      <c r="G51" s="839">
        <v>7546.94</v>
      </c>
      <c r="H51" s="841">
        <v>556.41</v>
      </c>
      <c r="I51" s="842"/>
      <c r="J51" s="805"/>
      <c r="K51" s="806"/>
      <c r="L51" s="807"/>
    </row>
    <row r="52" spans="1:12" s="808" customFormat="1" ht="12.75" customHeight="1">
      <c r="A52" s="843">
        <v>6</v>
      </c>
      <c r="B52" s="762" t="s">
        <v>475</v>
      </c>
      <c r="C52" s="844">
        <v>14639</v>
      </c>
      <c r="D52" s="819">
        <v>23000</v>
      </c>
      <c r="E52" s="845">
        <v>33526.75</v>
      </c>
      <c r="F52" s="822">
        <v>23210</v>
      </c>
      <c r="G52" s="846">
        <v>15792.6</v>
      </c>
      <c r="H52" s="847">
        <v>32372.93</v>
      </c>
      <c r="I52" s="848">
        <v>14429</v>
      </c>
      <c r="J52" s="805"/>
      <c r="K52" s="806"/>
      <c r="L52" s="807"/>
    </row>
    <row r="53" spans="1:12" s="808" customFormat="1" ht="12.75" customHeight="1">
      <c r="A53" s="849"/>
      <c r="B53" s="825" t="s">
        <v>476</v>
      </c>
      <c r="C53" s="850">
        <f>SUM(C52)</f>
        <v>14639</v>
      </c>
      <c r="D53" s="826">
        <f aca="true" t="shared" si="1" ref="D53:I53">SUM(D47:D52)</f>
        <v>86482</v>
      </c>
      <c r="E53" s="826">
        <f t="shared" si="1"/>
        <v>82905.34</v>
      </c>
      <c r="F53" s="826">
        <f t="shared" si="1"/>
        <v>81283</v>
      </c>
      <c r="G53" s="826">
        <f t="shared" si="1"/>
        <v>38814.41</v>
      </c>
      <c r="H53" s="826">
        <f t="shared" si="1"/>
        <v>58729.71</v>
      </c>
      <c r="I53" s="851">
        <f t="shared" si="1"/>
        <v>19838</v>
      </c>
      <c r="J53" s="805"/>
      <c r="K53" s="806"/>
      <c r="L53" s="807"/>
    </row>
    <row r="54" spans="1:12" s="808" customFormat="1" ht="12.75" customHeight="1">
      <c r="A54" s="809">
        <v>1</v>
      </c>
      <c r="B54" s="810" t="s">
        <v>438</v>
      </c>
      <c r="C54" s="811"/>
      <c r="D54" s="812">
        <v>34000</v>
      </c>
      <c r="E54" s="852">
        <v>30850</v>
      </c>
      <c r="F54" s="812">
        <v>34000</v>
      </c>
      <c r="G54" s="812">
        <v>30850</v>
      </c>
      <c r="H54" s="816"/>
      <c r="I54" s="853"/>
      <c r="J54" s="805"/>
      <c r="K54" s="806"/>
      <c r="L54" s="807"/>
    </row>
    <row r="55" spans="1:12" s="808" customFormat="1" ht="12.75" customHeight="1">
      <c r="A55" s="854">
        <v>2</v>
      </c>
      <c r="B55" s="810" t="s">
        <v>449</v>
      </c>
      <c r="C55" s="811">
        <v>123</v>
      </c>
      <c r="D55" s="812">
        <v>14500</v>
      </c>
      <c r="E55" s="852">
        <v>11688</v>
      </c>
      <c r="F55" s="812">
        <v>14600</v>
      </c>
      <c r="G55" s="812">
        <v>11615</v>
      </c>
      <c r="H55" s="816">
        <v>197</v>
      </c>
      <c r="I55" s="853">
        <v>23</v>
      </c>
      <c r="J55" s="805"/>
      <c r="K55" s="806"/>
      <c r="L55" s="807"/>
    </row>
    <row r="56" spans="1:12" s="808" customFormat="1" ht="12.75" customHeight="1">
      <c r="A56" s="809">
        <v>3</v>
      </c>
      <c r="B56" s="810" t="s">
        <v>451</v>
      </c>
      <c r="C56" s="811"/>
      <c r="D56" s="812">
        <v>20000</v>
      </c>
      <c r="E56" s="852">
        <v>4700</v>
      </c>
      <c r="F56" s="812">
        <v>20000</v>
      </c>
      <c r="G56" s="812">
        <v>4700</v>
      </c>
      <c r="H56" s="816"/>
      <c r="I56" s="853"/>
      <c r="J56" s="855"/>
      <c r="K56" s="856"/>
      <c r="L56" s="857"/>
    </row>
    <row r="57" spans="1:12" s="808" customFormat="1" ht="12.75" customHeight="1">
      <c r="A57" s="814">
        <v>4</v>
      </c>
      <c r="B57" s="810" t="s">
        <v>467</v>
      </c>
      <c r="C57" s="818">
        <v>3617</v>
      </c>
      <c r="D57" s="858">
        <v>16460</v>
      </c>
      <c r="E57" s="859">
        <v>10322</v>
      </c>
      <c r="F57" s="858">
        <v>16460</v>
      </c>
      <c r="G57" s="858">
        <v>10276</v>
      </c>
      <c r="H57" s="860">
        <v>3662</v>
      </c>
      <c r="I57" s="861">
        <v>3617</v>
      </c>
      <c r="J57" s="855"/>
      <c r="K57" s="856"/>
      <c r="L57" s="857"/>
    </row>
    <row r="58" spans="1:12" s="808" customFormat="1" ht="12.75" customHeight="1">
      <c r="A58" s="824"/>
      <c r="B58" s="825" t="s">
        <v>477</v>
      </c>
      <c r="C58" s="862">
        <f aca="true" t="shared" si="2" ref="C58:I58">SUM(C54:C57)</f>
        <v>3740</v>
      </c>
      <c r="D58" s="863">
        <f t="shared" si="2"/>
        <v>84960</v>
      </c>
      <c r="E58" s="864">
        <f t="shared" si="2"/>
        <v>57560</v>
      </c>
      <c r="F58" s="865">
        <f t="shared" si="2"/>
        <v>85060</v>
      </c>
      <c r="G58" s="863">
        <f t="shared" si="2"/>
        <v>57441</v>
      </c>
      <c r="H58" s="865">
        <f t="shared" si="2"/>
        <v>3859</v>
      </c>
      <c r="I58" s="866">
        <f t="shared" si="2"/>
        <v>3640</v>
      </c>
      <c r="J58" s="805"/>
      <c r="K58" s="806"/>
      <c r="L58" s="807"/>
    </row>
    <row r="59" spans="1:12" s="808" customFormat="1" ht="12.75" customHeight="1">
      <c r="A59" s="867">
        <v>1</v>
      </c>
      <c r="B59" s="810" t="s">
        <v>431</v>
      </c>
      <c r="C59" s="868">
        <v>1266.12</v>
      </c>
      <c r="D59" s="868">
        <v>70000</v>
      </c>
      <c r="E59" s="869">
        <v>31124</v>
      </c>
      <c r="F59" s="870">
        <v>66000</v>
      </c>
      <c r="G59" s="871">
        <v>31350.22</v>
      </c>
      <c r="H59" s="872">
        <v>1040.4</v>
      </c>
      <c r="I59" s="873">
        <v>5266.12</v>
      </c>
      <c r="J59" s="805"/>
      <c r="K59" s="806"/>
      <c r="L59" s="807"/>
    </row>
    <row r="60" spans="1:12" s="808" customFormat="1" ht="12.75" customHeight="1">
      <c r="A60" s="809">
        <v>2</v>
      </c>
      <c r="B60" s="810" t="s">
        <v>432</v>
      </c>
      <c r="C60" s="874">
        <v>2329.48</v>
      </c>
      <c r="D60" s="874">
        <v>57935</v>
      </c>
      <c r="E60" s="875">
        <v>48821.11</v>
      </c>
      <c r="F60" s="876">
        <v>60192</v>
      </c>
      <c r="G60" s="877">
        <v>47404.19</v>
      </c>
      <c r="H60" s="878">
        <v>3746.4</v>
      </c>
      <c r="I60" s="879">
        <v>72.48</v>
      </c>
      <c r="J60" s="805"/>
      <c r="K60" s="806"/>
      <c r="L60" s="807"/>
    </row>
    <row r="61" spans="1:12" s="808" customFormat="1" ht="12.75" customHeight="1">
      <c r="A61" s="809">
        <v>3</v>
      </c>
      <c r="B61" s="810" t="s">
        <v>433</v>
      </c>
      <c r="C61" s="874">
        <v>4244.82</v>
      </c>
      <c r="D61" s="874">
        <v>46588</v>
      </c>
      <c r="E61" s="875">
        <v>21101.7</v>
      </c>
      <c r="F61" s="876">
        <v>48000</v>
      </c>
      <c r="G61" s="877">
        <v>20742.25</v>
      </c>
      <c r="H61" s="878">
        <v>4604.27</v>
      </c>
      <c r="I61" s="879">
        <v>2832.82</v>
      </c>
      <c r="J61" s="805"/>
      <c r="K61" s="806"/>
      <c r="L61" s="807"/>
    </row>
    <row r="62" spans="1:12" s="808" customFormat="1" ht="12.75" customHeight="1">
      <c r="A62" s="809">
        <v>4</v>
      </c>
      <c r="B62" s="810" t="s">
        <v>434</v>
      </c>
      <c r="C62" s="874">
        <v>2240.59</v>
      </c>
      <c r="D62" s="874">
        <v>66100</v>
      </c>
      <c r="E62" s="875">
        <v>51859</v>
      </c>
      <c r="F62" s="876">
        <v>51100</v>
      </c>
      <c r="G62" s="877">
        <v>51075.72</v>
      </c>
      <c r="H62" s="878">
        <v>3023.87</v>
      </c>
      <c r="I62" s="879">
        <v>17240.59</v>
      </c>
      <c r="J62" s="805"/>
      <c r="K62" s="806"/>
      <c r="L62" s="807"/>
    </row>
    <row r="63" spans="1:12" s="808" customFormat="1" ht="12.75" customHeight="1">
      <c r="A63" s="809">
        <v>5</v>
      </c>
      <c r="B63" s="810" t="s">
        <v>435</v>
      </c>
      <c r="C63" s="874">
        <v>4042</v>
      </c>
      <c r="D63" s="874">
        <v>40100</v>
      </c>
      <c r="E63" s="875">
        <v>25848.66</v>
      </c>
      <c r="F63" s="876">
        <v>39100</v>
      </c>
      <c r="G63" s="877">
        <v>24543.17</v>
      </c>
      <c r="H63" s="878">
        <v>5347.3</v>
      </c>
      <c r="I63" s="879">
        <v>5042</v>
      </c>
      <c r="J63" s="805"/>
      <c r="K63" s="806"/>
      <c r="L63" s="807"/>
    </row>
    <row r="64" spans="1:12" s="808" customFormat="1" ht="12.75" customHeight="1">
      <c r="A64" s="809">
        <v>6</v>
      </c>
      <c r="B64" s="810" t="s">
        <v>436</v>
      </c>
      <c r="C64" s="874">
        <v>9185</v>
      </c>
      <c r="D64" s="874">
        <v>102000</v>
      </c>
      <c r="E64" s="875">
        <v>80961.04</v>
      </c>
      <c r="F64" s="876">
        <v>104000</v>
      </c>
      <c r="G64" s="876">
        <v>82004.39</v>
      </c>
      <c r="H64" s="878">
        <v>8141.64</v>
      </c>
      <c r="I64" s="879">
        <v>7185</v>
      </c>
      <c r="J64" s="805"/>
      <c r="K64" s="806"/>
      <c r="L64" s="807"/>
    </row>
    <row r="65" spans="1:12" s="808" customFormat="1" ht="12.75" customHeight="1">
      <c r="A65" s="809">
        <v>7</v>
      </c>
      <c r="B65" s="810" t="s">
        <v>437</v>
      </c>
      <c r="C65" s="874">
        <v>84.87</v>
      </c>
      <c r="D65" s="874">
        <v>35000</v>
      </c>
      <c r="E65" s="875">
        <v>31034.46</v>
      </c>
      <c r="F65" s="876">
        <v>34500</v>
      </c>
      <c r="G65" s="876">
        <v>30864.91</v>
      </c>
      <c r="H65" s="878">
        <v>254.42</v>
      </c>
      <c r="I65" s="879">
        <v>584.87</v>
      </c>
      <c r="J65" s="805"/>
      <c r="K65" s="806"/>
      <c r="L65" s="807"/>
    </row>
    <row r="66" spans="1:12" s="808" customFormat="1" ht="12.75" customHeight="1">
      <c r="A66" s="809">
        <v>8</v>
      </c>
      <c r="B66" s="810" t="s">
        <v>438</v>
      </c>
      <c r="C66" s="874">
        <v>1573</v>
      </c>
      <c r="D66" s="874">
        <v>90000</v>
      </c>
      <c r="E66" s="875">
        <v>87605.64</v>
      </c>
      <c r="F66" s="876">
        <v>89573</v>
      </c>
      <c r="G66" s="876">
        <v>86487.61</v>
      </c>
      <c r="H66" s="878">
        <v>2691.17</v>
      </c>
      <c r="I66" s="879">
        <v>2000</v>
      </c>
      <c r="J66" s="805"/>
      <c r="K66" s="806"/>
      <c r="L66" s="807"/>
    </row>
    <row r="67" spans="1:12" s="808" customFormat="1" ht="12.75" customHeight="1">
      <c r="A67" s="809">
        <v>9</v>
      </c>
      <c r="B67" s="810" t="s">
        <v>439</v>
      </c>
      <c r="C67" s="874">
        <v>3965.16</v>
      </c>
      <c r="D67" s="874">
        <v>55176</v>
      </c>
      <c r="E67" s="875">
        <v>44014.62</v>
      </c>
      <c r="F67" s="876">
        <v>56151</v>
      </c>
      <c r="G67" s="876">
        <v>45286.2</v>
      </c>
      <c r="H67" s="878">
        <v>2693.58</v>
      </c>
      <c r="I67" s="879">
        <v>2990.16</v>
      </c>
      <c r="J67" s="805"/>
      <c r="K67" s="806"/>
      <c r="L67" s="807"/>
    </row>
    <row r="68" spans="1:12" s="808" customFormat="1" ht="12.75" customHeight="1">
      <c r="A68" s="809">
        <v>10</v>
      </c>
      <c r="B68" s="810" t="s">
        <v>440</v>
      </c>
      <c r="C68" s="874">
        <v>5267.12</v>
      </c>
      <c r="D68" s="874">
        <v>94070</v>
      </c>
      <c r="E68" s="875">
        <v>80118.4</v>
      </c>
      <c r="F68" s="876">
        <v>92000</v>
      </c>
      <c r="G68" s="876">
        <v>81309.23</v>
      </c>
      <c r="H68" s="878">
        <v>4076.29</v>
      </c>
      <c r="I68" s="879">
        <v>7337.12</v>
      </c>
      <c r="J68" s="805"/>
      <c r="K68" s="806"/>
      <c r="L68" s="807"/>
    </row>
    <row r="69" spans="1:12" s="808" customFormat="1" ht="12.75" customHeight="1">
      <c r="A69" s="809">
        <v>11</v>
      </c>
      <c r="B69" s="810" t="s">
        <v>441</v>
      </c>
      <c r="C69" s="874">
        <v>8073</v>
      </c>
      <c r="D69" s="874">
        <v>54500</v>
      </c>
      <c r="E69" s="875">
        <v>62218.15</v>
      </c>
      <c r="F69" s="876">
        <v>56000</v>
      </c>
      <c r="G69" s="876">
        <v>63941.72</v>
      </c>
      <c r="H69" s="878">
        <v>6349.46</v>
      </c>
      <c r="I69" s="879">
        <v>6573</v>
      </c>
      <c r="J69" s="805"/>
      <c r="K69" s="806"/>
      <c r="L69" s="807"/>
    </row>
    <row r="70" spans="1:12" s="808" customFormat="1" ht="12.75" customHeight="1">
      <c r="A70" s="809">
        <v>12</v>
      </c>
      <c r="B70" s="810" t="s">
        <v>442</v>
      </c>
      <c r="C70" s="874">
        <v>26989.22</v>
      </c>
      <c r="D70" s="874">
        <v>176000</v>
      </c>
      <c r="E70" s="875">
        <v>160931.14</v>
      </c>
      <c r="F70" s="876">
        <v>180000</v>
      </c>
      <c r="G70" s="876">
        <v>175336.5</v>
      </c>
      <c r="H70" s="878">
        <v>12583.86</v>
      </c>
      <c r="I70" s="879">
        <v>22989.22</v>
      </c>
      <c r="J70" s="805"/>
      <c r="K70" s="806"/>
      <c r="L70" s="807"/>
    </row>
    <row r="71" spans="1:12" s="808" customFormat="1" ht="12.75" customHeight="1">
      <c r="A71" s="809">
        <v>13</v>
      </c>
      <c r="B71" s="810" t="s">
        <v>443</v>
      </c>
      <c r="C71" s="874">
        <v>2367.61</v>
      </c>
      <c r="D71" s="874">
        <v>47500</v>
      </c>
      <c r="E71" s="875">
        <v>37995.28</v>
      </c>
      <c r="F71" s="876">
        <v>48500</v>
      </c>
      <c r="G71" s="876">
        <v>36793.7</v>
      </c>
      <c r="H71" s="878">
        <v>3569.19</v>
      </c>
      <c r="I71" s="879">
        <v>1367.61</v>
      </c>
      <c r="J71" s="805"/>
      <c r="K71" s="806"/>
      <c r="L71" s="807"/>
    </row>
    <row r="72" spans="1:12" s="808" customFormat="1" ht="12.75" customHeight="1">
      <c r="A72" s="809">
        <v>14</v>
      </c>
      <c r="B72" s="810" t="s">
        <v>444</v>
      </c>
      <c r="C72" s="874">
        <v>1108.89</v>
      </c>
      <c r="D72" s="874">
        <v>52500</v>
      </c>
      <c r="E72" s="875">
        <v>43438.91</v>
      </c>
      <c r="F72" s="876">
        <v>52700</v>
      </c>
      <c r="G72" s="876">
        <v>44327.8</v>
      </c>
      <c r="H72" s="878">
        <v>220</v>
      </c>
      <c r="I72" s="879">
        <v>908.89</v>
      </c>
      <c r="J72" s="805"/>
      <c r="K72" s="806"/>
      <c r="L72" s="807"/>
    </row>
    <row r="73" spans="1:12" s="808" customFormat="1" ht="12.75" customHeight="1">
      <c r="A73" s="809">
        <v>15</v>
      </c>
      <c r="B73" s="810" t="s">
        <v>445</v>
      </c>
      <c r="C73" s="874">
        <v>3337</v>
      </c>
      <c r="D73" s="874">
        <v>125400</v>
      </c>
      <c r="E73" s="875">
        <v>114994.69</v>
      </c>
      <c r="F73" s="876">
        <v>123000</v>
      </c>
      <c r="G73" s="876">
        <v>114482.51</v>
      </c>
      <c r="H73" s="878">
        <v>3849.23</v>
      </c>
      <c r="I73" s="879">
        <v>5737</v>
      </c>
      <c r="J73" s="805"/>
      <c r="K73" s="806"/>
      <c r="L73" s="807"/>
    </row>
    <row r="74" spans="1:12" s="808" customFormat="1" ht="12.75" customHeight="1">
      <c r="A74" s="809">
        <v>16</v>
      </c>
      <c r="B74" s="810" t="s">
        <v>446</v>
      </c>
      <c r="C74" s="874">
        <v>9587.31</v>
      </c>
      <c r="D74" s="874">
        <v>49500</v>
      </c>
      <c r="E74" s="880">
        <v>29783.7</v>
      </c>
      <c r="F74" s="881">
        <v>51000</v>
      </c>
      <c r="G74" s="881">
        <v>27050.82</v>
      </c>
      <c r="H74" s="878">
        <v>12320.19</v>
      </c>
      <c r="I74" s="879">
        <v>8087.31</v>
      </c>
      <c r="J74" s="805"/>
      <c r="K74" s="806"/>
      <c r="L74" s="807"/>
    </row>
    <row r="75" spans="1:12" s="808" customFormat="1" ht="12.75" customHeight="1">
      <c r="A75" s="809">
        <v>17</v>
      </c>
      <c r="B75" s="810" t="s">
        <v>447</v>
      </c>
      <c r="C75" s="874">
        <v>3183</v>
      </c>
      <c r="D75" s="874">
        <v>68798</v>
      </c>
      <c r="E75" s="882">
        <v>52671.1</v>
      </c>
      <c r="F75" s="877">
        <v>69298</v>
      </c>
      <c r="G75" s="877">
        <v>54691.97</v>
      </c>
      <c r="H75" s="878">
        <v>1162.46</v>
      </c>
      <c r="I75" s="879">
        <v>2683</v>
      </c>
      <c r="J75" s="883"/>
      <c r="K75" s="884"/>
      <c r="L75" s="885"/>
    </row>
    <row r="76" spans="1:12" s="808" customFormat="1" ht="12.75" customHeight="1">
      <c r="A76" s="809">
        <v>18</v>
      </c>
      <c r="B76" s="810" t="s">
        <v>448</v>
      </c>
      <c r="C76" s="874">
        <v>12586</v>
      </c>
      <c r="D76" s="874">
        <v>60798</v>
      </c>
      <c r="E76" s="886">
        <v>64581.9</v>
      </c>
      <c r="F76" s="887">
        <v>63024</v>
      </c>
      <c r="G76" s="887">
        <v>62874.62</v>
      </c>
      <c r="H76" s="878">
        <v>14292.97</v>
      </c>
      <c r="I76" s="879">
        <v>10360</v>
      </c>
      <c r="J76" s="805"/>
      <c r="K76" s="806"/>
      <c r="L76" s="807"/>
    </row>
    <row r="77" spans="1:12" s="808" customFormat="1" ht="12.75" customHeight="1">
      <c r="A77" s="809">
        <v>19</v>
      </c>
      <c r="B77" s="810" t="s">
        <v>449</v>
      </c>
      <c r="C77" s="874">
        <v>2096.98</v>
      </c>
      <c r="D77" s="874">
        <v>60000</v>
      </c>
      <c r="E77" s="882">
        <v>45693.82</v>
      </c>
      <c r="F77" s="877">
        <v>61000</v>
      </c>
      <c r="G77" s="877">
        <v>43791.52</v>
      </c>
      <c r="H77" s="878">
        <v>3999.28</v>
      </c>
      <c r="I77" s="879">
        <v>1096.98</v>
      </c>
      <c r="J77" s="805"/>
      <c r="K77" s="806"/>
      <c r="L77" s="807"/>
    </row>
    <row r="78" spans="1:12" s="808" customFormat="1" ht="12.75" customHeight="1">
      <c r="A78" s="809">
        <v>20</v>
      </c>
      <c r="B78" s="810" t="s">
        <v>450</v>
      </c>
      <c r="C78" s="874">
        <v>466.8</v>
      </c>
      <c r="D78" s="874">
        <v>68000</v>
      </c>
      <c r="E78" s="886">
        <v>57183</v>
      </c>
      <c r="F78" s="887">
        <v>67000</v>
      </c>
      <c r="G78" s="887">
        <v>57111.71</v>
      </c>
      <c r="H78" s="878">
        <v>537.58</v>
      </c>
      <c r="I78" s="879">
        <v>1466.8</v>
      </c>
      <c r="J78" s="805"/>
      <c r="K78" s="806"/>
      <c r="L78" s="807"/>
    </row>
    <row r="79" spans="1:12" s="808" customFormat="1" ht="12.75" customHeight="1">
      <c r="A79" s="809">
        <v>21</v>
      </c>
      <c r="B79" s="810" t="s">
        <v>451</v>
      </c>
      <c r="C79" s="874">
        <v>148</v>
      </c>
      <c r="D79" s="874">
        <v>40000</v>
      </c>
      <c r="E79" s="882">
        <v>35379.4</v>
      </c>
      <c r="F79" s="877">
        <v>40000</v>
      </c>
      <c r="G79" s="877">
        <v>35011.4</v>
      </c>
      <c r="H79" s="878">
        <v>516.13</v>
      </c>
      <c r="I79" s="879">
        <v>148</v>
      </c>
      <c r="J79" s="805"/>
      <c r="K79" s="806"/>
      <c r="L79" s="807"/>
    </row>
    <row r="80" spans="1:12" s="808" customFormat="1" ht="12.75" customHeight="1">
      <c r="A80" s="809">
        <v>22</v>
      </c>
      <c r="B80" s="810" t="s">
        <v>452</v>
      </c>
      <c r="C80" s="874">
        <v>3880</v>
      </c>
      <c r="D80" s="874">
        <v>69000</v>
      </c>
      <c r="E80" s="882">
        <v>52199.17</v>
      </c>
      <c r="F80" s="877">
        <v>70000</v>
      </c>
      <c r="G80" s="877">
        <v>51859.1</v>
      </c>
      <c r="H80" s="878">
        <v>4220.51</v>
      </c>
      <c r="I80" s="879">
        <v>2880</v>
      </c>
      <c r="J80" s="805"/>
      <c r="K80" s="806"/>
      <c r="L80" s="807"/>
    </row>
    <row r="81" spans="1:12" s="808" customFormat="1" ht="12.75" customHeight="1">
      <c r="A81" s="809">
        <v>23</v>
      </c>
      <c r="B81" s="810" t="s">
        <v>453</v>
      </c>
      <c r="C81" s="874">
        <v>3682.38</v>
      </c>
      <c r="D81" s="874">
        <v>56797</v>
      </c>
      <c r="E81" s="882">
        <v>51873</v>
      </c>
      <c r="F81" s="877">
        <v>58000</v>
      </c>
      <c r="G81" s="877">
        <v>52193.34</v>
      </c>
      <c r="H81" s="878">
        <v>3362.54</v>
      </c>
      <c r="I81" s="879">
        <v>2479.38</v>
      </c>
      <c r="J81" s="805"/>
      <c r="K81" s="806"/>
      <c r="L81" s="807"/>
    </row>
    <row r="82" spans="1:12" s="808" customFormat="1" ht="12.75" customHeight="1">
      <c r="A82" s="809">
        <v>24</v>
      </c>
      <c r="B82" s="810" t="s">
        <v>454</v>
      </c>
      <c r="C82" s="874">
        <v>54788</v>
      </c>
      <c r="D82" s="874">
        <v>147400</v>
      </c>
      <c r="E82" s="888">
        <v>75307</v>
      </c>
      <c r="F82" s="889">
        <v>169400</v>
      </c>
      <c r="G82" s="889">
        <v>72775.06</v>
      </c>
      <c r="H82" s="878">
        <v>57319.72</v>
      </c>
      <c r="I82" s="879">
        <v>32788</v>
      </c>
      <c r="J82" s="805"/>
      <c r="K82" s="806"/>
      <c r="L82" s="807"/>
    </row>
    <row r="83" spans="1:12" s="808" customFormat="1" ht="12.75" customHeight="1">
      <c r="A83" s="809">
        <v>25</v>
      </c>
      <c r="B83" s="810" t="s">
        <v>455</v>
      </c>
      <c r="C83" s="874">
        <v>2803.92</v>
      </c>
      <c r="D83" s="874">
        <v>63000</v>
      </c>
      <c r="E83" s="882">
        <v>62583.3</v>
      </c>
      <c r="F83" s="877">
        <v>63000</v>
      </c>
      <c r="G83" s="877">
        <v>62104.5</v>
      </c>
      <c r="H83" s="878">
        <v>3282.72</v>
      </c>
      <c r="I83" s="879">
        <v>2803.92</v>
      </c>
      <c r="J83" s="805"/>
      <c r="K83" s="806"/>
      <c r="L83" s="807"/>
    </row>
    <row r="84" spans="1:12" s="808" customFormat="1" ht="12.75" customHeight="1">
      <c r="A84" s="809">
        <v>26</v>
      </c>
      <c r="B84" s="810" t="s">
        <v>456</v>
      </c>
      <c r="C84" s="874">
        <v>17493</v>
      </c>
      <c r="D84" s="874">
        <v>80000</v>
      </c>
      <c r="E84" s="882">
        <v>49667</v>
      </c>
      <c r="F84" s="877">
        <v>80700</v>
      </c>
      <c r="G84" s="877">
        <v>53665.67</v>
      </c>
      <c r="H84" s="878">
        <v>13494.26</v>
      </c>
      <c r="I84" s="879">
        <v>16793</v>
      </c>
      <c r="J84" s="805"/>
      <c r="K84" s="806"/>
      <c r="L84" s="807"/>
    </row>
    <row r="85" spans="1:12" s="808" customFormat="1" ht="12.75" customHeight="1">
      <c r="A85" s="809">
        <v>27</v>
      </c>
      <c r="B85" s="810" t="s">
        <v>457</v>
      </c>
      <c r="C85" s="874">
        <v>629</v>
      </c>
      <c r="D85" s="874">
        <v>88842</v>
      </c>
      <c r="E85" s="882">
        <v>66614.4</v>
      </c>
      <c r="F85" s="877">
        <v>88742</v>
      </c>
      <c r="G85" s="877">
        <v>66081.07</v>
      </c>
      <c r="H85" s="878">
        <v>1161.88</v>
      </c>
      <c r="I85" s="879">
        <v>729</v>
      </c>
      <c r="J85" s="805"/>
      <c r="K85" s="806"/>
      <c r="L85" s="807"/>
    </row>
    <row r="86" spans="1:12" s="808" customFormat="1" ht="12.75" customHeight="1">
      <c r="A86" s="809">
        <v>28</v>
      </c>
      <c r="B86" s="810" t="s">
        <v>478</v>
      </c>
      <c r="C86" s="874">
        <v>3969</v>
      </c>
      <c r="D86" s="874">
        <v>51000</v>
      </c>
      <c r="E86" s="882">
        <v>53139.28</v>
      </c>
      <c r="F86" s="877">
        <v>51350</v>
      </c>
      <c r="G86" s="877">
        <v>49427.64</v>
      </c>
      <c r="H86" s="878">
        <v>7681.03</v>
      </c>
      <c r="I86" s="879">
        <v>3619</v>
      </c>
      <c r="J86" s="805"/>
      <c r="K86" s="806"/>
      <c r="L86" s="807"/>
    </row>
    <row r="87" spans="1:12" s="808" customFormat="1" ht="12.75" customHeight="1">
      <c r="A87" s="809">
        <v>29</v>
      </c>
      <c r="B87" s="810" t="s">
        <v>459</v>
      </c>
      <c r="C87" s="874">
        <v>11340.11</v>
      </c>
      <c r="D87" s="874">
        <v>111500</v>
      </c>
      <c r="E87" s="882">
        <v>79035.09</v>
      </c>
      <c r="F87" s="877">
        <v>120000</v>
      </c>
      <c r="G87" s="877">
        <v>86075.22</v>
      </c>
      <c r="H87" s="878">
        <v>4299.98</v>
      </c>
      <c r="I87" s="879">
        <v>2840.11</v>
      </c>
      <c r="J87" s="805"/>
      <c r="K87" s="806"/>
      <c r="L87" s="807"/>
    </row>
    <row r="88" spans="1:12" s="808" customFormat="1" ht="12.75" customHeight="1">
      <c r="A88" s="809">
        <v>30</v>
      </c>
      <c r="B88" s="810" t="s">
        <v>460</v>
      </c>
      <c r="C88" s="874">
        <v>3598.17</v>
      </c>
      <c r="D88" s="874">
        <v>100700</v>
      </c>
      <c r="E88" s="882">
        <v>78061</v>
      </c>
      <c r="F88" s="877">
        <v>102700</v>
      </c>
      <c r="G88" s="877">
        <v>81071.23</v>
      </c>
      <c r="H88" s="878">
        <v>587.42</v>
      </c>
      <c r="I88" s="879">
        <v>1598.17</v>
      </c>
      <c r="J88" s="805"/>
      <c r="K88" s="806"/>
      <c r="L88" s="807"/>
    </row>
    <row r="89" spans="1:12" s="808" customFormat="1" ht="12.75" customHeight="1">
      <c r="A89" s="809">
        <v>31</v>
      </c>
      <c r="B89" s="810" t="s">
        <v>461</v>
      </c>
      <c r="C89" s="874">
        <v>5818</v>
      </c>
      <c r="D89" s="874">
        <v>94758</v>
      </c>
      <c r="E89" s="882">
        <v>74178.93</v>
      </c>
      <c r="F89" s="877">
        <v>96230</v>
      </c>
      <c r="G89" s="877">
        <v>73875.05</v>
      </c>
      <c r="H89" s="878">
        <v>6121.95</v>
      </c>
      <c r="I89" s="879">
        <v>4346</v>
      </c>
      <c r="J89" s="805"/>
      <c r="K89" s="806"/>
      <c r="L89" s="807"/>
    </row>
    <row r="90" spans="1:12" s="808" customFormat="1" ht="12.75" customHeight="1">
      <c r="A90" s="809">
        <v>32</v>
      </c>
      <c r="B90" s="810" t="s">
        <v>462</v>
      </c>
      <c r="C90" s="874">
        <v>17871.1</v>
      </c>
      <c r="D90" s="874">
        <v>90000</v>
      </c>
      <c r="E90" s="882">
        <v>85021.4</v>
      </c>
      <c r="F90" s="877">
        <v>95000</v>
      </c>
      <c r="G90" s="877">
        <v>92627.78</v>
      </c>
      <c r="H90" s="878">
        <v>10264.72</v>
      </c>
      <c r="I90" s="879">
        <v>12871.1</v>
      </c>
      <c r="J90" s="805"/>
      <c r="K90" s="806"/>
      <c r="L90" s="807"/>
    </row>
    <row r="91" spans="1:12" s="808" customFormat="1" ht="12.75" customHeight="1">
      <c r="A91" s="809">
        <v>33</v>
      </c>
      <c r="B91" s="810" t="s">
        <v>463</v>
      </c>
      <c r="C91" s="874">
        <v>28155.81</v>
      </c>
      <c r="D91" s="874">
        <v>105000</v>
      </c>
      <c r="E91" s="882">
        <v>79289.9</v>
      </c>
      <c r="F91" s="877">
        <v>110000</v>
      </c>
      <c r="G91" s="877">
        <v>70021.42</v>
      </c>
      <c r="H91" s="878">
        <v>37424.29</v>
      </c>
      <c r="I91" s="879">
        <v>23155.81</v>
      </c>
      <c r="J91" s="805"/>
      <c r="K91" s="806"/>
      <c r="L91" s="807"/>
    </row>
    <row r="92" spans="1:12" s="808" customFormat="1" ht="12.75" customHeight="1">
      <c r="A92" s="809">
        <v>34</v>
      </c>
      <c r="B92" s="810" t="s">
        <v>464</v>
      </c>
      <c r="C92" s="874">
        <v>3175.77</v>
      </c>
      <c r="D92" s="874">
        <v>59293</v>
      </c>
      <c r="E92" s="882">
        <v>45087.27</v>
      </c>
      <c r="F92" s="877">
        <v>58328</v>
      </c>
      <c r="G92" s="877">
        <v>44139.54</v>
      </c>
      <c r="H92" s="878">
        <v>4123.5</v>
      </c>
      <c r="I92" s="879">
        <v>4140.77</v>
      </c>
      <c r="J92" s="805"/>
      <c r="K92" s="806"/>
      <c r="L92" s="807"/>
    </row>
    <row r="93" spans="1:12" s="808" customFormat="1" ht="12.75" customHeight="1">
      <c r="A93" s="809">
        <v>35</v>
      </c>
      <c r="B93" s="810" t="s">
        <v>465</v>
      </c>
      <c r="C93" s="874">
        <v>4342</v>
      </c>
      <c r="D93" s="874">
        <v>103000</v>
      </c>
      <c r="E93" s="882">
        <v>66079.7</v>
      </c>
      <c r="F93" s="877">
        <v>100860</v>
      </c>
      <c r="G93" s="877">
        <v>68076.77</v>
      </c>
      <c r="H93" s="878">
        <v>2344.75</v>
      </c>
      <c r="I93" s="879">
        <v>6482</v>
      </c>
      <c r="J93" s="805"/>
      <c r="K93" s="806"/>
      <c r="L93" s="807"/>
    </row>
    <row r="94" spans="1:12" s="808" customFormat="1" ht="12.75" customHeight="1">
      <c r="A94" s="809">
        <v>36</v>
      </c>
      <c r="B94" s="810" t="s">
        <v>466</v>
      </c>
      <c r="C94" s="874">
        <v>210</v>
      </c>
      <c r="D94" s="874">
        <v>124200</v>
      </c>
      <c r="E94" s="888">
        <v>111488.37</v>
      </c>
      <c r="F94" s="889">
        <v>124000</v>
      </c>
      <c r="G94" s="889">
        <v>111501.93</v>
      </c>
      <c r="H94" s="878">
        <v>196.45</v>
      </c>
      <c r="I94" s="879">
        <v>410</v>
      </c>
      <c r="J94" s="805"/>
      <c r="K94" s="806"/>
      <c r="L94" s="807"/>
    </row>
    <row r="95" spans="1:12" s="808" customFormat="1" ht="12.75" customHeight="1">
      <c r="A95" s="809">
        <v>37</v>
      </c>
      <c r="B95" s="810" t="s">
        <v>467</v>
      </c>
      <c r="C95" s="874">
        <v>20780.84</v>
      </c>
      <c r="D95" s="874">
        <v>150631</v>
      </c>
      <c r="E95" s="882">
        <v>113022.94</v>
      </c>
      <c r="F95" s="877">
        <v>150519</v>
      </c>
      <c r="G95" s="877">
        <v>121854.57</v>
      </c>
      <c r="H95" s="878">
        <v>11949.21</v>
      </c>
      <c r="I95" s="879">
        <v>20892.84</v>
      </c>
      <c r="J95" s="805"/>
      <c r="K95" s="806"/>
      <c r="L95" s="807"/>
    </row>
    <row r="96" spans="1:12" s="808" customFormat="1" ht="12.75" customHeight="1">
      <c r="A96" s="809">
        <v>38</v>
      </c>
      <c r="B96" s="810" t="s">
        <v>468</v>
      </c>
      <c r="C96" s="890">
        <v>901.85</v>
      </c>
      <c r="D96" s="874">
        <v>115000</v>
      </c>
      <c r="E96" s="882">
        <v>65406.1</v>
      </c>
      <c r="F96" s="877">
        <v>115000</v>
      </c>
      <c r="G96" s="877">
        <v>66298.89</v>
      </c>
      <c r="H96" s="891">
        <v>9.06</v>
      </c>
      <c r="I96" s="892">
        <v>901.85</v>
      </c>
      <c r="J96" s="805"/>
      <c r="K96" s="806"/>
      <c r="L96" s="807"/>
    </row>
    <row r="97" spans="1:12" s="808" customFormat="1" ht="12.75" customHeight="1">
      <c r="A97" s="817">
        <v>39</v>
      </c>
      <c r="B97" s="893" t="s">
        <v>479</v>
      </c>
      <c r="C97" s="878">
        <v>16591.82</v>
      </c>
      <c r="D97" s="894">
        <v>51000</v>
      </c>
      <c r="E97" s="895">
        <v>33326.31</v>
      </c>
      <c r="F97" s="894">
        <v>60000</v>
      </c>
      <c r="G97" s="894">
        <v>47059.15</v>
      </c>
      <c r="H97" s="878">
        <v>2858.98</v>
      </c>
      <c r="I97" s="896">
        <v>7592</v>
      </c>
      <c r="J97" s="805"/>
      <c r="K97" s="806"/>
      <c r="L97" s="807"/>
    </row>
    <row r="98" spans="1:12" s="808" customFormat="1" ht="12.75" customHeight="1">
      <c r="A98" s="824"/>
      <c r="B98" s="825" t="s">
        <v>480</v>
      </c>
      <c r="C98" s="897">
        <f aca="true" t="shared" si="3" ref="C98:I98">SUM(C59:C97)</f>
        <v>304172.74</v>
      </c>
      <c r="D98" s="897">
        <f t="shared" si="3"/>
        <v>3121086</v>
      </c>
      <c r="E98" s="898">
        <f t="shared" si="3"/>
        <v>2448739.88</v>
      </c>
      <c r="F98" s="897">
        <f t="shared" si="3"/>
        <v>3165967</v>
      </c>
      <c r="G98" s="897">
        <f t="shared" si="3"/>
        <v>2487190.09</v>
      </c>
      <c r="H98" s="899">
        <f t="shared" si="3"/>
        <v>265722.6600000001</v>
      </c>
      <c r="I98" s="900">
        <f t="shared" si="3"/>
        <v>259291.92</v>
      </c>
      <c r="J98" s="805"/>
      <c r="K98" s="806"/>
      <c r="L98" s="807"/>
    </row>
    <row r="99" spans="1:12" s="735" customFormat="1" ht="12.75" customHeight="1">
      <c r="A99" s="867">
        <v>1</v>
      </c>
      <c r="B99" s="901" t="s">
        <v>262</v>
      </c>
      <c r="C99" s="902">
        <v>14185</v>
      </c>
      <c r="D99" s="902">
        <v>116250</v>
      </c>
      <c r="E99" s="903">
        <v>119625</v>
      </c>
      <c r="F99" s="902">
        <v>129700</v>
      </c>
      <c r="G99" s="902">
        <v>110240</v>
      </c>
      <c r="H99" s="904">
        <v>23570</v>
      </c>
      <c r="I99" s="905">
        <v>735</v>
      </c>
      <c r="J99" s="906"/>
      <c r="K99" s="768"/>
      <c r="L99" s="907"/>
    </row>
    <row r="100" spans="1:12" s="735" customFormat="1" ht="12.75" customHeight="1">
      <c r="A100" s="809">
        <v>2</v>
      </c>
      <c r="B100" s="767" t="s">
        <v>263</v>
      </c>
      <c r="C100" s="908">
        <v>16464</v>
      </c>
      <c r="D100" s="908">
        <v>42000</v>
      </c>
      <c r="E100" s="909">
        <v>30878</v>
      </c>
      <c r="F100" s="908">
        <v>42000</v>
      </c>
      <c r="G100" s="908">
        <v>26935</v>
      </c>
      <c r="H100" s="910">
        <v>20407</v>
      </c>
      <c r="I100" s="911">
        <v>16464</v>
      </c>
      <c r="J100" s="906"/>
      <c r="K100" s="768"/>
      <c r="L100" s="907"/>
    </row>
    <row r="101" spans="1:12" s="735" customFormat="1" ht="12.75" customHeight="1">
      <c r="A101" s="809">
        <v>3</v>
      </c>
      <c r="B101" s="767" t="s">
        <v>149</v>
      </c>
      <c r="C101" s="908">
        <v>255371</v>
      </c>
      <c r="D101" s="908">
        <v>830898</v>
      </c>
      <c r="E101" s="909">
        <v>741853</v>
      </c>
      <c r="F101" s="908">
        <v>820158</v>
      </c>
      <c r="G101" s="908">
        <v>650842</v>
      </c>
      <c r="H101" s="910">
        <v>346382</v>
      </c>
      <c r="I101" s="911">
        <v>266111</v>
      </c>
      <c r="J101" s="906"/>
      <c r="K101" s="768"/>
      <c r="L101" s="907"/>
    </row>
    <row r="102" spans="1:12" s="735" customFormat="1" ht="12.75" customHeight="1">
      <c r="A102" s="809">
        <v>4</v>
      </c>
      <c r="B102" s="767" t="s">
        <v>150</v>
      </c>
      <c r="C102" s="908">
        <v>8619</v>
      </c>
      <c r="D102" s="908">
        <v>500</v>
      </c>
      <c r="E102" s="909">
        <v>449</v>
      </c>
      <c r="F102" s="908">
        <v>2200</v>
      </c>
      <c r="G102" s="908">
        <v>2132</v>
      </c>
      <c r="H102" s="910">
        <v>6935</v>
      </c>
      <c r="I102" s="911">
        <v>6919</v>
      </c>
      <c r="J102" s="906"/>
      <c r="K102" s="768"/>
      <c r="L102" s="907"/>
    </row>
    <row r="103" spans="1:12" s="735" customFormat="1" ht="12.75" customHeight="1">
      <c r="A103" s="809">
        <v>5</v>
      </c>
      <c r="B103" s="767" t="s">
        <v>261</v>
      </c>
      <c r="C103" s="908">
        <v>14088</v>
      </c>
      <c r="D103" s="908">
        <v>3800</v>
      </c>
      <c r="E103" s="909">
        <v>5138</v>
      </c>
      <c r="F103" s="908">
        <v>16800</v>
      </c>
      <c r="G103" s="908">
        <v>7462</v>
      </c>
      <c r="H103" s="910">
        <v>11764</v>
      </c>
      <c r="I103" s="911">
        <v>1088</v>
      </c>
      <c r="J103" s="906"/>
      <c r="K103" s="768"/>
      <c r="L103" s="907"/>
    </row>
    <row r="104" spans="1:12" s="735" customFormat="1" ht="12.75" customHeight="1">
      <c r="A104" s="809">
        <v>6</v>
      </c>
      <c r="B104" s="767" t="s">
        <v>152</v>
      </c>
      <c r="C104" s="908">
        <v>3718</v>
      </c>
      <c r="D104" s="908">
        <v>27100</v>
      </c>
      <c r="E104" s="909">
        <v>19510</v>
      </c>
      <c r="F104" s="908">
        <v>30477</v>
      </c>
      <c r="G104" s="908">
        <v>20721</v>
      </c>
      <c r="H104" s="910">
        <v>2507</v>
      </c>
      <c r="I104" s="911">
        <v>341</v>
      </c>
      <c r="J104" s="906"/>
      <c r="K104" s="768"/>
      <c r="L104" s="907"/>
    </row>
    <row r="105" spans="1:12" s="735" customFormat="1" ht="12.75" customHeight="1">
      <c r="A105" s="809">
        <v>7</v>
      </c>
      <c r="B105" s="767" t="s">
        <v>259</v>
      </c>
      <c r="C105" s="908">
        <v>11134</v>
      </c>
      <c r="D105" s="908">
        <v>3220</v>
      </c>
      <c r="E105" s="909">
        <v>3125</v>
      </c>
      <c r="F105" s="908">
        <v>12354</v>
      </c>
      <c r="G105" s="908">
        <v>9784</v>
      </c>
      <c r="H105" s="910">
        <v>4475</v>
      </c>
      <c r="I105" s="911">
        <v>2000</v>
      </c>
      <c r="J105" s="906"/>
      <c r="K105" s="768"/>
      <c r="L105" s="907"/>
    </row>
    <row r="106" spans="1:12" s="735" customFormat="1" ht="12.75" customHeight="1">
      <c r="A106" s="809">
        <v>8</v>
      </c>
      <c r="B106" s="767" t="s">
        <v>260</v>
      </c>
      <c r="C106" s="908">
        <v>732</v>
      </c>
      <c r="D106" s="908">
        <v>12200</v>
      </c>
      <c r="E106" s="909">
        <v>11360</v>
      </c>
      <c r="F106" s="908">
        <v>12500</v>
      </c>
      <c r="G106" s="908">
        <v>8625</v>
      </c>
      <c r="H106" s="910">
        <v>3468</v>
      </c>
      <c r="I106" s="911">
        <v>432</v>
      </c>
      <c r="J106" s="906"/>
      <c r="K106" s="768"/>
      <c r="L106" s="907"/>
    </row>
    <row r="107" spans="1:12" s="735" customFormat="1" ht="12.75" customHeight="1">
      <c r="A107" s="809">
        <v>9</v>
      </c>
      <c r="B107" s="767" t="s">
        <v>159</v>
      </c>
      <c r="C107" s="908">
        <v>74975</v>
      </c>
      <c r="D107" s="908">
        <v>55000</v>
      </c>
      <c r="E107" s="909">
        <v>85771</v>
      </c>
      <c r="F107" s="908">
        <v>111300</v>
      </c>
      <c r="G107" s="908">
        <v>104976</v>
      </c>
      <c r="H107" s="910">
        <v>55769</v>
      </c>
      <c r="I107" s="911">
        <v>18675</v>
      </c>
      <c r="J107" s="906"/>
      <c r="K107" s="768"/>
      <c r="L107" s="907"/>
    </row>
    <row r="108" spans="1:12" s="735" customFormat="1" ht="12.75" customHeight="1">
      <c r="A108" s="912">
        <v>10</v>
      </c>
      <c r="B108" s="767" t="s">
        <v>160</v>
      </c>
      <c r="C108" s="908">
        <v>10813</v>
      </c>
      <c r="D108" s="908">
        <v>105000</v>
      </c>
      <c r="E108" s="909">
        <v>6719</v>
      </c>
      <c r="F108" s="908">
        <v>108000</v>
      </c>
      <c r="G108" s="908">
        <v>16627</v>
      </c>
      <c r="H108" s="910">
        <v>906</v>
      </c>
      <c r="I108" s="911">
        <v>7813</v>
      </c>
      <c r="J108" s="906"/>
      <c r="K108" s="768"/>
      <c r="L108" s="907"/>
    </row>
    <row r="109" spans="1:12" s="808" customFormat="1" ht="12.75" customHeight="1" thickBot="1">
      <c r="A109" s="913"/>
      <c r="B109" s="914" t="s">
        <v>481</v>
      </c>
      <c r="C109" s="915">
        <f aca="true" t="shared" si="4" ref="C109:I109">SUM(C99:C108)</f>
        <v>410099</v>
      </c>
      <c r="D109" s="915">
        <f t="shared" si="4"/>
        <v>1195968</v>
      </c>
      <c r="E109" s="916">
        <f t="shared" si="4"/>
        <v>1024428</v>
      </c>
      <c r="F109" s="915">
        <f t="shared" si="4"/>
        <v>1285489</v>
      </c>
      <c r="G109" s="915">
        <f t="shared" si="4"/>
        <v>958344</v>
      </c>
      <c r="H109" s="917">
        <f t="shared" si="4"/>
        <v>476183</v>
      </c>
      <c r="I109" s="918">
        <f t="shared" si="4"/>
        <v>320578</v>
      </c>
      <c r="J109" s="919"/>
      <c r="K109" s="920"/>
      <c r="L109" s="921"/>
    </row>
    <row r="110" spans="1:12" s="735" customFormat="1" ht="12.75" customHeight="1">
      <c r="A110" s="867">
        <v>1</v>
      </c>
      <c r="B110" s="901" t="s">
        <v>482</v>
      </c>
      <c r="C110" s="902">
        <v>24282</v>
      </c>
      <c r="D110" s="902">
        <v>262000</v>
      </c>
      <c r="E110" s="903">
        <v>238828</v>
      </c>
      <c r="F110" s="902">
        <v>277000</v>
      </c>
      <c r="G110" s="902">
        <v>257174</v>
      </c>
      <c r="H110" s="904">
        <v>5935</v>
      </c>
      <c r="I110" s="905">
        <v>9282</v>
      </c>
      <c r="J110" s="906"/>
      <c r="K110" s="768"/>
      <c r="L110" s="907"/>
    </row>
    <row r="111" spans="1:12" s="735" customFormat="1" ht="12.75" customHeight="1">
      <c r="A111" s="809">
        <v>2</v>
      </c>
      <c r="B111" s="767" t="s">
        <v>187</v>
      </c>
      <c r="C111" s="908">
        <v>39827</v>
      </c>
      <c r="D111" s="908">
        <v>230400</v>
      </c>
      <c r="E111" s="909">
        <v>140654</v>
      </c>
      <c r="F111" s="908">
        <v>239600</v>
      </c>
      <c r="G111" s="908">
        <v>106861.82</v>
      </c>
      <c r="H111" s="910">
        <v>73620</v>
      </c>
      <c r="I111" s="911">
        <v>30627</v>
      </c>
      <c r="J111" s="906"/>
      <c r="K111" s="768"/>
      <c r="L111" s="907"/>
    </row>
    <row r="112" spans="1:12" s="735" customFormat="1" ht="12.75" customHeight="1">
      <c r="A112" s="809">
        <v>3</v>
      </c>
      <c r="B112" s="767" t="s">
        <v>483</v>
      </c>
      <c r="C112" s="908">
        <v>0</v>
      </c>
      <c r="D112" s="908">
        <v>110000</v>
      </c>
      <c r="E112" s="909">
        <v>121930</v>
      </c>
      <c r="F112" s="908">
        <v>110000</v>
      </c>
      <c r="G112" s="908">
        <v>48062</v>
      </c>
      <c r="H112" s="910">
        <v>73868</v>
      </c>
      <c r="I112" s="911">
        <v>0</v>
      </c>
      <c r="J112" s="906"/>
      <c r="K112" s="768"/>
      <c r="L112" s="907"/>
    </row>
    <row r="113" spans="1:12" s="808" customFormat="1" ht="12.75" customHeight="1" thickBot="1">
      <c r="A113" s="913"/>
      <c r="B113" s="914" t="s">
        <v>484</v>
      </c>
      <c r="C113" s="915">
        <f aca="true" t="shared" si="5" ref="C113:I113">SUM(C110:C112)</f>
        <v>64109</v>
      </c>
      <c r="D113" s="915">
        <f t="shared" si="5"/>
        <v>602400</v>
      </c>
      <c r="E113" s="916">
        <f t="shared" si="5"/>
        <v>501412</v>
      </c>
      <c r="F113" s="915">
        <f t="shared" si="5"/>
        <v>626600</v>
      </c>
      <c r="G113" s="915">
        <f t="shared" si="5"/>
        <v>412097.82</v>
      </c>
      <c r="H113" s="917">
        <f t="shared" si="5"/>
        <v>153423</v>
      </c>
      <c r="I113" s="918">
        <f t="shared" si="5"/>
        <v>39909</v>
      </c>
      <c r="J113" s="919"/>
      <c r="K113" s="920"/>
      <c r="L113" s="921"/>
    </row>
    <row r="114" spans="1:12" s="735" customFormat="1" ht="12.75" customHeight="1">
      <c r="A114" s="867">
        <v>1</v>
      </c>
      <c r="B114" s="901" t="s">
        <v>485</v>
      </c>
      <c r="C114" s="902">
        <v>111</v>
      </c>
      <c r="D114" s="902">
        <v>9000</v>
      </c>
      <c r="E114" s="903">
        <v>10026</v>
      </c>
      <c r="F114" s="902">
        <v>7200</v>
      </c>
      <c r="G114" s="902">
        <v>5864</v>
      </c>
      <c r="H114" s="904">
        <v>4273</v>
      </c>
      <c r="I114" s="905">
        <v>1911</v>
      </c>
      <c r="J114" s="906"/>
      <c r="K114" s="768"/>
      <c r="L114" s="907"/>
    </row>
    <row r="115" spans="1:12" s="735" customFormat="1" ht="12.75" customHeight="1">
      <c r="A115" s="809">
        <v>2</v>
      </c>
      <c r="B115" s="767" t="s">
        <v>187</v>
      </c>
      <c r="C115" s="908">
        <v>11631</v>
      </c>
      <c r="D115" s="908">
        <v>27000</v>
      </c>
      <c r="E115" s="909">
        <v>23625</v>
      </c>
      <c r="F115" s="908">
        <v>30394</v>
      </c>
      <c r="G115" s="908">
        <v>28166</v>
      </c>
      <c r="H115" s="910">
        <v>7089</v>
      </c>
      <c r="I115" s="911">
        <v>8237</v>
      </c>
      <c r="J115" s="906"/>
      <c r="K115" s="768"/>
      <c r="L115" s="907"/>
    </row>
    <row r="116" spans="1:12" s="735" customFormat="1" ht="12.75" customHeight="1">
      <c r="A116" s="809">
        <v>3</v>
      </c>
      <c r="B116" s="767" t="s">
        <v>486</v>
      </c>
      <c r="C116" s="908">
        <v>51698</v>
      </c>
      <c r="D116" s="908">
        <v>105000</v>
      </c>
      <c r="E116" s="909">
        <v>67485</v>
      </c>
      <c r="F116" s="908">
        <v>114000</v>
      </c>
      <c r="G116" s="908">
        <v>92931</v>
      </c>
      <c r="H116" s="910">
        <v>26252.63</v>
      </c>
      <c r="I116" s="911">
        <v>42698</v>
      </c>
      <c r="J116" s="906"/>
      <c r="K116" s="768"/>
      <c r="L116" s="907"/>
    </row>
    <row r="117" spans="1:12" s="735" customFormat="1" ht="12.75" customHeight="1">
      <c r="A117" s="809">
        <v>4</v>
      </c>
      <c r="B117" s="767" t="s">
        <v>487</v>
      </c>
      <c r="C117" s="908">
        <v>11357</v>
      </c>
      <c r="D117" s="908">
        <v>104700</v>
      </c>
      <c r="E117" s="909">
        <v>82764</v>
      </c>
      <c r="F117" s="908">
        <v>105000</v>
      </c>
      <c r="G117" s="908">
        <v>87828</v>
      </c>
      <c r="H117" s="910">
        <v>6292</v>
      </c>
      <c r="I117" s="911">
        <v>11057</v>
      </c>
      <c r="J117" s="906"/>
      <c r="K117" s="768"/>
      <c r="L117" s="907"/>
    </row>
    <row r="118" spans="1:12" s="735" customFormat="1" ht="12.75" customHeight="1">
      <c r="A118" s="809">
        <v>5</v>
      </c>
      <c r="B118" s="767" t="s">
        <v>167</v>
      </c>
      <c r="C118" s="908">
        <v>7366</v>
      </c>
      <c r="D118" s="908">
        <v>20600</v>
      </c>
      <c r="E118" s="909">
        <v>17180</v>
      </c>
      <c r="F118" s="908">
        <v>21400</v>
      </c>
      <c r="G118" s="908">
        <v>20423</v>
      </c>
      <c r="H118" s="910">
        <v>4124</v>
      </c>
      <c r="I118" s="911">
        <v>6566</v>
      </c>
      <c r="J118" s="906"/>
      <c r="K118" s="768"/>
      <c r="L118" s="907"/>
    </row>
    <row r="119" spans="1:12" s="735" customFormat="1" ht="12.75" customHeight="1">
      <c r="A119" s="809">
        <v>6</v>
      </c>
      <c r="B119" s="767" t="s">
        <v>488</v>
      </c>
      <c r="C119" s="908">
        <v>0</v>
      </c>
      <c r="D119" s="908">
        <v>0</v>
      </c>
      <c r="E119" s="909">
        <v>0</v>
      </c>
      <c r="F119" s="908">
        <v>0</v>
      </c>
      <c r="G119" s="908">
        <v>0</v>
      </c>
      <c r="H119" s="910">
        <v>0</v>
      </c>
      <c r="I119" s="911">
        <v>0</v>
      </c>
      <c r="J119" s="906"/>
      <c r="K119" s="768"/>
      <c r="L119" s="907"/>
    </row>
    <row r="120" spans="1:12" s="735" customFormat="1" ht="12.75" customHeight="1">
      <c r="A120" s="809">
        <v>7</v>
      </c>
      <c r="B120" s="767" t="s">
        <v>164</v>
      </c>
      <c r="C120" s="908">
        <v>5847</v>
      </c>
      <c r="D120" s="908">
        <v>29950</v>
      </c>
      <c r="E120" s="909">
        <v>27064</v>
      </c>
      <c r="F120" s="908">
        <v>29950</v>
      </c>
      <c r="G120" s="908">
        <v>18362</v>
      </c>
      <c r="H120" s="910">
        <v>14549</v>
      </c>
      <c r="I120" s="911">
        <v>5847</v>
      </c>
      <c r="J120" s="906"/>
      <c r="K120" s="768"/>
      <c r="L120" s="907"/>
    </row>
    <row r="121" spans="1:12" s="735" customFormat="1" ht="12.75" customHeight="1">
      <c r="A121" s="817">
        <v>8</v>
      </c>
      <c r="B121" s="767" t="s">
        <v>489</v>
      </c>
      <c r="C121" s="908">
        <v>11481</v>
      </c>
      <c r="D121" s="908">
        <v>66000</v>
      </c>
      <c r="E121" s="909">
        <v>35821</v>
      </c>
      <c r="F121" s="908">
        <v>66800</v>
      </c>
      <c r="G121" s="908">
        <v>45985</v>
      </c>
      <c r="H121" s="910">
        <v>1317</v>
      </c>
      <c r="I121" s="911">
        <v>10681</v>
      </c>
      <c r="J121" s="906"/>
      <c r="K121" s="768"/>
      <c r="L121" s="907"/>
    </row>
    <row r="122" spans="1:12" s="735" customFormat="1" ht="12.75" customHeight="1">
      <c r="A122" s="912">
        <v>9</v>
      </c>
      <c r="B122" s="767" t="s">
        <v>490</v>
      </c>
      <c r="C122" s="908">
        <v>55039</v>
      </c>
      <c r="D122" s="908">
        <v>95000</v>
      </c>
      <c r="E122" s="909">
        <v>118991</v>
      </c>
      <c r="F122" s="908">
        <v>120000</v>
      </c>
      <c r="G122" s="908">
        <v>95998</v>
      </c>
      <c r="H122" s="910">
        <v>78032</v>
      </c>
      <c r="I122" s="911">
        <v>30039</v>
      </c>
      <c r="J122" s="906"/>
      <c r="K122" s="768"/>
      <c r="L122" s="907"/>
    </row>
    <row r="123" spans="1:12" s="735" customFormat="1" ht="12.75" customHeight="1">
      <c r="A123" s="913"/>
      <c r="B123" s="914" t="s">
        <v>491</v>
      </c>
      <c r="C123" s="915">
        <f aca="true" t="shared" si="6" ref="C123:I123">SUM(C114:C122)</f>
        <v>154530</v>
      </c>
      <c r="D123" s="915">
        <f t="shared" si="6"/>
        <v>457250</v>
      </c>
      <c r="E123" s="916">
        <f t="shared" si="6"/>
        <v>382956</v>
      </c>
      <c r="F123" s="915">
        <f t="shared" si="6"/>
        <v>494744</v>
      </c>
      <c r="G123" s="915">
        <f t="shared" si="6"/>
        <v>395557</v>
      </c>
      <c r="H123" s="917">
        <f t="shared" si="6"/>
        <v>141928.63</v>
      </c>
      <c r="I123" s="918">
        <f t="shared" si="6"/>
        <v>117036</v>
      </c>
      <c r="J123" s="906"/>
      <c r="K123" s="768"/>
      <c r="L123" s="907"/>
    </row>
    <row r="124" spans="1:12" s="735" customFormat="1" ht="12.75" customHeight="1">
      <c r="A124" s="867">
        <v>1</v>
      </c>
      <c r="B124" s="901" t="s">
        <v>492</v>
      </c>
      <c r="C124" s="902">
        <v>38714</v>
      </c>
      <c r="D124" s="902">
        <v>66000</v>
      </c>
      <c r="E124" s="903">
        <v>49537</v>
      </c>
      <c r="F124" s="902">
        <v>103500</v>
      </c>
      <c r="G124" s="902">
        <v>49580</v>
      </c>
      <c r="H124" s="904">
        <v>38671</v>
      </c>
      <c r="I124" s="905">
        <v>1214</v>
      </c>
      <c r="J124" s="906"/>
      <c r="K124" s="768"/>
      <c r="L124" s="907"/>
    </row>
    <row r="125" spans="1:12" s="735" customFormat="1" ht="12.75" customHeight="1">
      <c r="A125" s="912">
        <v>2</v>
      </c>
      <c r="B125" s="922" t="s">
        <v>493</v>
      </c>
      <c r="C125" s="923"/>
      <c r="D125" s="923"/>
      <c r="E125" s="924"/>
      <c r="F125" s="923"/>
      <c r="G125" s="923"/>
      <c r="H125" s="925"/>
      <c r="I125" s="926"/>
      <c r="J125" s="906"/>
      <c r="K125" s="768"/>
      <c r="L125" s="907"/>
    </row>
    <row r="126" spans="1:12" s="735" customFormat="1" ht="12.75" customHeight="1">
      <c r="A126" s="913"/>
      <c r="B126" s="914" t="s">
        <v>494</v>
      </c>
      <c r="C126" s="915">
        <f aca="true" t="shared" si="7" ref="C126:I126">SUM(C124:C125)</f>
        <v>38714</v>
      </c>
      <c r="D126" s="915">
        <f t="shared" si="7"/>
        <v>66000</v>
      </c>
      <c r="E126" s="916">
        <f t="shared" si="7"/>
        <v>49537</v>
      </c>
      <c r="F126" s="915">
        <f t="shared" si="7"/>
        <v>103500</v>
      </c>
      <c r="G126" s="915">
        <f t="shared" si="7"/>
        <v>49580</v>
      </c>
      <c r="H126" s="917">
        <f t="shared" si="7"/>
        <v>38671</v>
      </c>
      <c r="I126" s="918">
        <f t="shared" si="7"/>
        <v>1214</v>
      </c>
      <c r="J126" s="906"/>
      <c r="K126" s="768"/>
      <c r="L126" s="907"/>
    </row>
    <row r="127" spans="1:12" s="932" customFormat="1" ht="12.75" customHeight="1">
      <c r="A127" s="867">
        <v>1</v>
      </c>
      <c r="B127" s="800" t="s">
        <v>495</v>
      </c>
      <c r="C127" s="902">
        <v>6319</v>
      </c>
      <c r="D127" s="902">
        <v>13500</v>
      </c>
      <c r="E127" s="927">
        <v>11587</v>
      </c>
      <c r="F127" s="902">
        <v>12000</v>
      </c>
      <c r="G127" s="902">
        <v>10843</v>
      </c>
      <c r="H127" s="928">
        <v>7062</v>
      </c>
      <c r="I127" s="905">
        <v>7819</v>
      </c>
      <c r="J127" s="929"/>
      <c r="K127" s="930"/>
      <c r="L127" s="931"/>
    </row>
    <row r="128" spans="1:12" s="932" customFormat="1" ht="12.75" customHeight="1">
      <c r="A128" s="912">
        <v>2</v>
      </c>
      <c r="B128" s="933" t="s">
        <v>496</v>
      </c>
      <c r="C128" s="934">
        <v>2180</v>
      </c>
      <c r="D128" s="935">
        <v>4250</v>
      </c>
      <c r="E128" s="936">
        <v>4042</v>
      </c>
      <c r="F128" s="934">
        <v>6430</v>
      </c>
      <c r="G128" s="934">
        <v>6223</v>
      </c>
      <c r="H128" s="937">
        <v>0</v>
      </c>
      <c r="I128" s="938">
        <v>0</v>
      </c>
      <c r="J128" s="929"/>
      <c r="K128" s="930"/>
      <c r="L128" s="931"/>
    </row>
    <row r="129" spans="1:12" s="932" customFormat="1" ht="12.75" customHeight="1">
      <c r="A129" s="939"/>
      <c r="B129" s="825" t="s">
        <v>497</v>
      </c>
      <c r="C129" s="940">
        <f aca="true" t="shared" si="8" ref="C129:I129">SUM(C127:C128)</f>
        <v>8499</v>
      </c>
      <c r="D129" s="940">
        <f t="shared" si="8"/>
        <v>17750</v>
      </c>
      <c r="E129" s="941">
        <f t="shared" si="8"/>
        <v>15629</v>
      </c>
      <c r="F129" s="940">
        <f t="shared" si="8"/>
        <v>18430</v>
      </c>
      <c r="G129" s="940">
        <f t="shared" si="8"/>
        <v>17066</v>
      </c>
      <c r="H129" s="917">
        <f t="shared" si="8"/>
        <v>7062</v>
      </c>
      <c r="I129" s="942">
        <f t="shared" si="8"/>
        <v>7819</v>
      </c>
      <c r="J129" s="929"/>
      <c r="K129" s="930"/>
      <c r="L129" s="931"/>
    </row>
    <row r="130" spans="1:12" s="932" customFormat="1" ht="12.75" customHeight="1">
      <c r="A130" s="913"/>
      <c r="B130" s="943" t="s">
        <v>508</v>
      </c>
      <c r="C130" s="940">
        <v>20504</v>
      </c>
      <c r="D130" s="940">
        <v>93000</v>
      </c>
      <c r="E130" s="941">
        <v>86985</v>
      </c>
      <c r="F130" s="940">
        <v>97000</v>
      </c>
      <c r="G130" s="940">
        <v>80865</v>
      </c>
      <c r="H130" s="917">
        <v>26624</v>
      </c>
      <c r="I130" s="942">
        <v>16504</v>
      </c>
      <c r="J130" s="929"/>
      <c r="K130" s="930"/>
      <c r="L130" s="931"/>
    </row>
    <row r="131" spans="1:12" s="932" customFormat="1" ht="12.75" customHeight="1">
      <c r="A131" s="867">
        <v>1</v>
      </c>
      <c r="B131" s="944" t="s">
        <v>498</v>
      </c>
      <c r="C131" s="945">
        <v>80</v>
      </c>
      <c r="D131" s="945">
        <v>230</v>
      </c>
      <c r="E131" s="946">
        <v>52</v>
      </c>
      <c r="F131" s="945">
        <v>150</v>
      </c>
      <c r="G131" s="945">
        <v>0</v>
      </c>
      <c r="H131" s="947">
        <v>132.3</v>
      </c>
      <c r="I131" s="948">
        <v>160</v>
      </c>
      <c r="J131" s="929"/>
      <c r="K131" s="930"/>
      <c r="L131" s="931"/>
    </row>
    <row r="132" spans="1:12" s="932" customFormat="1" ht="12.75" customHeight="1">
      <c r="A132" s="809">
        <v>2</v>
      </c>
      <c r="B132" s="944" t="s">
        <v>499</v>
      </c>
      <c r="C132" s="908">
        <v>360</v>
      </c>
      <c r="D132" s="908">
        <v>110</v>
      </c>
      <c r="E132" s="909">
        <v>4</v>
      </c>
      <c r="F132" s="908">
        <v>362</v>
      </c>
      <c r="G132" s="908">
        <v>316</v>
      </c>
      <c r="H132" s="910">
        <v>48</v>
      </c>
      <c r="I132" s="911">
        <v>108</v>
      </c>
      <c r="J132" s="929"/>
      <c r="K132" s="930"/>
      <c r="L132" s="931"/>
    </row>
    <row r="133" spans="1:12" s="932" customFormat="1" ht="12.75" customHeight="1">
      <c r="A133" s="912">
        <v>3</v>
      </c>
      <c r="B133" s="933" t="s">
        <v>500</v>
      </c>
      <c r="C133" s="934">
        <v>61</v>
      </c>
      <c r="D133" s="934">
        <v>210</v>
      </c>
      <c r="E133" s="949">
        <v>1001</v>
      </c>
      <c r="F133" s="934">
        <v>200</v>
      </c>
      <c r="G133" s="934">
        <v>0</v>
      </c>
      <c r="H133" s="950">
        <v>1062</v>
      </c>
      <c r="I133" s="938">
        <v>71</v>
      </c>
      <c r="J133" s="929"/>
      <c r="K133" s="930"/>
      <c r="L133" s="931"/>
    </row>
    <row r="134" spans="1:12" s="932" customFormat="1" ht="12.75" customHeight="1">
      <c r="A134" s="939"/>
      <c r="B134" s="825" t="s">
        <v>501</v>
      </c>
      <c r="C134" s="940">
        <f aca="true" t="shared" si="9" ref="C134:I134">SUM(C131:C133)</f>
        <v>501</v>
      </c>
      <c r="D134" s="940">
        <f t="shared" si="9"/>
        <v>550</v>
      </c>
      <c r="E134" s="941">
        <f t="shared" si="9"/>
        <v>1057</v>
      </c>
      <c r="F134" s="940">
        <f t="shared" si="9"/>
        <v>712</v>
      </c>
      <c r="G134" s="940">
        <f t="shared" si="9"/>
        <v>316</v>
      </c>
      <c r="H134" s="917">
        <f t="shared" si="9"/>
        <v>1242.3</v>
      </c>
      <c r="I134" s="942">
        <f t="shared" si="9"/>
        <v>339</v>
      </c>
      <c r="J134" s="929"/>
      <c r="K134" s="930"/>
      <c r="L134" s="931"/>
    </row>
    <row r="135" spans="1:12" s="932" customFormat="1" ht="12.75" customHeight="1">
      <c r="A135" s="854">
        <v>1</v>
      </c>
      <c r="B135" s="944" t="s">
        <v>502</v>
      </c>
      <c r="C135" s="945">
        <v>3081</v>
      </c>
      <c r="D135" s="935">
        <v>33100</v>
      </c>
      <c r="E135" s="946">
        <v>28931</v>
      </c>
      <c r="F135" s="945">
        <v>35000</v>
      </c>
      <c r="G135" s="945">
        <v>24665</v>
      </c>
      <c r="H135" s="947">
        <v>7346</v>
      </c>
      <c r="I135" s="948">
        <v>1181</v>
      </c>
      <c r="J135" s="929"/>
      <c r="K135" s="930"/>
      <c r="L135" s="931"/>
    </row>
    <row r="136" spans="1:12" s="932" customFormat="1" ht="12.75" customHeight="1">
      <c r="A136" s="817">
        <v>2</v>
      </c>
      <c r="B136" s="933" t="s">
        <v>503</v>
      </c>
      <c r="C136" s="934">
        <v>46283</v>
      </c>
      <c r="D136" s="934">
        <v>42000</v>
      </c>
      <c r="E136" s="949">
        <v>32131</v>
      </c>
      <c r="F136" s="934">
        <v>45000</v>
      </c>
      <c r="G136" s="934">
        <v>20142</v>
      </c>
      <c r="H136" s="950">
        <v>58273</v>
      </c>
      <c r="I136" s="938">
        <v>43283</v>
      </c>
      <c r="J136" s="929"/>
      <c r="K136" s="930"/>
      <c r="L136" s="931"/>
    </row>
    <row r="137" spans="1:12" s="932" customFormat="1" ht="12.75" customHeight="1">
      <c r="A137" s="939"/>
      <c r="B137" s="825" t="s">
        <v>504</v>
      </c>
      <c r="C137" s="940">
        <f aca="true" t="shared" si="10" ref="C137:I137">SUM(C135:C136)</f>
        <v>49364</v>
      </c>
      <c r="D137" s="940">
        <f t="shared" si="10"/>
        <v>75100</v>
      </c>
      <c r="E137" s="941">
        <f t="shared" si="10"/>
        <v>61062</v>
      </c>
      <c r="F137" s="940">
        <f t="shared" si="10"/>
        <v>80000</v>
      </c>
      <c r="G137" s="940">
        <f t="shared" si="10"/>
        <v>44807</v>
      </c>
      <c r="H137" s="917">
        <f t="shared" si="10"/>
        <v>65619</v>
      </c>
      <c r="I137" s="942">
        <f t="shared" si="10"/>
        <v>44464</v>
      </c>
      <c r="J137" s="929"/>
      <c r="K137" s="930"/>
      <c r="L137" s="931"/>
    </row>
    <row r="138" spans="1:12" s="932" customFormat="1" ht="12.75" customHeight="1">
      <c r="A138" s="854">
        <v>1</v>
      </c>
      <c r="B138" s="944" t="s">
        <v>505</v>
      </c>
      <c r="C138" s="945">
        <v>4974</v>
      </c>
      <c r="D138" s="945">
        <v>7226</v>
      </c>
      <c r="E138" s="946">
        <v>7727</v>
      </c>
      <c r="F138" s="945">
        <v>10200</v>
      </c>
      <c r="G138" s="945">
        <v>5467</v>
      </c>
      <c r="H138" s="947">
        <v>7234</v>
      </c>
      <c r="I138" s="948">
        <v>2000</v>
      </c>
      <c r="J138" s="929"/>
      <c r="K138" s="930"/>
      <c r="L138" s="931"/>
    </row>
    <row r="139" spans="1:12" s="932" customFormat="1" ht="12.75" customHeight="1">
      <c r="A139" s="817">
        <v>2</v>
      </c>
      <c r="B139" s="951" t="s">
        <v>506</v>
      </c>
      <c r="C139" s="934">
        <v>16174</v>
      </c>
      <c r="D139" s="934">
        <v>94617</v>
      </c>
      <c r="E139" s="949">
        <v>94616</v>
      </c>
      <c r="F139" s="934">
        <v>100500</v>
      </c>
      <c r="G139" s="934">
        <v>100499</v>
      </c>
      <c r="H139" s="950">
        <v>10291</v>
      </c>
      <c r="I139" s="938">
        <v>10291</v>
      </c>
      <c r="J139" s="929"/>
      <c r="K139" s="930"/>
      <c r="L139" s="931"/>
    </row>
    <row r="140" spans="1:12" s="932" customFormat="1" ht="12.75" customHeight="1">
      <c r="A140" s="939"/>
      <c r="B140" s="825" t="s">
        <v>507</v>
      </c>
      <c r="C140" s="940">
        <f aca="true" t="shared" si="11" ref="C140:I140">SUM(C138:C139)</f>
        <v>21148</v>
      </c>
      <c r="D140" s="940">
        <f t="shared" si="11"/>
        <v>101843</v>
      </c>
      <c r="E140" s="941">
        <f t="shared" si="11"/>
        <v>102343</v>
      </c>
      <c r="F140" s="940">
        <f t="shared" si="11"/>
        <v>110700</v>
      </c>
      <c r="G140" s="940">
        <f t="shared" si="11"/>
        <v>105966</v>
      </c>
      <c r="H140" s="917">
        <f t="shared" si="11"/>
        <v>17525</v>
      </c>
      <c r="I140" s="942">
        <f t="shared" si="11"/>
        <v>12291</v>
      </c>
      <c r="J140" s="929"/>
      <c r="K140" s="930"/>
      <c r="L140" s="931"/>
    </row>
    <row r="141" spans="1:12" s="932" customFormat="1" ht="12.75" customHeight="1">
      <c r="A141" s="913">
        <v>1</v>
      </c>
      <c r="B141" s="943" t="s">
        <v>509</v>
      </c>
      <c r="C141" s="940">
        <v>117</v>
      </c>
      <c r="D141" s="940">
        <v>1709</v>
      </c>
      <c r="E141" s="941">
        <v>1709</v>
      </c>
      <c r="F141" s="940">
        <v>1483</v>
      </c>
      <c r="G141" s="940">
        <v>1483</v>
      </c>
      <c r="H141" s="917">
        <v>343</v>
      </c>
      <c r="I141" s="942">
        <v>343</v>
      </c>
      <c r="J141" s="952"/>
      <c r="K141" s="953"/>
      <c r="L141" s="954"/>
    </row>
    <row r="142" spans="1:12" s="932" customFormat="1" ht="12.75" customHeight="1">
      <c r="A142" s="913">
        <v>2</v>
      </c>
      <c r="B142" s="943" t="s">
        <v>510</v>
      </c>
      <c r="C142" s="955">
        <v>47712</v>
      </c>
      <c r="D142" s="955">
        <v>128000</v>
      </c>
      <c r="E142" s="956">
        <v>124168</v>
      </c>
      <c r="F142" s="955">
        <v>115300</v>
      </c>
      <c r="G142" s="955">
        <v>101229</v>
      </c>
      <c r="H142" s="957">
        <v>70651</v>
      </c>
      <c r="I142" s="942">
        <v>60412</v>
      </c>
      <c r="J142" s="929"/>
      <c r="K142" s="930"/>
      <c r="L142" s="931"/>
    </row>
    <row r="143" spans="1:12" s="932" customFormat="1" ht="12.75" customHeight="1">
      <c r="A143" s="913">
        <v>3</v>
      </c>
      <c r="B143" s="943" t="s">
        <v>511</v>
      </c>
      <c r="C143" s="955">
        <v>120850</v>
      </c>
      <c r="D143" s="955">
        <v>111340</v>
      </c>
      <c r="E143" s="956">
        <v>114605</v>
      </c>
      <c r="F143" s="955">
        <v>111340</v>
      </c>
      <c r="G143" s="955">
        <v>82947</v>
      </c>
      <c r="H143" s="957">
        <v>152508</v>
      </c>
      <c r="I143" s="942">
        <v>120850</v>
      </c>
      <c r="J143" s="929"/>
      <c r="K143" s="930"/>
      <c r="L143" s="931"/>
    </row>
    <row r="144" spans="1:12" s="932" customFormat="1" ht="12.75" customHeight="1">
      <c r="A144" s="913">
        <v>4</v>
      </c>
      <c r="B144" s="943" t="s">
        <v>512</v>
      </c>
      <c r="C144" s="955">
        <v>1729</v>
      </c>
      <c r="D144" s="955">
        <v>2845</v>
      </c>
      <c r="E144" s="956">
        <v>2844</v>
      </c>
      <c r="F144" s="955">
        <v>1968</v>
      </c>
      <c r="G144" s="955">
        <v>1967</v>
      </c>
      <c r="H144" s="957">
        <v>2606</v>
      </c>
      <c r="I144" s="942">
        <v>2606</v>
      </c>
      <c r="J144" s="929"/>
      <c r="K144" s="930"/>
      <c r="L144" s="931"/>
    </row>
    <row r="145" spans="1:12" s="932" customFormat="1" ht="12.75" customHeight="1">
      <c r="A145" s="913">
        <v>5</v>
      </c>
      <c r="B145" s="958" t="s">
        <v>513</v>
      </c>
      <c r="C145" s="959">
        <v>4593</v>
      </c>
      <c r="D145" s="959">
        <v>20200</v>
      </c>
      <c r="E145" s="960">
        <v>7121</v>
      </c>
      <c r="F145" s="959">
        <v>22793</v>
      </c>
      <c r="G145" s="959">
        <v>7746</v>
      </c>
      <c r="H145" s="961">
        <v>3968</v>
      </c>
      <c r="I145" s="962">
        <v>2000</v>
      </c>
      <c r="J145" s="929"/>
      <c r="K145" s="930"/>
      <c r="L145" s="931"/>
    </row>
    <row r="146" spans="1:12" s="966" customFormat="1" ht="12.75" customHeight="1" thickBot="1">
      <c r="A146" s="913">
        <v>6</v>
      </c>
      <c r="B146" s="943" t="s">
        <v>514</v>
      </c>
      <c r="C146" s="955">
        <v>140334</v>
      </c>
      <c r="D146" s="955">
        <v>945000</v>
      </c>
      <c r="E146" s="956">
        <v>1055201</v>
      </c>
      <c r="F146" s="955">
        <v>1078000</v>
      </c>
      <c r="G146" s="955">
        <v>778143</v>
      </c>
      <c r="H146" s="957">
        <v>417392</v>
      </c>
      <c r="I146" s="942">
        <v>7334</v>
      </c>
      <c r="J146" s="963"/>
      <c r="K146" s="964"/>
      <c r="L146" s="965"/>
    </row>
    <row r="147" spans="1:12" s="966" customFormat="1" ht="12.75" customHeight="1" thickBot="1">
      <c r="A147" s="913">
        <v>7</v>
      </c>
      <c r="B147" s="943" t="s">
        <v>515</v>
      </c>
      <c r="C147" s="955">
        <v>19584</v>
      </c>
      <c r="D147" s="955">
        <v>200000</v>
      </c>
      <c r="E147" s="956">
        <v>231633</v>
      </c>
      <c r="F147" s="955">
        <v>200000</v>
      </c>
      <c r="G147" s="955">
        <v>198037</v>
      </c>
      <c r="H147" s="957">
        <v>53180</v>
      </c>
      <c r="I147" s="942">
        <v>19584</v>
      </c>
      <c r="J147" s="963"/>
      <c r="K147" s="964"/>
      <c r="L147" s="965"/>
    </row>
    <row r="148" spans="1:12" s="735" customFormat="1" ht="12.75" customHeight="1">
      <c r="A148" s="913">
        <v>8</v>
      </c>
      <c r="B148" s="943" t="s">
        <v>516</v>
      </c>
      <c r="C148" s="915">
        <v>11020</v>
      </c>
      <c r="D148" s="915">
        <v>1350000</v>
      </c>
      <c r="E148" s="916">
        <v>1323000</v>
      </c>
      <c r="F148" s="915">
        <v>1350000</v>
      </c>
      <c r="G148" s="915">
        <v>1315688</v>
      </c>
      <c r="H148" s="917">
        <v>18332</v>
      </c>
      <c r="I148" s="918">
        <v>11020</v>
      </c>
      <c r="J148" s="906"/>
      <c r="K148" s="768"/>
      <c r="L148" s="907"/>
    </row>
    <row r="149" spans="1:9" ht="12.75" customHeight="1">
      <c r="A149" s="967"/>
      <c r="B149" s="967"/>
      <c r="C149" s="968" t="s">
        <v>345</v>
      </c>
      <c r="D149" s="968"/>
      <c r="E149" s="968"/>
      <c r="F149" s="969"/>
      <c r="G149" s="969"/>
      <c r="H149" s="969"/>
      <c r="I149" s="969"/>
    </row>
    <row r="150" spans="1:9" ht="12.75" customHeight="1">
      <c r="A150" s="779"/>
      <c r="B150" s="779"/>
      <c r="C150" s="970"/>
      <c r="D150" s="970"/>
      <c r="E150" s="970"/>
      <c r="F150" s="969"/>
      <c r="G150" s="969"/>
      <c r="H150" s="969"/>
      <c r="I150" s="969"/>
    </row>
    <row r="151" spans="3:9" ht="12.75" customHeight="1">
      <c r="C151" s="969"/>
      <c r="D151" s="969"/>
      <c r="E151" s="969"/>
      <c r="F151" s="969"/>
      <c r="G151" s="969"/>
      <c r="H151" s="969"/>
      <c r="I151" s="969"/>
    </row>
    <row r="152" spans="3:9" ht="12.75" customHeight="1">
      <c r="C152" s="969"/>
      <c r="D152" s="969"/>
      <c r="E152" s="969"/>
      <c r="F152" s="969"/>
      <c r="G152" s="969"/>
      <c r="H152" s="969"/>
      <c r="I152" s="969"/>
    </row>
    <row r="153" spans="3:9" ht="12.75" customHeight="1">
      <c r="C153" s="969"/>
      <c r="D153" s="969"/>
      <c r="E153" s="969"/>
      <c r="F153" s="971"/>
      <c r="G153" s="969"/>
      <c r="H153" s="969"/>
      <c r="I153" s="969"/>
    </row>
    <row r="154" spans="3:9" ht="12.75" customHeight="1">
      <c r="C154" s="969"/>
      <c r="D154" s="969"/>
      <c r="E154" s="969"/>
      <c r="F154" s="969"/>
      <c r="G154" s="969"/>
      <c r="H154" s="969"/>
      <c r="I154" s="969"/>
    </row>
    <row r="155" spans="3:9" ht="12.75" customHeight="1">
      <c r="C155" s="969"/>
      <c r="D155" s="969"/>
      <c r="E155" s="969"/>
      <c r="F155" s="969"/>
      <c r="G155" s="969"/>
      <c r="H155" s="969"/>
      <c r="I155" s="969"/>
    </row>
    <row r="156" spans="3:9" ht="12.75" customHeight="1">
      <c r="C156" s="969"/>
      <c r="D156" s="969"/>
      <c r="E156" s="969"/>
      <c r="F156" s="969"/>
      <c r="G156" s="969"/>
      <c r="H156" s="969"/>
      <c r="I156" s="969"/>
    </row>
    <row r="157" spans="3:9" ht="12.75" customHeight="1">
      <c r="C157" s="969"/>
      <c r="D157" s="969"/>
      <c r="E157" s="969"/>
      <c r="F157" s="969"/>
      <c r="G157" s="969"/>
      <c r="H157" s="969"/>
      <c r="I157" s="969"/>
    </row>
    <row r="158" spans="3:9" ht="12.75" customHeight="1">
      <c r="C158" s="969"/>
      <c r="D158" s="969"/>
      <c r="E158" s="969"/>
      <c r="F158" s="969"/>
      <c r="G158" s="969"/>
      <c r="H158" s="969"/>
      <c r="I158" s="969"/>
    </row>
    <row r="159" spans="3:9" ht="12.75" customHeight="1">
      <c r="C159" s="969"/>
      <c r="D159" s="969"/>
      <c r="E159" s="969"/>
      <c r="F159" s="969"/>
      <c r="G159" s="969"/>
      <c r="H159" s="969"/>
      <c r="I159" s="969"/>
    </row>
    <row r="160" spans="3:9" ht="12.75" customHeight="1">
      <c r="C160" s="969"/>
      <c r="D160" s="969"/>
      <c r="E160" s="969"/>
      <c r="F160" s="969"/>
      <c r="G160" s="969"/>
      <c r="H160" s="969"/>
      <c r="I160" s="969"/>
    </row>
    <row r="161" spans="3:9" ht="12.75" customHeight="1">
      <c r="C161" s="969"/>
      <c r="D161" s="969"/>
      <c r="E161" s="969"/>
      <c r="F161" s="969"/>
      <c r="G161" s="969"/>
      <c r="H161" s="969"/>
      <c r="I161" s="969"/>
    </row>
    <row r="162" spans="3:9" ht="12.75" customHeight="1">
      <c r="C162" s="969"/>
      <c r="D162" s="969"/>
      <c r="E162" s="969"/>
      <c r="F162" s="969"/>
      <c r="G162" s="969"/>
      <c r="H162" s="969"/>
      <c r="I162" s="969"/>
    </row>
    <row r="163" spans="3:9" ht="12.75" customHeight="1">
      <c r="C163" s="969"/>
      <c r="D163" s="969"/>
      <c r="E163" s="969"/>
      <c r="F163" s="969"/>
      <c r="G163" s="969"/>
      <c r="H163" s="969"/>
      <c r="I163" s="969"/>
    </row>
    <row r="164" spans="3:9" ht="12.75" customHeight="1">
      <c r="C164" s="969"/>
      <c r="D164" s="969"/>
      <c r="E164" s="969"/>
      <c r="F164" s="969"/>
      <c r="G164" s="969"/>
      <c r="H164" s="969"/>
      <c r="I164" s="969"/>
    </row>
    <row r="165" spans="3:9" ht="12.75" customHeight="1">
      <c r="C165" s="969"/>
      <c r="D165" s="969"/>
      <c r="E165" s="969"/>
      <c r="F165" s="969"/>
      <c r="G165" s="969"/>
      <c r="H165" s="969"/>
      <c r="I165" s="969"/>
    </row>
    <row r="166" spans="3:9" ht="12.75" customHeight="1">
      <c r="C166" s="969"/>
      <c r="D166" s="969"/>
      <c r="E166" s="969"/>
      <c r="F166" s="969"/>
      <c r="G166" s="969"/>
      <c r="H166" s="969"/>
      <c r="I166" s="969"/>
    </row>
    <row r="167" spans="3:9" ht="12.75" customHeight="1">
      <c r="C167" s="969"/>
      <c r="D167" s="969"/>
      <c r="E167" s="969"/>
      <c r="F167" s="969"/>
      <c r="G167" s="969"/>
      <c r="H167" s="969"/>
      <c r="I167" s="969"/>
    </row>
    <row r="168" spans="3:9" ht="12.75" customHeight="1">
      <c r="C168" s="969"/>
      <c r="D168" s="969"/>
      <c r="E168" s="969"/>
      <c r="F168" s="969"/>
      <c r="G168" s="969"/>
      <c r="H168" s="969"/>
      <c r="I168" s="969"/>
    </row>
    <row r="169" spans="3:9" ht="12">
      <c r="C169" s="969"/>
      <c r="D169" s="969"/>
      <c r="E169" s="969"/>
      <c r="F169" s="969"/>
      <c r="G169" s="969"/>
      <c r="H169" s="969"/>
      <c r="I169" s="969"/>
    </row>
    <row r="170" spans="3:9" ht="12">
      <c r="C170" s="969"/>
      <c r="D170" s="969"/>
      <c r="E170" s="969"/>
      <c r="F170" s="969"/>
      <c r="G170" s="969"/>
      <c r="H170" s="969"/>
      <c r="I170" s="969"/>
    </row>
    <row r="171" spans="3:9" ht="12">
      <c r="C171" s="969"/>
      <c r="D171" s="969"/>
      <c r="E171" s="969"/>
      <c r="F171" s="969"/>
      <c r="G171" s="969"/>
      <c r="H171" s="969"/>
      <c r="I171" s="969"/>
    </row>
    <row r="172" spans="3:9" ht="12">
      <c r="C172" s="969"/>
      <c r="D172" s="969"/>
      <c r="E172" s="969"/>
      <c r="F172" s="969"/>
      <c r="G172" s="969"/>
      <c r="H172" s="969"/>
      <c r="I172" s="969"/>
    </row>
    <row r="173" spans="3:9" ht="12">
      <c r="C173" s="969"/>
      <c r="D173" s="969"/>
      <c r="E173" s="969"/>
      <c r="F173" s="969"/>
      <c r="G173" s="969"/>
      <c r="H173" s="969"/>
      <c r="I173" s="969"/>
    </row>
    <row r="174" spans="3:9" ht="12">
      <c r="C174" s="969"/>
      <c r="D174" s="969"/>
      <c r="E174" s="969"/>
      <c r="F174" s="969"/>
      <c r="G174" s="969"/>
      <c r="H174" s="969"/>
      <c r="I174" s="969"/>
    </row>
    <row r="175" spans="3:9" ht="12">
      <c r="C175" s="969"/>
      <c r="D175" s="969"/>
      <c r="E175" s="969"/>
      <c r="F175" s="969"/>
      <c r="G175" s="969"/>
      <c r="H175" s="969"/>
      <c r="I175" s="969"/>
    </row>
    <row r="176" spans="3:9" ht="12">
      <c r="C176" s="969"/>
      <c r="D176" s="969"/>
      <c r="E176" s="969"/>
      <c r="F176" s="969"/>
      <c r="G176" s="969"/>
      <c r="H176" s="969"/>
      <c r="I176" s="969"/>
    </row>
    <row r="177" spans="3:9" ht="12">
      <c r="C177" s="969"/>
      <c r="D177" s="969"/>
      <c r="E177" s="969"/>
      <c r="F177" s="969"/>
      <c r="G177" s="969"/>
      <c r="H177" s="969"/>
      <c r="I177" s="969"/>
    </row>
    <row r="178" spans="3:9" ht="12">
      <c r="C178" s="969"/>
      <c r="D178" s="969"/>
      <c r="E178" s="969"/>
      <c r="F178" s="969"/>
      <c r="G178" s="969"/>
      <c r="H178" s="969"/>
      <c r="I178" s="969"/>
    </row>
    <row r="179" spans="3:9" ht="12">
      <c r="C179" s="969"/>
      <c r="D179" s="969"/>
      <c r="E179" s="969"/>
      <c r="F179" s="969"/>
      <c r="G179" s="969"/>
      <c r="H179" s="969"/>
      <c r="I179" s="969"/>
    </row>
    <row r="180" spans="3:9" ht="12">
      <c r="C180" s="969"/>
      <c r="D180" s="969"/>
      <c r="E180" s="969"/>
      <c r="F180" s="969"/>
      <c r="G180" s="969"/>
      <c r="H180" s="969"/>
      <c r="I180" s="969"/>
    </row>
    <row r="181" spans="3:9" ht="12">
      <c r="C181" s="969"/>
      <c r="D181" s="969"/>
      <c r="E181" s="969"/>
      <c r="F181" s="969"/>
      <c r="G181" s="969"/>
      <c r="H181" s="969"/>
      <c r="I181" s="969"/>
    </row>
    <row r="182" spans="3:9" ht="12">
      <c r="C182" s="969"/>
      <c r="D182" s="969"/>
      <c r="E182" s="969"/>
      <c r="F182" s="969"/>
      <c r="G182" s="969"/>
      <c r="H182" s="969"/>
      <c r="I182" s="969"/>
    </row>
    <row r="183" spans="3:9" ht="12">
      <c r="C183" s="969"/>
      <c r="D183" s="969"/>
      <c r="E183" s="969"/>
      <c r="F183" s="969"/>
      <c r="G183" s="969"/>
      <c r="H183" s="969"/>
      <c r="I183" s="969"/>
    </row>
    <row r="184" spans="3:9" ht="12">
      <c r="C184" s="969"/>
      <c r="D184" s="969"/>
      <c r="E184" s="969"/>
      <c r="F184" s="969"/>
      <c r="G184" s="969"/>
      <c r="H184" s="969"/>
      <c r="I184" s="969"/>
    </row>
    <row r="185" spans="3:9" ht="12">
      <c r="C185" s="969"/>
      <c r="D185" s="969"/>
      <c r="E185" s="969"/>
      <c r="F185" s="969"/>
      <c r="G185" s="969"/>
      <c r="H185" s="969"/>
      <c r="I185" s="969"/>
    </row>
    <row r="186" spans="3:9" ht="12">
      <c r="C186" s="969"/>
      <c r="D186" s="969"/>
      <c r="E186" s="969"/>
      <c r="F186" s="969"/>
      <c r="G186" s="969"/>
      <c r="H186" s="969"/>
      <c r="I186" s="969"/>
    </row>
    <row r="187" spans="3:9" ht="12">
      <c r="C187" s="969"/>
      <c r="D187" s="969"/>
      <c r="E187" s="969"/>
      <c r="F187" s="969"/>
      <c r="G187" s="969"/>
      <c r="H187" s="969"/>
      <c r="I187" s="969"/>
    </row>
  </sheetData>
  <mergeCells count="12">
    <mergeCell ref="D5:E5"/>
    <mergeCell ref="F5:G5"/>
    <mergeCell ref="H5:H7"/>
    <mergeCell ref="I5:I7"/>
    <mergeCell ref="D6:D7"/>
    <mergeCell ref="G1:I1"/>
    <mergeCell ref="E6:E7"/>
    <mergeCell ref="F6:F7"/>
    <mergeCell ref="G6:G7"/>
    <mergeCell ref="A3:I3"/>
    <mergeCell ref="B5:B7"/>
    <mergeCell ref="C5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Zeros="0" workbookViewId="0" topLeftCell="A25">
      <selection activeCell="J47" sqref="J47"/>
    </sheetView>
  </sheetViews>
  <sheetFormatPr defaultColWidth="9.00390625" defaultRowHeight="12.75"/>
  <cols>
    <col min="1" max="1" width="13.625" style="1" customWidth="1"/>
    <col min="2" max="2" width="4.625" style="1" customWidth="1"/>
    <col min="3" max="3" width="6.375" style="1" hidden="1" customWidth="1"/>
    <col min="4" max="4" width="5.625" style="1" hidden="1" customWidth="1"/>
    <col min="5" max="5" width="9.875" style="1" customWidth="1"/>
    <col min="6" max="6" width="6.75390625" style="1" customWidth="1"/>
    <col min="7" max="7" width="9.75390625" style="1" customWidth="1"/>
    <col min="8" max="8" width="7.125" style="1" customWidth="1"/>
    <col min="9" max="9" width="7.125" style="11" customWidth="1"/>
    <col min="10" max="10" width="8.875" style="5" customWidth="1"/>
    <col min="11" max="13" width="8.25390625" style="1" customWidth="1"/>
    <col min="14" max="14" width="9.625" style="1" customWidth="1"/>
    <col min="15" max="15" width="7.625" style="1" customWidth="1"/>
    <col min="16" max="16" width="8.25390625" style="1" customWidth="1"/>
    <col min="17" max="17" width="6.625" style="1" customWidth="1"/>
    <col min="18" max="18" width="7.25390625" style="1" customWidth="1"/>
    <col min="19" max="19" width="8.875" style="1" customWidth="1"/>
    <col min="20" max="16384" width="9.125" style="1" customWidth="1"/>
  </cols>
  <sheetData>
    <row r="1" ht="15">
      <c r="S1" s="342" t="s">
        <v>265</v>
      </c>
    </row>
    <row r="2" spans="1:19" ht="22.5" customHeight="1">
      <c r="A2" s="630" t="s">
        <v>287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</row>
    <row r="3" ht="14.25">
      <c r="A3" s="66" t="s">
        <v>116</v>
      </c>
    </row>
    <row r="4" spans="1:19" ht="12" customHeight="1">
      <c r="A4" s="631" t="s">
        <v>108</v>
      </c>
      <c r="B4" s="637" t="s">
        <v>109</v>
      </c>
      <c r="C4" s="34" t="s">
        <v>46</v>
      </c>
      <c r="D4" s="16" t="s">
        <v>48</v>
      </c>
      <c r="E4" s="639" t="s">
        <v>0</v>
      </c>
      <c r="F4" s="633" t="s">
        <v>65</v>
      </c>
      <c r="G4" s="631" t="s">
        <v>1</v>
      </c>
      <c r="H4" s="633" t="s">
        <v>65</v>
      </c>
      <c r="I4" s="635" t="s">
        <v>112</v>
      </c>
      <c r="J4" s="628" t="s">
        <v>115</v>
      </c>
      <c r="K4" s="628"/>
      <c r="L4" s="628"/>
      <c r="M4" s="628"/>
      <c r="N4" s="628"/>
      <c r="O4" s="628"/>
      <c r="P4" s="628"/>
      <c r="Q4" s="628"/>
      <c r="R4" s="628"/>
      <c r="S4" s="629"/>
    </row>
    <row r="5" spans="1:19" ht="12" customHeight="1">
      <c r="A5" s="632"/>
      <c r="B5" s="638"/>
      <c r="C5" s="48" t="s">
        <v>47</v>
      </c>
      <c r="D5" s="46" t="s">
        <v>49</v>
      </c>
      <c r="E5" s="640"/>
      <c r="F5" s="634"/>
      <c r="G5" s="632"/>
      <c r="H5" s="634"/>
      <c r="I5" s="636"/>
      <c r="J5" s="45" t="s">
        <v>54</v>
      </c>
      <c r="K5" s="45" t="s">
        <v>55</v>
      </c>
      <c r="L5" s="45" t="s">
        <v>56</v>
      </c>
      <c r="M5" s="45" t="s">
        <v>57</v>
      </c>
      <c r="N5" s="45" t="s">
        <v>58</v>
      </c>
      <c r="O5" s="45" t="s">
        <v>113</v>
      </c>
      <c r="P5" s="45" t="s">
        <v>114</v>
      </c>
      <c r="Q5" s="45" t="s">
        <v>89</v>
      </c>
      <c r="R5" s="45" t="s">
        <v>59</v>
      </c>
      <c r="S5" s="47" t="s">
        <v>60</v>
      </c>
    </row>
    <row r="6" spans="1:19" ht="12">
      <c r="A6" s="36" t="s">
        <v>4</v>
      </c>
      <c r="B6" s="37">
        <v>1</v>
      </c>
      <c r="C6" s="37">
        <v>142.3</v>
      </c>
      <c r="D6" s="38">
        <f aca="true" t="shared" si="0" ref="D6:D44">G6/12/C6</f>
        <v>181</v>
      </c>
      <c r="E6" s="39">
        <v>309500</v>
      </c>
      <c r="F6" s="40">
        <v>3000</v>
      </c>
      <c r="G6" s="41">
        <v>309497</v>
      </c>
      <c r="H6" s="42">
        <v>3000</v>
      </c>
      <c r="I6" s="43">
        <f>G6/E6*100</f>
        <v>100</v>
      </c>
      <c r="J6" s="44">
        <v>177923</v>
      </c>
      <c r="K6" s="44">
        <v>30757</v>
      </c>
      <c r="L6" s="44">
        <v>37159</v>
      </c>
      <c r="M6" s="44">
        <v>5096</v>
      </c>
      <c r="N6" s="44">
        <v>40000</v>
      </c>
      <c r="O6" s="44"/>
      <c r="P6" s="44">
        <v>10698</v>
      </c>
      <c r="Q6" s="44"/>
      <c r="R6" s="44"/>
      <c r="S6" s="40">
        <f>G6-(J6+K6+L6+M6+N6+O6+P6+Q6+R6)</f>
        <v>7864</v>
      </c>
    </row>
    <row r="7" spans="1:19" ht="12">
      <c r="A7" s="17" t="s">
        <v>5</v>
      </c>
      <c r="B7" s="18">
        <v>2</v>
      </c>
      <c r="C7" s="18">
        <v>192.57</v>
      </c>
      <c r="D7" s="28">
        <f t="shared" si="0"/>
        <v>292</v>
      </c>
      <c r="E7" s="31">
        <v>676716</v>
      </c>
      <c r="F7" s="21"/>
      <c r="G7" s="30">
        <v>674906</v>
      </c>
      <c r="H7" s="33"/>
      <c r="I7" s="35">
        <f aca="true" t="shared" si="1" ref="I7:I44">G7/E7*100</f>
        <v>99.7</v>
      </c>
      <c r="J7" s="19">
        <v>424005</v>
      </c>
      <c r="K7" s="19">
        <v>29818</v>
      </c>
      <c r="L7" s="19">
        <v>81585</v>
      </c>
      <c r="M7" s="19">
        <v>11072</v>
      </c>
      <c r="N7" s="19">
        <v>15906</v>
      </c>
      <c r="O7" s="19"/>
      <c r="P7" s="19">
        <v>27225</v>
      </c>
      <c r="Q7" s="19"/>
      <c r="R7" s="19"/>
      <c r="S7" s="21">
        <f aca="true" t="shared" si="2" ref="S7:S43">G7-(J7+K7+L7+M7+N7+O7+P7+Q7+R7)</f>
        <v>85295</v>
      </c>
    </row>
    <row r="8" spans="1:19" ht="12">
      <c r="A8" s="17" t="s">
        <v>6</v>
      </c>
      <c r="B8" s="18">
        <v>5</v>
      </c>
      <c r="C8" s="18">
        <v>93</v>
      </c>
      <c r="D8" s="28">
        <f t="shared" si="0"/>
        <v>249</v>
      </c>
      <c r="E8" s="31">
        <v>278816</v>
      </c>
      <c r="F8" s="21">
        <v>1000</v>
      </c>
      <c r="G8" s="30">
        <v>278344</v>
      </c>
      <c r="H8" s="33">
        <v>1000</v>
      </c>
      <c r="I8" s="35">
        <f t="shared" si="1"/>
        <v>99.8</v>
      </c>
      <c r="J8" s="19">
        <v>145040</v>
      </c>
      <c r="K8" s="19">
        <v>26569</v>
      </c>
      <c r="L8" s="19">
        <v>31108</v>
      </c>
      <c r="M8" s="19">
        <v>4202</v>
      </c>
      <c r="N8" s="19">
        <v>54243</v>
      </c>
      <c r="O8" s="19"/>
      <c r="P8" s="19">
        <v>10776</v>
      </c>
      <c r="Q8" s="19"/>
      <c r="R8" s="19"/>
      <c r="S8" s="21">
        <f t="shared" si="2"/>
        <v>6406</v>
      </c>
    </row>
    <row r="9" spans="1:19" ht="12">
      <c r="A9" s="17" t="s">
        <v>7</v>
      </c>
      <c r="B9" s="18">
        <v>6</v>
      </c>
      <c r="C9" s="18">
        <v>597</v>
      </c>
      <c r="D9" s="28">
        <f t="shared" si="0"/>
        <v>323</v>
      </c>
      <c r="E9" s="31">
        <v>2319044</v>
      </c>
      <c r="F9" s="21">
        <v>1500</v>
      </c>
      <c r="G9" s="30">
        <v>2313503</v>
      </c>
      <c r="H9" s="33">
        <v>1500</v>
      </c>
      <c r="I9" s="35">
        <f t="shared" si="1"/>
        <v>99.8</v>
      </c>
      <c r="J9" s="19">
        <v>1541188</v>
      </c>
      <c r="K9" s="19">
        <v>106954</v>
      </c>
      <c r="L9" s="19">
        <v>284316</v>
      </c>
      <c r="M9" s="19">
        <v>38857</v>
      </c>
      <c r="N9" s="19">
        <v>177562</v>
      </c>
      <c r="O9" s="19">
        <v>3000</v>
      </c>
      <c r="P9" s="19">
        <v>89919</v>
      </c>
      <c r="Q9" s="19"/>
      <c r="R9" s="19"/>
      <c r="S9" s="21">
        <f t="shared" si="2"/>
        <v>71707</v>
      </c>
    </row>
    <row r="10" spans="1:19" ht="12">
      <c r="A10" s="17" t="s">
        <v>8</v>
      </c>
      <c r="B10" s="18">
        <v>7</v>
      </c>
      <c r="C10" s="18">
        <v>98</v>
      </c>
      <c r="D10" s="28">
        <f t="shared" si="0"/>
        <v>229</v>
      </c>
      <c r="E10" s="31">
        <v>269325</v>
      </c>
      <c r="F10" s="21">
        <v>5000</v>
      </c>
      <c r="G10" s="30">
        <v>269324</v>
      </c>
      <c r="H10" s="33">
        <v>5000</v>
      </c>
      <c r="I10" s="35">
        <f t="shared" si="1"/>
        <v>100</v>
      </c>
      <c r="J10" s="19">
        <v>155297</v>
      </c>
      <c r="K10" s="19">
        <v>26907</v>
      </c>
      <c r="L10" s="19">
        <v>32821</v>
      </c>
      <c r="M10" s="19">
        <v>4500</v>
      </c>
      <c r="N10" s="19">
        <v>26578</v>
      </c>
      <c r="O10" s="19">
        <v>6205</v>
      </c>
      <c r="P10" s="19">
        <v>10574</v>
      </c>
      <c r="Q10" s="19"/>
      <c r="R10" s="19"/>
      <c r="S10" s="21">
        <f t="shared" si="2"/>
        <v>6442</v>
      </c>
    </row>
    <row r="11" spans="1:19" ht="12">
      <c r="A11" s="17" t="s">
        <v>9</v>
      </c>
      <c r="B11" s="18">
        <v>8</v>
      </c>
      <c r="C11" s="18">
        <v>268</v>
      </c>
      <c r="D11" s="28">
        <f t="shared" si="0"/>
        <v>358</v>
      </c>
      <c r="E11" s="31">
        <v>1164924</v>
      </c>
      <c r="F11" s="21">
        <v>3000</v>
      </c>
      <c r="G11" s="30">
        <v>1149768</v>
      </c>
      <c r="H11" s="33">
        <v>3000</v>
      </c>
      <c r="I11" s="35">
        <f t="shared" si="1"/>
        <v>98.7</v>
      </c>
      <c r="J11" s="19">
        <v>765322</v>
      </c>
      <c r="K11" s="19">
        <v>53217</v>
      </c>
      <c r="L11" s="19">
        <v>141803</v>
      </c>
      <c r="M11" s="19">
        <v>19797</v>
      </c>
      <c r="N11" s="19">
        <v>52724</v>
      </c>
      <c r="O11" s="19">
        <v>3522</v>
      </c>
      <c r="P11" s="19">
        <v>40126</v>
      </c>
      <c r="Q11" s="19"/>
      <c r="R11" s="19"/>
      <c r="S11" s="21">
        <f t="shared" si="2"/>
        <v>73257</v>
      </c>
    </row>
    <row r="12" spans="1:19" ht="12">
      <c r="A12" s="17" t="s">
        <v>10</v>
      </c>
      <c r="B12" s="18">
        <v>9</v>
      </c>
      <c r="C12" s="18">
        <v>76</v>
      </c>
      <c r="D12" s="28">
        <f t="shared" si="0"/>
        <v>376</v>
      </c>
      <c r="E12" s="31">
        <v>364647</v>
      </c>
      <c r="F12" s="21">
        <v>0</v>
      </c>
      <c r="G12" s="30">
        <v>343143</v>
      </c>
      <c r="H12" s="33">
        <v>0</v>
      </c>
      <c r="I12" s="35">
        <f t="shared" si="1"/>
        <v>94.1</v>
      </c>
      <c r="J12" s="19">
        <v>229939</v>
      </c>
      <c r="K12" s="19">
        <v>21150</v>
      </c>
      <c r="L12" s="19">
        <v>32865</v>
      </c>
      <c r="M12" s="19">
        <v>6029</v>
      </c>
      <c r="N12" s="19">
        <v>23474</v>
      </c>
      <c r="O12" s="19">
        <v>500</v>
      </c>
      <c r="P12" s="19">
        <v>13475</v>
      </c>
      <c r="Q12" s="19"/>
      <c r="R12" s="19"/>
      <c r="S12" s="21">
        <f t="shared" si="2"/>
        <v>15711</v>
      </c>
    </row>
    <row r="13" spans="1:19" ht="12">
      <c r="A13" s="17" t="s">
        <v>11</v>
      </c>
      <c r="B13" s="18">
        <v>10</v>
      </c>
      <c r="C13" s="18">
        <v>780</v>
      </c>
      <c r="D13" s="28">
        <f t="shared" si="0"/>
        <v>322</v>
      </c>
      <c r="E13" s="31">
        <v>3030196</v>
      </c>
      <c r="F13" s="21">
        <v>66267</v>
      </c>
      <c r="G13" s="30">
        <v>3014103</v>
      </c>
      <c r="H13" s="33">
        <v>64114</v>
      </c>
      <c r="I13" s="35">
        <f t="shared" si="1"/>
        <v>99.5</v>
      </c>
      <c r="J13" s="19">
        <v>2003353</v>
      </c>
      <c r="K13" s="19">
        <v>149623</v>
      </c>
      <c r="L13" s="19">
        <v>376217</v>
      </c>
      <c r="M13" s="19">
        <v>51296</v>
      </c>
      <c r="N13" s="19">
        <v>146841</v>
      </c>
      <c r="O13" s="19">
        <v>34452</v>
      </c>
      <c r="P13" s="19">
        <v>118730</v>
      </c>
      <c r="Q13" s="19"/>
      <c r="R13" s="19"/>
      <c r="S13" s="21">
        <f t="shared" si="2"/>
        <v>133591</v>
      </c>
    </row>
    <row r="14" spans="1:19" ht="12">
      <c r="A14" s="17" t="s">
        <v>12</v>
      </c>
      <c r="B14" s="18">
        <v>11</v>
      </c>
      <c r="C14" s="18">
        <v>298</v>
      </c>
      <c r="D14" s="28">
        <f t="shared" si="0"/>
        <v>311</v>
      </c>
      <c r="E14" s="31">
        <v>1117770</v>
      </c>
      <c r="F14" s="21">
        <v>5166</v>
      </c>
      <c r="G14" s="30">
        <v>1110669</v>
      </c>
      <c r="H14" s="33">
        <v>5055</v>
      </c>
      <c r="I14" s="35">
        <f t="shared" si="1"/>
        <v>99.4</v>
      </c>
      <c r="J14" s="19">
        <v>737445</v>
      </c>
      <c r="K14" s="19">
        <v>55170</v>
      </c>
      <c r="L14" s="19">
        <v>122339</v>
      </c>
      <c r="M14" s="19">
        <v>19051</v>
      </c>
      <c r="N14" s="19">
        <v>84455</v>
      </c>
      <c r="O14" s="19">
        <v>1265</v>
      </c>
      <c r="P14" s="19">
        <v>40720</v>
      </c>
      <c r="Q14" s="19"/>
      <c r="R14" s="19"/>
      <c r="S14" s="21">
        <f t="shared" si="2"/>
        <v>50224</v>
      </c>
    </row>
    <row r="15" spans="1:19" ht="12">
      <c r="A15" s="17" t="s">
        <v>13</v>
      </c>
      <c r="B15" s="18">
        <v>12</v>
      </c>
      <c r="C15" s="18">
        <v>507</v>
      </c>
      <c r="D15" s="28">
        <f t="shared" si="0"/>
        <v>275</v>
      </c>
      <c r="E15" s="31">
        <v>1680173</v>
      </c>
      <c r="F15" s="21"/>
      <c r="G15" s="30">
        <v>1673487</v>
      </c>
      <c r="H15" s="33"/>
      <c r="I15" s="35">
        <f t="shared" si="1"/>
        <v>99.6</v>
      </c>
      <c r="J15" s="19">
        <v>1121357</v>
      </c>
      <c r="K15" s="19">
        <v>78813</v>
      </c>
      <c r="L15" s="19">
        <v>194681</v>
      </c>
      <c r="M15" s="19">
        <v>23812</v>
      </c>
      <c r="N15" s="19">
        <v>152560</v>
      </c>
      <c r="O15" s="19">
        <v>5000</v>
      </c>
      <c r="P15" s="19">
        <v>65748</v>
      </c>
      <c r="Q15" s="19"/>
      <c r="R15" s="19"/>
      <c r="S15" s="21">
        <f t="shared" si="2"/>
        <v>31516</v>
      </c>
    </row>
    <row r="16" spans="1:19" ht="12">
      <c r="A16" s="17" t="s">
        <v>14</v>
      </c>
      <c r="B16" s="18">
        <v>13</v>
      </c>
      <c r="C16" s="18">
        <v>291</v>
      </c>
      <c r="D16" s="28">
        <f t="shared" si="0"/>
        <v>425</v>
      </c>
      <c r="E16" s="31">
        <v>1485574</v>
      </c>
      <c r="F16" s="21"/>
      <c r="G16" s="30">
        <v>1483553</v>
      </c>
      <c r="H16" s="33"/>
      <c r="I16" s="35">
        <f t="shared" si="1"/>
        <v>99.9</v>
      </c>
      <c r="J16" s="19">
        <v>970775</v>
      </c>
      <c r="K16" s="19">
        <v>71319</v>
      </c>
      <c r="L16" s="19">
        <v>181340</v>
      </c>
      <c r="M16" s="19">
        <v>24709</v>
      </c>
      <c r="N16" s="19">
        <v>89490</v>
      </c>
      <c r="O16" s="19">
        <v>51338</v>
      </c>
      <c r="P16" s="19">
        <v>53943</v>
      </c>
      <c r="Q16" s="19"/>
      <c r="R16" s="19"/>
      <c r="S16" s="21">
        <f t="shared" si="2"/>
        <v>40639</v>
      </c>
    </row>
    <row r="17" spans="1:19" ht="12">
      <c r="A17" s="17" t="s">
        <v>15</v>
      </c>
      <c r="B17" s="18">
        <v>14</v>
      </c>
      <c r="C17" s="18">
        <v>168</v>
      </c>
      <c r="D17" s="28">
        <f t="shared" si="0"/>
        <v>553</v>
      </c>
      <c r="E17" s="31">
        <v>1141268</v>
      </c>
      <c r="F17" s="21"/>
      <c r="G17" s="30">
        <v>1115155</v>
      </c>
      <c r="H17" s="33"/>
      <c r="I17" s="35">
        <f t="shared" si="1"/>
        <v>97.7</v>
      </c>
      <c r="J17" s="19">
        <v>630069</v>
      </c>
      <c r="K17" s="19">
        <v>46726</v>
      </c>
      <c r="L17" s="19">
        <v>115712</v>
      </c>
      <c r="M17" s="19">
        <v>15965</v>
      </c>
      <c r="N17" s="19">
        <v>142180</v>
      </c>
      <c r="O17" s="19">
        <v>22876</v>
      </c>
      <c r="P17" s="19">
        <v>39432</v>
      </c>
      <c r="Q17" s="19"/>
      <c r="R17" s="19"/>
      <c r="S17" s="21">
        <f t="shared" si="2"/>
        <v>102195</v>
      </c>
    </row>
    <row r="18" spans="1:19" ht="12">
      <c r="A18" s="17" t="s">
        <v>17</v>
      </c>
      <c r="B18" s="18">
        <v>16</v>
      </c>
      <c r="C18" s="18">
        <v>373</v>
      </c>
      <c r="D18" s="28">
        <f t="shared" si="0"/>
        <v>427</v>
      </c>
      <c r="E18" s="31">
        <v>1915526</v>
      </c>
      <c r="F18" s="21">
        <v>18360</v>
      </c>
      <c r="G18" s="30">
        <v>1912043</v>
      </c>
      <c r="H18" s="33">
        <v>15860</v>
      </c>
      <c r="I18" s="35">
        <f t="shared" si="1"/>
        <v>99.8</v>
      </c>
      <c r="J18" s="19">
        <v>1245383</v>
      </c>
      <c r="K18" s="19">
        <v>95144</v>
      </c>
      <c r="L18" s="19">
        <v>231342</v>
      </c>
      <c r="M18" s="19">
        <v>31230</v>
      </c>
      <c r="N18" s="19">
        <v>136433</v>
      </c>
      <c r="O18" s="19">
        <v>44343</v>
      </c>
      <c r="P18" s="19">
        <v>69277</v>
      </c>
      <c r="Q18" s="19"/>
      <c r="R18" s="19"/>
      <c r="S18" s="21">
        <f t="shared" si="2"/>
        <v>58891</v>
      </c>
    </row>
    <row r="19" spans="1:19" ht="12">
      <c r="A19" s="17" t="s">
        <v>16</v>
      </c>
      <c r="B19" s="18">
        <v>17</v>
      </c>
      <c r="C19" s="18">
        <v>508</v>
      </c>
      <c r="D19" s="28">
        <f t="shared" si="0"/>
        <v>308</v>
      </c>
      <c r="E19" s="31">
        <v>1889007</v>
      </c>
      <c r="F19" s="21">
        <v>4500</v>
      </c>
      <c r="G19" s="30">
        <v>1879790</v>
      </c>
      <c r="H19" s="33">
        <v>4500</v>
      </c>
      <c r="I19" s="35">
        <f t="shared" si="1"/>
        <v>99.5</v>
      </c>
      <c r="J19" s="19">
        <v>1289308</v>
      </c>
      <c r="K19" s="19">
        <v>91262</v>
      </c>
      <c r="L19" s="19">
        <v>239002</v>
      </c>
      <c r="M19" s="19">
        <v>32883</v>
      </c>
      <c r="N19" s="19">
        <v>72498</v>
      </c>
      <c r="O19" s="19">
        <v>5817</v>
      </c>
      <c r="P19" s="19">
        <v>74638</v>
      </c>
      <c r="Q19" s="19"/>
      <c r="R19" s="19"/>
      <c r="S19" s="21">
        <f t="shared" si="2"/>
        <v>74382</v>
      </c>
    </row>
    <row r="20" spans="1:19" ht="12">
      <c r="A20" s="17" t="s">
        <v>18</v>
      </c>
      <c r="B20" s="18">
        <v>18</v>
      </c>
      <c r="C20" s="18">
        <v>840</v>
      </c>
      <c r="D20" s="28">
        <f t="shared" si="0"/>
        <v>262</v>
      </c>
      <c r="E20" s="31">
        <v>2655283</v>
      </c>
      <c r="F20" s="21"/>
      <c r="G20" s="30">
        <v>2638257</v>
      </c>
      <c r="H20" s="33"/>
      <c r="I20" s="35">
        <f t="shared" si="1"/>
        <v>99.4</v>
      </c>
      <c r="J20" s="19">
        <v>1790182</v>
      </c>
      <c r="K20" s="19">
        <v>135188</v>
      </c>
      <c r="L20" s="19">
        <v>337104</v>
      </c>
      <c r="M20" s="19">
        <v>46402</v>
      </c>
      <c r="N20" s="19">
        <v>99732</v>
      </c>
      <c r="O20" s="19">
        <v>72347</v>
      </c>
      <c r="P20" s="19">
        <v>111415</v>
      </c>
      <c r="Q20" s="19"/>
      <c r="R20" s="19"/>
      <c r="S20" s="21">
        <f t="shared" si="2"/>
        <v>45887</v>
      </c>
    </row>
    <row r="21" spans="1:19" ht="12">
      <c r="A21" s="17" t="s">
        <v>104</v>
      </c>
      <c r="B21" s="18">
        <v>19</v>
      </c>
      <c r="C21" s="18">
        <v>73</v>
      </c>
      <c r="D21" s="28">
        <f t="shared" si="0"/>
        <v>113</v>
      </c>
      <c r="E21" s="31">
        <v>98917</v>
      </c>
      <c r="F21" s="21"/>
      <c r="G21" s="30">
        <v>98914</v>
      </c>
      <c r="H21" s="33"/>
      <c r="I21" s="35">
        <f t="shared" si="1"/>
        <v>100</v>
      </c>
      <c r="J21" s="19">
        <v>58064</v>
      </c>
      <c r="K21" s="19">
        <v>12309</v>
      </c>
      <c r="L21" s="19">
        <v>10363</v>
      </c>
      <c r="M21" s="19">
        <v>1639</v>
      </c>
      <c r="N21" s="19">
        <v>9347</v>
      </c>
      <c r="O21" s="19"/>
      <c r="P21" s="19">
        <v>4079</v>
      </c>
      <c r="Q21" s="19"/>
      <c r="R21" s="19"/>
      <c r="S21" s="21">
        <f t="shared" si="2"/>
        <v>3113</v>
      </c>
    </row>
    <row r="22" spans="1:19" ht="12">
      <c r="A22" s="17" t="s">
        <v>20</v>
      </c>
      <c r="B22" s="18">
        <v>20</v>
      </c>
      <c r="C22" s="18">
        <v>349</v>
      </c>
      <c r="D22" s="28">
        <f t="shared" si="0"/>
        <v>344</v>
      </c>
      <c r="E22" s="31">
        <v>1446896</v>
      </c>
      <c r="F22" s="21">
        <v>8000</v>
      </c>
      <c r="G22" s="30">
        <v>1439110</v>
      </c>
      <c r="H22" s="33">
        <v>7994</v>
      </c>
      <c r="I22" s="35">
        <f t="shared" si="1"/>
        <v>99.5</v>
      </c>
      <c r="J22" s="19">
        <v>948737</v>
      </c>
      <c r="K22" s="19">
        <v>69793</v>
      </c>
      <c r="L22" s="19">
        <v>174773</v>
      </c>
      <c r="M22" s="19">
        <v>22996</v>
      </c>
      <c r="N22" s="19">
        <v>54422</v>
      </c>
      <c r="O22" s="19">
        <v>69046</v>
      </c>
      <c r="P22" s="19">
        <v>54420</v>
      </c>
      <c r="Q22" s="19"/>
      <c r="R22" s="19"/>
      <c r="S22" s="21">
        <f t="shared" si="2"/>
        <v>44923</v>
      </c>
    </row>
    <row r="23" spans="1:19" ht="12">
      <c r="A23" s="17" t="s">
        <v>21</v>
      </c>
      <c r="B23" s="18">
        <v>21</v>
      </c>
      <c r="C23" s="18">
        <v>593</v>
      </c>
      <c r="D23" s="28">
        <f t="shared" si="0"/>
        <v>305</v>
      </c>
      <c r="E23" s="31">
        <v>2175842</v>
      </c>
      <c r="F23" s="21">
        <v>14500</v>
      </c>
      <c r="G23" s="30">
        <v>2169668</v>
      </c>
      <c r="H23" s="33">
        <v>11442</v>
      </c>
      <c r="I23" s="35">
        <f t="shared" si="1"/>
        <v>99.7</v>
      </c>
      <c r="J23" s="19">
        <v>1434946</v>
      </c>
      <c r="K23" s="19">
        <v>107110</v>
      </c>
      <c r="L23" s="19">
        <v>270053</v>
      </c>
      <c r="M23" s="19">
        <v>37208</v>
      </c>
      <c r="N23" s="19">
        <v>113304</v>
      </c>
      <c r="O23" s="19">
        <v>59008</v>
      </c>
      <c r="P23" s="19">
        <v>83180</v>
      </c>
      <c r="Q23" s="19"/>
      <c r="R23" s="19"/>
      <c r="S23" s="21">
        <f t="shared" si="2"/>
        <v>64859</v>
      </c>
    </row>
    <row r="24" spans="1:19" ht="12">
      <c r="A24" s="17" t="s">
        <v>22</v>
      </c>
      <c r="B24" s="18">
        <v>23</v>
      </c>
      <c r="C24" s="18">
        <v>403</v>
      </c>
      <c r="D24" s="28">
        <f t="shared" si="0"/>
        <v>356</v>
      </c>
      <c r="E24" s="31">
        <v>1729493</v>
      </c>
      <c r="F24" s="21">
        <v>3000</v>
      </c>
      <c r="G24" s="30">
        <v>1720289</v>
      </c>
      <c r="H24" s="33">
        <v>3000</v>
      </c>
      <c r="I24" s="35">
        <f t="shared" si="1"/>
        <v>99.5</v>
      </c>
      <c r="J24" s="19">
        <v>1132014</v>
      </c>
      <c r="K24" s="19">
        <v>79224</v>
      </c>
      <c r="L24" s="19">
        <v>212303</v>
      </c>
      <c r="M24" s="19">
        <v>28861</v>
      </c>
      <c r="N24" s="19">
        <v>120826</v>
      </c>
      <c r="O24" s="19">
        <v>30483</v>
      </c>
      <c r="P24" s="19">
        <v>62162</v>
      </c>
      <c r="Q24" s="19"/>
      <c r="R24" s="19"/>
      <c r="S24" s="21">
        <f t="shared" si="2"/>
        <v>54416</v>
      </c>
    </row>
    <row r="25" spans="1:19" ht="12">
      <c r="A25" s="17" t="s">
        <v>23</v>
      </c>
      <c r="B25" s="18">
        <v>26</v>
      </c>
      <c r="C25" s="18">
        <v>283</v>
      </c>
      <c r="D25" s="28">
        <f t="shared" si="0"/>
        <v>410</v>
      </c>
      <c r="E25" s="31">
        <v>1398997</v>
      </c>
      <c r="F25" s="21">
        <v>1800</v>
      </c>
      <c r="G25" s="30">
        <v>1391456</v>
      </c>
      <c r="H25" s="33">
        <v>1797</v>
      </c>
      <c r="I25" s="35">
        <f t="shared" si="1"/>
        <v>99.5</v>
      </c>
      <c r="J25" s="19">
        <v>942764</v>
      </c>
      <c r="K25" s="19">
        <v>70298</v>
      </c>
      <c r="L25" s="19">
        <v>176706</v>
      </c>
      <c r="M25" s="19">
        <v>23695</v>
      </c>
      <c r="N25" s="19">
        <v>76794</v>
      </c>
      <c r="O25" s="19"/>
      <c r="P25" s="19">
        <v>53900</v>
      </c>
      <c r="Q25" s="19"/>
      <c r="R25" s="19"/>
      <c r="S25" s="21">
        <f t="shared" si="2"/>
        <v>47299</v>
      </c>
    </row>
    <row r="26" spans="1:19" ht="12">
      <c r="A26" s="17" t="s">
        <v>24</v>
      </c>
      <c r="B26" s="18">
        <v>27</v>
      </c>
      <c r="C26" s="18">
        <v>60</v>
      </c>
      <c r="D26" s="28">
        <f t="shared" si="0"/>
        <v>201</v>
      </c>
      <c r="E26" s="31">
        <v>144429</v>
      </c>
      <c r="F26" s="21"/>
      <c r="G26" s="30">
        <v>144414</v>
      </c>
      <c r="H26" s="33"/>
      <c r="I26" s="35">
        <f t="shared" si="1"/>
        <v>100</v>
      </c>
      <c r="J26" s="19">
        <v>55058</v>
      </c>
      <c r="K26" s="19">
        <v>12906</v>
      </c>
      <c r="L26" s="19">
        <v>11764</v>
      </c>
      <c r="M26" s="19">
        <v>1602</v>
      </c>
      <c r="N26" s="19">
        <v>29899</v>
      </c>
      <c r="O26" s="19">
        <v>25894</v>
      </c>
      <c r="P26" s="19">
        <v>4165</v>
      </c>
      <c r="Q26" s="19"/>
      <c r="R26" s="19"/>
      <c r="S26" s="21">
        <f t="shared" si="2"/>
        <v>3126</v>
      </c>
    </row>
    <row r="27" spans="1:19" ht="12">
      <c r="A27" s="17" t="s">
        <v>25</v>
      </c>
      <c r="B27" s="18">
        <v>28</v>
      </c>
      <c r="C27" s="18">
        <v>273</v>
      </c>
      <c r="D27" s="28">
        <f t="shared" si="0"/>
        <v>459</v>
      </c>
      <c r="E27" s="31">
        <v>1511005</v>
      </c>
      <c r="F27" s="21">
        <v>4000</v>
      </c>
      <c r="G27" s="30">
        <v>1503643</v>
      </c>
      <c r="H27" s="33">
        <v>4000</v>
      </c>
      <c r="I27" s="35">
        <f t="shared" si="1"/>
        <v>99.5</v>
      </c>
      <c r="J27" s="19">
        <v>976279</v>
      </c>
      <c r="K27" s="19">
        <v>72693</v>
      </c>
      <c r="L27" s="19">
        <v>181072</v>
      </c>
      <c r="M27" s="19">
        <v>24915</v>
      </c>
      <c r="N27" s="19">
        <v>97068</v>
      </c>
      <c r="O27" s="19">
        <v>11917</v>
      </c>
      <c r="P27" s="19">
        <v>52773</v>
      </c>
      <c r="Q27" s="19">
        <v>9000</v>
      </c>
      <c r="R27" s="19"/>
      <c r="S27" s="21">
        <f t="shared" si="2"/>
        <v>77926</v>
      </c>
    </row>
    <row r="28" spans="1:19" ht="12">
      <c r="A28" s="17" t="s">
        <v>26</v>
      </c>
      <c r="B28" s="18">
        <v>29</v>
      </c>
      <c r="C28" s="18">
        <v>452</v>
      </c>
      <c r="D28" s="28">
        <f t="shared" si="0"/>
        <v>317</v>
      </c>
      <c r="E28" s="31">
        <v>1721881</v>
      </c>
      <c r="F28" s="21"/>
      <c r="G28" s="30">
        <v>1721267</v>
      </c>
      <c r="H28" s="33"/>
      <c r="I28" s="35">
        <f t="shared" si="1"/>
        <v>100</v>
      </c>
      <c r="J28" s="19">
        <v>1156407</v>
      </c>
      <c r="K28" s="19">
        <v>85206</v>
      </c>
      <c r="L28" s="19">
        <v>216581</v>
      </c>
      <c r="M28" s="19">
        <v>29241</v>
      </c>
      <c r="N28" s="19">
        <v>130232</v>
      </c>
      <c r="O28" s="19">
        <v>717</v>
      </c>
      <c r="P28" s="19">
        <v>66289</v>
      </c>
      <c r="Q28" s="19"/>
      <c r="R28" s="19"/>
      <c r="S28" s="21">
        <f t="shared" si="2"/>
        <v>36594</v>
      </c>
    </row>
    <row r="29" spans="1:19" ht="12">
      <c r="A29" s="17" t="s">
        <v>27</v>
      </c>
      <c r="B29" s="18">
        <v>31</v>
      </c>
      <c r="C29" s="18">
        <v>808</v>
      </c>
      <c r="D29" s="28">
        <f t="shared" si="0"/>
        <v>284</v>
      </c>
      <c r="E29" s="31">
        <v>2793651</v>
      </c>
      <c r="F29" s="21">
        <v>1000</v>
      </c>
      <c r="G29" s="30">
        <v>2753361</v>
      </c>
      <c r="H29" s="33">
        <v>999</v>
      </c>
      <c r="I29" s="35">
        <f t="shared" si="1"/>
        <v>98.6</v>
      </c>
      <c r="J29" s="19">
        <v>1697347</v>
      </c>
      <c r="K29" s="19">
        <v>133677</v>
      </c>
      <c r="L29" s="19">
        <v>322268</v>
      </c>
      <c r="M29" s="19">
        <v>44066</v>
      </c>
      <c r="N29" s="19">
        <v>341849</v>
      </c>
      <c r="O29" s="19">
        <v>12181</v>
      </c>
      <c r="P29" s="19">
        <v>106545</v>
      </c>
      <c r="Q29" s="19"/>
      <c r="R29" s="19"/>
      <c r="S29" s="21">
        <f t="shared" si="2"/>
        <v>95428</v>
      </c>
    </row>
    <row r="30" spans="1:19" ht="12">
      <c r="A30" s="17" t="s">
        <v>28</v>
      </c>
      <c r="B30" s="18">
        <v>33</v>
      </c>
      <c r="C30" s="18">
        <v>668</v>
      </c>
      <c r="D30" s="28">
        <f t="shared" si="0"/>
        <v>320</v>
      </c>
      <c r="E30" s="31">
        <v>2581695</v>
      </c>
      <c r="F30" s="21">
        <v>25000</v>
      </c>
      <c r="G30" s="30">
        <v>2562970</v>
      </c>
      <c r="H30" s="33">
        <v>25000</v>
      </c>
      <c r="I30" s="35">
        <f t="shared" si="1"/>
        <v>99.3</v>
      </c>
      <c r="J30" s="19">
        <v>1695340</v>
      </c>
      <c r="K30" s="19">
        <v>128350</v>
      </c>
      <c r="L30" s="19">
        <v>312889</v>
      </c>
      <c r="M30" s="19">
        <v>42379</v>
      </c>
      <c r="N30" s="19">
        <v>168388</v>
      </c>
      <c r="O30" s="19">
        <v>34650</v>
      </c>
      <c r="P30" s="19">
        <v>102541</v>
      </c>
      <c r="Q30" s="19"/>
      <c r="R30" s="19"/>
      <c r="S30" s="21">
        <f t="shared" si="2"/>
        <v>78433</v>
      </c>
    </row>
    <row r="31" spans="1:19" ht="12">
      <c r="A31" s="17" t="s">
        <v>29</v>
      </c>
      <c r="B31" s="18">
        <v>34</v>
      </c>
      <c r="C31" s="18">
        <v>305.7</v>
      </c>
      <c r="D31" s="28">
        <f t="shared" si="0"/>
        <v>524</v>
      </c>
      <c r="E31" s="31">
        <v>1931050</v>
      </c>
      <c r="F31" s="21">
        <v>3500</v>
      </c>
      <c r="G31" s="30">
        <v>1921015</v>
      </c>
      <c r="H31" s="33">
        <v>3500</v>
      </c>
      <c r="I31" s="35">
        <f t="shared" si="1"/>
        <v>99.5</v>
      </c>
      <c r="J31" s="19">
        <v>1293096</v>
      </c>
      <c r="K31" s="19">
        <v>100425</v>
      </c>
      <c r="L31" s="19">
        <v>244263</v>
      </c>
      <c r="M31" s="19">
        <v>33262</v>
      </c>
      <c r="N31" s="19">
        <v>124692</v>
      </c>
      <c r="O31" s="19"/>
      <c r="P31" s="19">
        <v>75653</v>
      </c>
      <c r="Q31" s="19"/>
      <c r="R31" s="19"/>
      <c r="S31" s="21">
        <f t="shared" si="2"/>
        <v>49624</v>
      </c>
    </row>
    <row r="32" spans="1:19" ht="12">
      <c r="A32" s="17" t="s">
        <v>30</v>
      </c>
      <c r="B32" s="18">
        <v>35</v>
      </c>
      <c r="C32" s="18">
        <v>366</v>
      </c>
      <c r="D32" s="28">
        <f t="shared" si="0"/>
        <v>394</v>
      </c>
      <c r="E32" s="31">
        <v>1747725</v>
      </c>
      <c r="F32" s="21"/>
      <c r="G32" s="30">
        <v>1730149</v>
      </c>
      <c r="H32" s="33"/>
      <c r="I32" s="35">
        <f t="shared" si="1"/>
        <v>99</v>
      </c>
      <c r="J32" s="19">
        <v>1147245</v>
      </c>
      <c r="K32" s="19">
        <v>86147</v>
      </c>
      <c r="L32" s="19">
        <v>214000</v>
      </c>
      <c r="M32" s="19">
        <v>29536</v>
      </c>
      <c r="N32" s="19">
        <v>133637</v>
      </c>
      <c r="O32" s="19">
        <v>18328</v>
      </c>
      <c r="P32" s="19">
        <v>66740</v>
      </c>
      <c r="Q32" s="19"/>
      <c r="R32" s="19"/>
      <c r="S32" s="21">
        <f t="shared" si="2"/>
        <v>34516</v>
      </c>
    </row>
    <row r="33" spans="1:19" ht="12">
      <c r="A33" s="17" t="s">
        <v>32</v>
      </c>
      <c r="B33" s="18">
        <v>37</v>
      </c>
      <c r="C33" s="18">
        <v>128</v>
      </c>
      <c r="D33" s="28">
        <f t="shared" si="0"/>
        <v>511</v>
      </c>
      <c r="E33" s="31">
        <v>799471</v>
      </c>
      <c r="F33" s="21">
        <v>4493</v>
      </c>
      <c r="G33" s="30">
        <v>785596</v>
      </c>
      <c r="H33" s="33">
        <v>4493</v>
      </c>
      <c r="I33" s="35">
        <f t="shared" si="1"/>
        <v>98.3</v>
      </c>
      <c r="J33" s="19">
        <v>491918</v>
      </c>
      <c r="K33" s="19">
        <v>36245</v>
      </c>
      <c r="L33" s="19">
        <v>91027</v>
      </c>
      <c r="M33" s="19">
        <v>12569</v>
      </c>
      <c r="N33" s="19">
        <v>10242</v>
      </c>
      <c r="O33" s="19">
        <v>854</v>
      </c>
      <c r="P33" s="19">
        <v>29674</v>
      </c>
      <c r="Q33" s="19"/>
      <c r="R33" s="19"/>
      <c r="S33" s="21">
        <f t="shared" si="2"/>
        <v>113067</v>
      </c>
    </row>
    <row r="34" spans="1:19" ht="12">
      <c r="A34" s="17" t="s">
        <v>33</v>
      </c>
      <c r="B34" s="18">
        <v>39</v>
      </c>
      <c r="C34" s="18">
        <v>804</v>
      </c>
      <c r="D34" s="28">
        <f t="shared" si="0"/>
        <v>325</v>
      </c>
      <c r="E34" s="31">
        <v>3143554</v>
      </c>
      <c r="F34" s="21">
        <v>1500</v>
      </c>
      <c r="G34" s="30">
        <v>3133751</v>
      </c>
      <c r="H34" s="33">
        <v>1499</v>
      </c>
      <c r="I34" s="35">
        <f t="shared" si="1"/>
        <v>99.7</v>
      </c>
      <c r="J34" s="19">
        <v>2065999</v>
      </c>
      <c r="K34" s="19">
        <v>144383</v>
      </c>
      <c r="L34" s="19">
        <v>383436</v>
      </c>
      <c r="M34" s="19">
        <v>52049</v>
      </c>
      <c r="N34" s="19">
        <v>270046</v>
      </c>
      <c r="O34" s="19">
        <v>11599</v>
      </c>
      <c r="P34" s="19">
        <v>113092</v>
      </c>
      <c r="Q34" s="19"/>
      <c r="R34" s="19"/>
      <c r="S34" s="21">
        <f t="shared" si="2"/>
        <v>93147</v>
      </c>
    </row>
    <row r="35" spans="1:19" ht="12">
      <c r="A35" s="17" t="s">
        <v>34</v>
      </c>
      <c r="B35" s="18">
        <v>40</v>
      </c>
      <c r="C35" s="18">
        <v>845</v>
      </c>
      <c r="D35" s="28">
        <f t="shared" si="0"/>
        <v>287</v>
      </c>
      <c r="E35" s="31">
        <v>2937644</v>
      </c>
      <c r="F35" s="21">
        <v>5500</v>
      </c>
      <c r="G35" s="30">
        <v>2913910</v>
      </c>
      <c r="H35" s="33">
        <v>5500</v>
      </c>
      <c r="I35" s="35">
        <f t="shared" si="1"/>
        <v>99.2</v>
      </c>
      <c r="J35" s="19">
        <v>1998820</v>
      </c>
      <c r="K35" s="19">
        <v>142259</v>
      </c>
      <c r="L35" s="19">
        <v>364132</v>
      </c>
      <c r="M35" s="19">
        <v>49776</v>
      </c>
      <c r="N35" s="19">
        <v>155914</v>
      </c>
      <c r="O35" s="19">
        <v>12354</v>
      </c>
      <c r="P35" s="19">
        <v>117331</v>
      </c>
      <c r="Q35" s="19"/>
      <c r="R35" s="19">
        <v>7698</v>
      </c>
      <c r="S35" s="21">
        <f t="shared" si="2"/>
        <v>65626</v>
      </c>
    </row>
    <row r="36" spans="1:19" ht="12">
      <c r="A36" s="17" t="s">
        <v>35</v>
      </c>
      <c r="B36" s="18">
        <v>41</v>
      </c>
      <c r="C36" s="18">
        <v>143</v>
      </c>
      <c r="D36" s="28">
        <f t="shared" si="0"/>
        <v>333</v>
      </c>
      <c r="E36" s="31">
        <v>575226</v>
      </c>
      <c r="F36" s="21">
        <v>1500</v>
      </c>
      <c r="G36" s="30">
        <v>572279</v>
      </c>
      <c r="H36" s="33">
        <v>239</v>
      </c>
      <c r="I36" s="35">
        <f t="shared" si="1"/>
        <v>99.5</v>
      </c>
      <c r="J36" s="19">
        <v>392374</v>
      </c>
      <c r="K36" s="19">
        <v>33252</v>
      </c>
      <c r="L36" s="19">
        <v>72657</v>
      </c>
      <c r="M36" s="19">
        <v>9895</v>
      </c>
      <c r="N36" s="19">
        <v>35618</v>
      </c>
      <c r="O36" s="19"/>
      <c r="P36" s="19">
        <v>20544</v>
      </c>
      <c r="Q36" s="19"/>
      <c r="R36" s="19"/>
      <c r="S36" s="21">
        <f t="shared" si="2"/>
        <v>7939</v>
      </c>
    </row>
    <row r="37" spans="1:19" ht="12">
      <c r="A37" s="17" t="s">
        <v>36</v>
      </c>
      <c r="B37" s="18">
        <v>42</v>
      </c>
      <c r="C37" s="18">
        <v>401</v>
      </c>
      <c r="D37" s="28">
        <f t="shared" si="0"/>
        <v>406</v>
      </c>
      <c r="E37" s="31">
        <v>1977587</v>
      </c>
      <c r="F37" s="21">
        <v>2250</v>
      </c>
      <c r="G37" s="30">
        <v>1955618</v>
      </c>
      <c r="H37" s="33">
        <v>2244</v>
      </c>
      <c r="I37" s="35">
        <f t="shared" si="1"/>
        <v>98.9</v>
      </c>
      <c r="J37" s="19">
        <v>1103729</v>
      </c>
      <c r="K37" s="19">
        <v>84313</v>
      </c>
      <c r="L37" s="19">
        <v>209565</v>
      </c>
      <c r="M37" s="19">
        <v>28541</v>
      </c>
      <c r="N37" s="19">
        <v>352178</v>
      </c>
      <c r="O37" s="19">
        <v>26355</v>
      </c>
      <c r="P37" s="19">
        <v>60073</v>
      </c>
      <c r="Q37" s="19"/>
      <c r="R37" s="19"/>
      <c r="S37" s="21">
        <f t="shared" si="2"/>
        <v>90864</v>
      </c>
    </row>
    <row r="38" spans="1:19" ht="12">
      <c r="A38" s="17" t="s">
        <v>37</v>
      </c>
      <c r="B38" s="18">
        <v>43</v>
      </c>
      <c r="C38" s="18">
        <v>604</v>
      </c>
      <c r="D38" s="28">
        <f t="shared" si="0"/>
        <v>300</v>
      </c>
      <c r="E38" s="31">
        <v>2194705</v>
      </c>
      <c r="F38" s="21"/>
      <c r="G38" s="30">
        <v>2177527</v>
      </c>
      <c r="H38" s="33"/>
      <c r="I38" s="35">
        <f t="shared" si="1"/>
        <v>99.2</v>
      </c>
      <c r="J38" s="19">
        <v>1464253</v>
      </c>
      <c r="K38" s="19">
        <v>108777</v>
      </c>
      <c r="L38" s="19">
        <v>271701</v>
      </c>
      <c r="M38" s="19">
        <v>37144</v>
      </c>
      <c r="N38" s="19">
        <v>151116</v>
      </c>
      <c r="O38" s="19">
        <v>2916</v>
      </c>
      <c r="P38" s="19">
        <v>80898</v>
      </c>
      <c r="Q38" s="19"/>
      <c r="R38" s="19"/>
      <c r="S38" s="21">
        <f t="shared" si="2"/>
        <v>60722</v>
      </c>
    </row>
    <row r="39" spans="1:19" ht="12">
      <c r="A39" s="17" t="s">
        <v>38</v>
      </c>
      <c r="B39" s="18">
        <v>44</v>
      </c>
      <c r="C39" s="18">
        <v>229.41</v>
      </c>
      <c r="D39" s="28">
        <f t="shared" si="0"/>
        <v>298</v>
      </c>
      <c r="E39" s="31">
        <v>825060</v>
      </c>
      <c r="F39" s="21">
        <v>1500</v>
      </c>
      <c r="G39" s="30">
        <v>819174</v>
      </c>
      <c r="H39" s="33">
        <v>1500</v>
      </c>
      <c r="I39" s="35">
        <f t="shared" si="1"/>
        <v>99.3</v>
      </c>
      <c r="J39" s="19">
        <v>496776</v>
      </c>
      <c r="K39" s="19">
        <v>41615</v>
      </c>
      <c r="L39" s="19">
        <v>95993</v>
      </c>
      <c r="M39" s="19">
        <v>12843</v>
      </c>
      <c r="N39" s="19">
        <v>100529</v>
      </c>
      <c r="O39" s="19">
        <v>8933</v>
      </c>
      <c r="P39" s="19">
        <v>31315</v>
      </c>
      <c r="Q39" s="19"/>
      <c r="R39" s="19"/>
      <c r="S39" s="21">
        <f t="shared" si="2"/>
        <v>31170</v>
      </c>
    </row>
    <row r="40" spans="1:19" ht="12">
      <c r="A40" s="17" t="s">
        <v>39</v>
      </c>
      <c r="B40" s="18">
        <v>45</v>
      </c>
      <c r="C40" s="18">
        <v>236</v>
      </c>
      <c r="D40" s="28">
        <f t="shared" si="0"/>
        <v>398</v>
      </c>
      <c r="E40" s="31">
        <v>1135071</v>
      </c>
      <c r="F40" s="21">
        <v>29352</v>
      </c>
      <c r="G40" s="30">
        <v>1127315</v>
      </c>
      <c r="H40" s="33">
        <v>29352</v>
      </c>
      <c r="I40" s="35">
        <f t="shared" si="1"/>
        <v>99.3</v>
      </c>
      <c r="J40" s="19">
        <v>733288</v>
      </c>
      <c r="K40" s="19">
        <v>56331</v>
      </c>
      <c r="L40" s="19">
        <v>135938</v>
      </c>
      <c r="M40" s="19">
        <v>18641</v>
      </c>
      <c r="N40" s="19">
        <v>64162</v>
      </c>
      <c r="O40" s="19">
        <v>44133</v>
      </c>
      <c r="P40" s="19">
        <v>42578</v>
      </c>
      <c r="Q40" s="19"/>
      <c r="R40" s="19"/>
      <c r="S40" s="21">
        <f t="shared" si="2"/>
        <v>32244</v>
      </c>
    </row>
    <row r="41" spans="1:19" ht="12">
      <c r="A41" s="17" t="s">
        <v>40</v>
      </c>
      <c r="B41" s="18">
        <v>46</v>
      </c>
      <c r="C41" s="18">
        <v>580</v>
      </c>
      <c r="D41" s="28">
        <f t="shared" si="0"/>
        <v>280</v>
      </c>
      <c r="E41" s="31">
        <v>1956076</v>
      </c>
      <c r="F41" s="21">
        <v>2250</v>
      </c>
      <c r="G41" s="30">
        <v>1951099</v>
      </c>
      <c r="H41" s="33">
        <v>2250</v>
      </c>
      <c r="I41" s="35">
        <f t="shared" si="1"/>
        <v>99.7</v>
      </c>
      <c r="J41" s="19">
        <v>1279785</v>
      </c>
      <c r="K41" s="19">
        <v>88692</v>
      </c>
      <c r="L41" s="19">
        <v>241338</v>
      </c>
      <c r="M41" s="19">
        <v>32673</v>
      </c>
      <c r="N41" s="19">
        <v>162000</v>
      </c>
      <c r="O41" s="19">
        <v>4000</v>
      </c>
      <c r="P41" s="19">
        <v>62701</v>
      </c>
      <c r="Q41" s="19"/>
      <c r="R41" s="19">
        <v>7030</v>
      </c>
      <c r="S41" s="21">
        <f t="shared" si="2"/>
        <v>72880</v>
      </c>
    </row>
    <row r="42" spans="1:19" ht="12">
      <c r="A42" s="17" t="s">
        <v>41</v>
      </c>
      <c r="B42" s="18">
        <v>47</v>
      </c>
      <c r="C42" s="18">
        <v>875</v>
      </c>
      <c r="D42" s="28">
        <f t="shared" si="0"/>
        <v>306</v>
      </c>
      <c r="E42" s="31">
        <v>3253169</v>
      </c>
      <c r="F42" s="21"/>
      <c r="G42" s="30">
        <v>3208284</v>
      </c>
      <c r="H42" s="33"/>
      <c r="I42" s="35">
        <f t="shared" si="1"/>
        <v>98.6</v>
      </c>
      <c r="J42" s="19">
        <v>2191120</v>
      </c>
      <c r="K42" s="19">
        <v>154099</v>
      </c>
      <c r="L42" s="19">
        <v>409153</v>
      </c>
      <c r="M42" s="19">
        <v>55953</v>
      </c>
      <c r="N42" s="19">
        <v>167936</v>
      </c>
      <c r="O42" s="19">
        <v>12303</v>
      </c>
      <c r="P42" s="19">
        <v>115345</v>
      </c>
      <c r="Q42" s="19"/>
      <c r="R42" s="19">
        <v>7000</v>
      </c>
      <c r="S42" s="21">
        <f t="shared" si="2"/>
        <v>95375</v>
      </c>
    </row>
    <row r="43" spans="1:19" ht="12">
      <c r="A43" s="49" t="s">
        <v>42</v>
      </c>
      <c r="B43" s="50">
        <v>48</v>
      </c>
      <c r="C43" s="50">
        <v>319</v>
      </c>
      <c r="D43" s="51">
        <f t="shared" si="0"/>
        <v>290</v>
      </c>
      <c r="E43" s="52">
        <v>1138212</v>
      </c>
      <c r="F43" s="53">
        <v>1850</v>
      </c>
      <c r="G43" s="54">
        <v>1111242</v>
      </c>
      <c r="H43" s="55">
        <v>1850</v>
      </c>
      <c r="I43" s="56">
        <f t="shared" si="1"/>
        <v>97.6</v>
      </c>
      <c r="J43" s="57">
        <v>690266</v>
      </c>
      <c r="K43" s="57">
        <v>54101</v>
      </c>
      <c r="L43" s="57">
        <v>127019</v>
      </c>
      <c r="M43" s="57">
        <v>17864</v>
      </c>
      <c r="N43" s="57">
        <v>134670</v>
      </c>
      <c r="O43" s="57">
        <v>4500</v>
      </c>
      <c r="P43" s="57">
        <v>43385</v>
      </c>
      <c r="Q43" s="57"/>
      <c r="R43" s="57"/>
      <c r="S43" s="53">
        <f t="shared" si="2"/>
        <v>39437</v>
      </c>
    </row>
    <row r="44" spans="1:20" s="2" customFormat="1" ht="12">
      <c r="A44" s="59" t="s">
        <v>2</v>
      </c>
      <c r="B44" s="60"/>
      <c r="C44" s="8">
        <f>SUM(C6:C43)</f>
        <v>15030</v>
      </c>
      <c r="D44" s="6">
        <f t="shared" si="0"/>
        <v>328</v>
      </c>
      <c r="E44" s="7">
        <f>SUM(E6:E43)</f>
        <v>59515125</v>
      </c>
      <c r="F44" s="7">
        <f>SUM(F6:F43)</f>
        <v>218788</v>
      </c>
      <c r="G44" s="7">
        <f>SUM(G6:G43)</f>
        <v>59077593</v>
      </c>
      <c r="H44" s="7">
        <f>SUM(H6:H43)</f>
        <v>209688</v>
      </c>
      <c r="I44" s="58">
        <f t="shared" si="1"/>
        <v>99.3</v>
      </c>
      <c r="J44" s="7">
        <f aca="true" t="shared" si="3" ref="J44:S44">SUM(J6:J43)</f>
        <v>38672211</v>
      </c>
      <c r="K44" s="7">
        <f t="shared" si="3"/>
        <v>2920822</v>
      </c>
      <c r="L44" s="7">
        <f t="shared" si="3"/>
        <v>7188388</v>
      </c>
      <c r="M44" s="7">
        <f t="shared" si="3"/>
        <v>982249</v>
      </c>
      <c r="N44" s="7">
        <f t="shared" si="3"/>
        <v>4319545</v>
      </c>
      <c r="O44" s="7">
        <f t="shared" si="3"/>
        <v>640836</v>
      </c>
      <c r="P44" s="7">
        <f t="shared" si="3"/>
        <v>2226079</v>
      </c>
      <c r="Q44" s="7">
        <f t="shared" si="3"/>
        <v>9000</v>
      </c>
      <c r="R44" s="7">
        <f t="shared" si="3"/>
        <v>21728</v>
      </c>
      <c r="S44" s="7">
        <f t="shared" si="3"/>
        <v>2096735</v>
      </c>
      <c r="T44" s="298"/>
    </row>
    <row r="45" spans="1:11" ht="12">
      <c r="A45" s="4"/>
      <c r="I45" s="12"/>
      <c r="K45" s="5"/>
    </row>
  </sheetData>
  <mergeCells count="9">
    <mergeCell ref="J4:S4"/>
    <mergeCell ref="A2:S2"/>
    <mergeCell ref="G4:G5"/>
    <mergeCell ref="H4:H5"/>
    <mergeCell ref="I4:I5"/>
    <mergeCell ref="A4:A5"/>
    <mergeCell ref="B4:B5"/>
    <mergeCell ref="E4:E5"/>
    <mergeCell ref="F4:F5"/>
  </mergeCells>
  <printOptions/>
  <pageMargins left="0.74" right="0.52" top="0.57" bottom="0.51" header="0.25" footer="0.3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Zeros="0" workbookViewId="0" topLeftCell="A20">
      <selection activeCell="H15" sqref="H15"/>
    </sheetView>
  </sheetViews>
  <sheetFormatPr defaultColWidth="9.00390625" defaultRowHeight="12.75"/>
  <cols>
    <col min="1" max="1" width="16.00390625" style="161" customWidth="1"/>
    <col min="2" max="2" width="5.875" style="161" customWidth="1"/>
    <col min="3" max="3" width="6.375" style="161" hidden="1" customWidth="1"/>
    <col min="4" max="4" width="5.625" style="161" hidden="1" customWidth="1"/>
    <col min="5" max="5" width="11.75390625" style="161" customWidth="1"/>
    <col min="6" max="6" width="12.75390625" style="161" customWidth="1"/>
    <col min="7" max="7" width="9.125" style="162" customWidth="1"/>
    <col min="8" max="8" width="10.125" style="163" customWidth="1"/>
    <col min="9" max="9" width="10.125" style="161" customWidth="1"/>
    <col min="10" max="10" width="9.375" style="161" customWidth="1"/>
    <col min="11" max="11" width="9.00390625" style="161" customWidth="1"/>
    <col min="12" max="12" width="10.25390625" style="161" customWidth="1"/>
    <col min="13" max="13" width="8.25390625" style="161" customWidth="1"/>
    <col min="14" max="14" width="9.125" style="161" customWidth="1"/>
    <col min="15" max="15" width="11.625" style="161" customWidth="1"/>
    <col min="16" max="16384" width="9.125" style="161" customWidth="1"/>
  </cols>
  <sheetData>
    <row r="1" ht="12.75">
      <c r="O1" s="310" t="s">
        <v>266</v>
      </c>
    </row>
    <row r="2" spans="1:15" ht="16.5">
      <c r="A2" s="630" t="s">
        <v>288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1:15" ht="16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ht="21.75" customHeight="1">
      <c r="A4" s="189" t="s">
        <v>117</v>
      </c>
    </row>
    <row r="5" ht="12.75" customHeight="1">
      <c r="A5" s="189"/>
    </row>
    <row r="6" spans="1:15" ht="12" customHeight="1">
      <c r="A6" s="553" t="s">
        <v>124</v>
      </c>
      <c r="B6" s="641" t="s">
        <v>109</v>
      </c>
      <c r="C6" s="164" t="s">
        <v>46</v>
      </c>
      <c r="D6" s="165" t="s">
        <v>48</v>
      </c>
      <c r="E6" s="553" t="s">
        <v>110</v>
      </c>
      <c r="F6" s="641" t="s">
        <v>111</v>
      </c>
      <c r="G6" s="643" t="s">
        <v>112</v>
      </c>
      <c r="H6" s="645" t="s">
        <v>115</v>
      </c>
      <c r="I6" s="645"/>
      <c r="J6" s="645"/>
      <c r="K6" s="645"/>
      <c r="L6" s="645"/>
      <c r="M6" s="645"/>
      <c r="N6" s="645"/>
      <c r="O6" s="646"/>
    </row>
    <row r="7" spans="1:15" ht="12.75">
      <c r="A7" s="539"/>
      <c r="B7" s="642"/>
      <c r="C7" s="167" t="s">
        <v>47</v>
      </c>
      <c r="D7" s="168" t="s">
        <v>49</v>
      </c>
      <c r="E7" s="539"/>
      <c r="F7" s="642"/>
      <c r="G7" s="644"/>
      <c r="H7" s="166" t="s">
        <v>54</v>
      </c>
      <c r="I7" s="166" t="s">
        <v>55</v>
      </c>
      <c r="J7" s="166" t="s">
        <v>56</v>
      </c>
      <c r="K7" s="166" t="s">
        <v>57</v>
      </c>
      <c r="L7" s="166" t="s">
        <v>58</v>
      </c>
      <c r="M7" s="166" t="s">
        <v>113</v>
      </c>
      <c r="N7" s="166" t="s">
        <v>114</v>
      </c>
      <c r="O7" s="169" t="s">
        <v>275</v>
      </c>
    </row>
    <row r="8" spans="1:15" ht="15.75" customHeight="1">
      <c r="A8" s="170" t="s">
        <v>11</v>
      </c>
      <c r="B8" s="167">
        <v>10</v>
      </c>
      <c r="C8" s="167">
        <v>87</v>
      </c>
      <c r="D8" s="168">
        <f>F8/12/C8</f>
        <v>169.121647509579</v>
      </c>
      <c r="E8" s="171">
        <v>177165</v>
      </c>
      <c r="F8" s="172">
        <v>176563</v>
      </c>
      <c r="G8" s="173">
        <f aca="true" t="shared" si="0" ref="G8:G29">F8/E8*100</f>
        <v>99.7</v>
      </c>
      <c r="H8" s="172">
        <v>99619</v>
      </c>
      <c r="I8" s="172">
        <v>9013</v>
      </c>
      <c r="J8" s="172">
        <v>19243</v>
      </c>
      <c r="K8" s="172">
        <v>2624</v>
      </c>
      <c r="L8" s="172">
        <v>30980</v>
      </c>
      <c r="M8" s="172"/>
      <c r="N8" s="172">
        <v>7420</v>
      </c>
      <c r="O8" s="174">
        <f>F8-(H8+I8+J8+K8+L8)</f>
        <v>15084</v>
      </c>
    </row>
    <row r="9" spans="1:15" ht="15.75" customHeight="1">
      <c r="A9" s="170" t="s">
        <v>13</v>
      </c>
      <c r="B9" s="167">
        <v>12</v>
      </c>
      <c r="C9" s="167">
        <v>53</v>
      </c>
      <c r="D9" s="168">
        <f>F9/12/C9</f>
        <v>92.9150943396226</v>
      </c>
      <c r="E9" s="171">
        <v>59131</v>
      </c>
      <c r="F9" s="172">
        <v>59094</v>
      </c>
      <c r="G9" s="173">
        <f t="shared" si="0"/>
        <v>99.9</v>
      </c>
      <c r="H9" s="172">
        <v>35666</v>
      </c>
      <c r="I9" s="172">
        <v>2800</v>
      </c>
      <c r="J9" s="172">
        <v>6352</v>
      </c>
      <c r="K9" s="172">
        <v>894</v>
      </c>
      <c r="L9" s="172">
        <v>5300</v>
      </c>
      <c r="M9" s="172"/>
      <c r="N9" s="172">
        <v>2610</v>
      </c>
      <c r="O9" s="174">
        <f>F9-(H9+I9+J9+K9+L9)</f>
        <v>8082</v>
      </c>
    </row>
    <row r="10" spans="1:15" ht="15.75" customHeight="1">
      <c r="A10" s="170" t="s">
        <v>105</v>
      </c>
      <c r="B10" s="167">
        <v>13</v>
      </c>
      <c r="C10" s="167"/>
      <c r="D10" s="168"/>
      <c r="E10" s="171">
        <v>9637</v>
      </c>
      <c r="F10" s="172">
        <v>9359</v>
      </c>
      <c r="G10" s="173">
        <f t="shared" si="0"/>
        <v>97.1</v>
      </c>
      <c r="H10" s="172">
        <v>7247</v>
      </c>
      <c r="I10" s="172"/>
      <c r="J10" s="172">
        <v>1064</v>
      </c>
      <c r="K10" s="172">
        <v>148</v>
      </c>
      <c r="L10" s="172"/>
      <c r="M10" s="172"/>
      <c r="N10" s="172"/>
      <c r="O10" s="174"/>
    </row>
    <row r="11" spans="1:15" ht="15.75" customHeight="1">
      <c r="A11" s="170" t="s">
        <v>17</v>
      </c>
      <c r="B11" s="167">
        <v>16</v>
      </c>
      <c r="C11" s="167">
        <v>25</v>
      </c>
      <c r="D11" s="168">
        <f aca="true" t="shared" si="1" ref="D11:D29">F11/12/C11</f>
        <v>134.623333333333</v>
      </c>
      <c r="E11" s="171">
        <v>40387</v>
      </c>
      <c r="F11" s="172">
        <v>40387</v>
      </c>
      <c r="G11" s="173">
        <f t="shared" si="0"/>
        <v>100</v>
      </c>
      <c r="H11" s="172">
        <v>25459</v>
      </c>
      <c r="I11" s="172">
        <v>730</v>
      </c>
      <c r="J11" s="172">
        <v>4710</v>
      </c>
      <c r="K11" s="172">
        <v>642</v>
      </c>
      <c r="L11" s="172">
        <v>5000</v>
      </c>
      <c r="M11" s="172">
        <v>500</v>
      </c>
      <c r="N11" s="172">
        <v>1830</v>
      </c>
      <c r="O11" s="174">
        <f aca="true" t="shared" si="2" ref="O11:O28">F11-(H11+I11+J11+K11+L11)</f>
        <v>3846</v>
      </c>
    </row>
    <row r="12" spans="1:15" ht="15.75" customHeight="1">
      <c r="A12" s="170" t="s">
        <v>16</v>
      </c>
      <c r="B12" s="167">
        <v>17</v>
      </c>
      <c r="C12" s="167">
        <v>39</v>
      </c>
      <c r="D12" s="168">
        <f t="shared" si="1"/>
        <v>173.376068376068</v>
      </c>
      <c r="E12" s="171">
        <v>82496</v>
      </c>
      <c r="F12" s="172">
        <v>81140</v>
      </c>
      <c r="G12" s="173">
        <f t="shared" si="0"/>
        <v>98.4</v>
      </c>
      <c r="H12" s="172">
        <v>53219</v>
      </c>
      <c r="I12" s="172">
        <v>4994</v>
      </c>
      <c r="J12" s="172">
        <v>10437</v>
      </c>
      <c r="K12" s="172">
        <v>1421</v>
      </c>
      <c r="L12" s="172">
        <v>3724</v>
      </c>
      <c r="M12" s="172"/>
      <c r="N12" s="172">
        <v>3520</v>
      </c>
      <c r="O12" s="174">
        <f t="shared" si="2"/>
        <v>7345</v>
      </c>
    </row>
    <row r="13" spans="1:15" ht="15.75" customHeight="1">
      <c r="A13" s="170" t="s">
        <v>20</v>
      </c>
      <c r="B13" s="167">
        <v>20</v>
      </c>
      <c r="C13" s="167">
        <v>38</v>
      </c>
      <c r="D13" s="168">
        <f t="shared" si="1"/>
        <v>143.686403508772</v>
      </c>
      <c r="E13" s="171">
        <v>65858</v>
      </c>
      <c r="F13" s="172">
        <v>65521</v>
      </c>
      <c r="G13" s="173">
        <f t="shared" si="0"/>
        <v>99.5</v>
      </c>
      <c r="H13" s="172">
        <v>40698</v>
      </c>
      <c r="I13" s="172">
        <v>4382</v>
      </c>
      <c r="J13" s="172">
        <v>8966</v>
      </c>
      <c r="K13" s="172">
        <v>1018</v>
      </c>
      <c r="L13" s="172">
        <v>3170</v>
      </c>
      <c r="M13" s="172">
        <v>828</v>
      </c>
      <c r="N13" s="172">
        <v>3160</v>
      </c>
      <c r="O13" s="174">
        <f t="shared" si="2"/>
        <v>7287</v>
      </c>
    </row>
    <row r="14" spans="1:15" ht="15.75" customHeight="1">
      <c r="A14" s="170" t="s">
        <v>21</v>
      </c>
      <c r="B14" s="167">
        <v>21</v>
      </c>
      <c r="C14" s="167">
        <v>43</v>
      </c>
      <c r="D14" s="168">
        <f t="shared" si="1"/>
        <v>155.843023255814</v>
      </c>
      <c r="E14" s="171">
        <v>81877</v>
      </c>
      <c r="F14" s="172">
        <v>80415</v>
      </c>
      <c r="G14" s="173">
        <f t="shared" si="0"/>
        <v>98.2</v>
      </c>
      <c r="H14" s="172">
        <v>58058</v>
      </c>
      <c r="I14" s="172">
        <v>2564</v>
      </c>
      <c r="J14" s="172">
        <v>10543</v>
      </c>
      <c r="K14" s="172">
        <v>1447</v>
      </c>
      <c r="L14" s="172">
        <v>2099</v>
      </c>
      <c r="M14" s="172">
        <v>649</v>
      </c>
      <c r="N14" s="172">
        <v>2640</v>
      </c>
      <c r="O14" s="174">
        <f t="shared" si="2"/>
        <v>5704</v>
      </c>
    </row>
    <row r="15" spans="1:15" ht="15.75" customHeight="1">
      <c r="A15" s="170" t="s">
        <v>22</v>
      </c>
      <c r="B15" s="167">
        <v>23</v>
      </c>
      <c r="C15" s="167">
        <v>41</v>
      </c>
      <c r="D15" s="168">
        <f t="shared" si="1"/>
        <v>150.89837398374</v>
      </c>
      <c r="E15" s="171">
        <v>74765</v>
      </c>
      <c r="F15" s="172">
        <v>74242</v>
      </c>
      <c r="G15" s="173">
        <f t="shared" si="0"/>
        <v>99.3</v>
      </c>
      <c r="H15" s="172">
        <v>50984</v>
      </c>
      <c r="I15" s="172">
        <v>3744</v>
      </c>
      <c r="J15" s="172">
        <v>9519</v>
      </c>
      <c r="K15" s="172">
        <v>1296</v>
      </c>
      <c r="L15" s="172">
        <v>1518</v>
      </c>
      <c r="M15" s="172"/>
      <c r="N15" s="172">
        <v>3260</v>
      </c>
      <c r="O15" s="174">
        <f t="shared" si="2"/>
        <v>7181</v>
      </c>
    </row>
    <row r="16" spans="1:15" ht="15.75" customHeight="1">
      <c r="A16" s="170" t="s">
        <v>23</v>
      </c>
      <c r="B16" s="167">
        <v>26</v>
      </c>
      <c r="C16" s="167">
        <v>45</v>
      </c>
      <c r="D16" s="168">
        <f t="shared" si="1"/>
        <v>150.590740740741</v>
      </c>
      <c r="E16" s="171">
        <v>81835</v>
      </c>
      <c r="F16" s="172">
        <v>81319</v>
      </c>
      <c r="G16" s="173">
        <f t="shared" si="0"/>
        <v>99.4</v>
      </c>
      <c r="H16" s="172">
        <v>57191</v>
      </c>
      <c r="I16" s="172">
        <v>2851</v>
      </c>
      <c r="J16" s="172">
        <v>10664</v>
      </c>
      <c r="K16" s="172">
        <v>1448</v>
      </c>
      <c r="L16" s="172">
        <v>1600</v>
      </c>
      <c r="M16" s="172"/>
      <c r="N16" s="172">
        <v>3060</v>
      </c>
      <c r="O16" s="174">
        <f t="shared" si="2"/>
        <v>7565</v>
      </c>
    </row>
    <row r="17" spans="1:15" ht="15.75" customHeight="1">
      <c r="A17" s="170" t="s">
        <v>26</v>
      </c>
      <c r="B17" s="167">
        <v>29</v>
      </c>
      <c r="C17" s="167">
        <v>54</v>
      </c>
      <c r="D17" s="168">
        <f t="shared" si="1"/>
        <v>216.625</v>
      </c>
      <c r="E17" s="171">
        <v>140387</v>
      </c>
      <c r="F17" s="172">
        <v>140373</v>
      </c>
      <c r="G17" s="173">
        <f t="shared" si="0"/>
        <v>100</v>
      </c>
      <c r="H17" s="172">
        <v>97828</v>
      </c>
      <c r="I17" s="172">
        <v>5341</v>
      </c>
      <c r="J17" s="172">
        <v>17975</v>
      </c>
      <c r="K17" s="172">
        <v>2445</v>
      </c>
      <c r="L17" s="172">
        <v>5500</v>
      </c>
      <c r="M17" s="172"/>
      <c r="N17" s="172">
        <v>5050</v>
      </c>
      <c r="O17" s="174">
        <f t="shared" si="2"/>
        <v>11284</v>
      </c>
    </row>
    <row r="18" spans="1:15" ht="15.75" customHeight="1">
      <c r="A18" s="170" t="s">
        <v>27</v>
      </c>
      <c r="B18" s="167">
        <v>31</v>
      </c>
      <c r="C18" s="167">
        <v>103</v>
      </c>
      <c r="D18" s="168">
        <f t="shared" si="1"/>
        <v>138.067961165049</v>
      </c>
      <c r="E18" s="171">
        <v>175916</v>
      </c>
      <c r="F18" s="172">
        <v>170652</v>
      </c>
      <c r="G18" s="173">
        <f t="shared" si="0"/>
        <v>97</v>
      </c>
      <c r="H18" s="172">
        <v>98738</v>
      </c>
      <c r="I18" s="172">
        <v>5390</v>
      </c>
      <c r="J18" s="172">
        <v>18591</v>
      </c>
      <c r="K18" s="172">
        <v>2502</v>
      </c>
      <c r="L18" s="172">
        <v>30916</v>
      </c>
      <c r="M18" s="172">
        <v>2600</v>
      </c>
      <c r="N18" s="172">
        <v>5300</v>
      </c>
      <c r="O18" s="174">
        <f t="shared" si="2"/>
        <v>14515</v>
      </c>
    </row>
    <row r="19" spans="1:15" ht="15.75" customHeight="1">
      <c r="A19" s="170" t="s">
        <v>29</v>
      </c>
      <c r="B19" s="167">
        <v>34</v>
      </c>
      <c r="C19" s="167">
        <v>29.7</v>
      </c>
      <c r="D19" s="168">
        <f t="shared" si="1"/>
        <v>263.768237934905</v>
      </c>
      <c r="E19" s="171">
        <v>94559</v>
      </c>
      <c r="F19" s="172">
        <v>94007</v>
      </c>
      <c r="G19" s="173">
        <f t="shared" si="0"/>
        <v>99.4</v>
      </c>
      <c r="H19" s="172">
        <v>60846</v>
      </c>
      <c r="I19" s="172">
        <v>4223</v>
      </c>
      <c r="J19" s="172">
        <v>11556</v>
      </c>
      <c r="K19" s="172">
        <v>1574</v>
      </c>
      <c r="L19" s="172">
        <v>7700</v>
      </c>
      <c r="M19" s="172"/>
      <c r="N19" s="172">
        <v>4460</v>
      </c>
      <c r="O19" s="174">
        <f t="shared" si="2"/>
        <v>8108</v>
      </c>
    </row>
    <row r="20" spans="1:15" ht="15.75" customHeight="1">
      <c r="A20" s="170" t="s">
        <v>30</v>
      </c>
      <c r="B20" s="167">
        <v>35</v>
      </c>
      <c r="C20" s="167">
        <v>64</v>
      </c>
      <c r="D20" s="168">
        <f t="shared" si="1"/>
        <v>130.7734375</v>
      </c>
      <c r="E20" s="171">
        <v>100439</v>
      </c>
      <c r="F20" s="172">
        <v>100434</v>
      </c>
      <c r="G20" s="173">
        <f t="shared" si="0"/>
        <v>100</v>
      </c>
      <c r="H20" s="172">
        <v>69210</v>
      </c>
      <c r="I20" s="172">
        <v>4244</v>
      </c>
      <c r="J20" s="172">
        <v>13177</v>
      </c>
      <c r="K20" s="172">
        <v>1795</v>
      </c>
      <c r="L20" s="172">
        <v>2100</v>
      </c>
      <c r="M20" s="172"/>
      <c r="N20" s="172">
        <v>5000</v>
      </c>
      <c r="O20" s="174">
        <f t="shared" si="2"/>
        <v>9908</v>
      </c>
    </row>
    <row r="21" spans="1:15" ht="15.75" customHeight="1">
      <c r="A21" s="170" t="s">
        <v>32</v>
      </c>
      <c r="B21" s="167">
        <v>37</v>
      </c>
      <c r="C21" s="167">
        <v>21</v>
      </c>
      <c r="D21" s="168">
        <f t="shared" si="1"/>
        <v>182.734126984127</v>
      </c>
      <c r="E21" s="171">
        <v>46546</v>
      </c>
      <c r="F21" s="172">
        <v>46049</v>
      </c>
      <c r="G21" s="173">
        <f t="shared" si="0"/>
        <v>98.9</v>
      </c>
      <c r="H21" s="172">
        <v>31179</v>
      </c>
      <c r="I21" s="172">
        <v>2568</v>
      </c>
      <c r="J21" s="172">
        <v>5669</v>
      </c>
      <c r="K21" s="172">
        <v>772</v>
      </c>
      <c r="L21" s="172">
        <v>1446</v>
      </c>
      <c r="M21" s="172"/>
      <c r="N21" s="172">
        <v>1840</v>
      </c>
      <c r="O21" s="174">
        <f t="shared" si="2"/>
        <v>4415</v>
      </c>
    </row>
    <row r="22" spans="1:15" ht="15.75" customHeight="1">
      <c r="A22" s="170" t="s">
        <v>34</v>
      </c>
      <c r="B22" s="167">
        <v>40</v>
      </c>
      <c r="C22" s="167">
        <v>89</v>
      </c>
      <c r="D22" s="168">
        <f t="shared" si="1"/>
        <v>117.343632958802</v>
      </c>
      <c r="E22" s="171">
        <v>126527</v>
      </c>
      <c r="F22" s="172">
        <v>125323</v>
      </c>
      <c r="G22" s="173">
        <f t="shared" si="0"/>
        <v>99</v>
      </c>
      <c r="H22" s="172">
        <v>78721</v>
      </c>
      <c r="I22" s="172">
        <v>6588</v>
      </c>
      <c r="J22" s="172">
        <v>14873</v>
      </c>
      <c r="K22" s="172">
        <v>2025</v>
      </c>
      <c r="L22" s="172">
        <v>11000</v>
      </c>
      <c r="M22" s="172"/>
      <c r="N22" s="172">
        <v>4670</v>
      </c>
      <c r="O22" s="174">
        <f t="shared" si="2"/>
        <v>12116</v>
      </c>
    </row>
    <row r="23" spans="1:15" ht="15.75" customHeight="1">
      <c r="A23" s="170" t="s">
        <v>36</v>
      </c>
      <c r="B23" s="167">
        <v>42</v>
      </c>
      <c r="C23" s="167">
        <v>31</v>
      </c>
      <c r="D23" s="168">
        <f t="shared" si="1"/>
        <v>197.661290322581</v>
      </c>
      <c r="E23" s="171">
        <v>73553</v>
      </c>
      <c r="F23" s="172">
        <v>73530</v>
      </c>
      <c r="G23" s="173">
        <f t="shared" si="0"/>
        <v>100</v>
      </c>
      <c r="H23" s="172">
        <v>50147</v>
      </c>
      <c r="I23" s="172">
        <v>2072</v>
      </c>
      <c r="J23" s="172">
        <v>9034</v>
      </c>
      <c r="K23" s="172">
        <v>1230</v>
      </c>
      <c r="L23" s="172">
        <v>4239</v>
      </c>
      <c r="M23" s="172"/>
      <c r="N23" s="172">
        <v>3400</v>
      </c>
      <c r="O23" s="174">
        <f t="shared" si="2"/>
        <v>6808</v>
      </c>
    </row>
    <row r="24" spans="1:15" ht="15.75" customHeight="1">
      <c r="A24" s="170" t="s">
        <v>37</v>
      </c>
      <c r="B24" s="167">
        <v>43</v>
      </c>
      <c r="C24" s="167">
        <v>59</v>
      </c>
      <c r="D24" s="168">
        <f t="shared" si="1"/>
        <v>130.627118644068</v>
      </c>
      <c r="E24" s="171">
        <v>92651</v>
      </c>
      <c r="F24" s="172">
        <v>92484</v>
      </c>
      <c r="G24" s="173">
        <f t="shared" si="0"/>
        <v>99.8</v>
      </c>
      <c r="H24" s="172">
        <v>59339</v>
      </c>
      <c r="I24" s="172">
        <v>4001</v>
      </c>
      <c r="J24" s="172">
        <v>10535</v>
      </c>
      <c r="K24" s="172">
        <v>1435</v>
      </c>
      <c r="L24" s="172">
        <v>8543</v>
      </c>
      <c r="M24" s="172">
        <v>474</v>
      </c>
      <c r="N24" s="172">
        <v>3480</v>
      </c>
      <c r="O24" s="174">
        <f t="shared" si="2"/>
        <v>8631</v>
      </c>
    </row>
    <row r="25" spans="1:15" ht="15.75" customHeight="1">
      <c r="A25" s="170" t="s">
        <v>39</v>
      </c>
      <c r="B25" s="167">
        <v>45</v>
      </c>
      <c r="C25" s="167">
        <v>79</v>
      </c>
      <c r="D25" s="168">
        <f t="shared" si="1"/>
        <v>154.808016877637</v>
      </c>
      <c r="E25" s="171">
        <v>147812</v>
      </c>
      <c r="F25" s="172">
        <v>146758</v>
      </c>
      <c r="G25" s="173">
        <f t="shared" si="0"/>
        <v>99.3</v>
      </c>
      <c r="H25" s="172">
        <v>105412</v>
      </c>
      <c r="I25" s="172">
        <v>5963</v>
      </c>
      <c r="J25" s="172">
        <v>19868</v>
      </c>
      <c r="K25" s="172">
        <v>2711</v>
      </c>
      <c r="L25" s="172">
        <v>1400</v>
      </c>
      <c r="M25" s="172"/>
      <c r="N25" s="172">
        <v>5140</v>
      </c>
      <c r="O25" s="174">
        <f t="shared" si="2"/>
        <v>11404</v>
      </c>
    </row>
    <row r="26" spans="1:15" ht="15.75" customHeight="1">
      <c r="A26" s="170" t="s">
        <v>40</v>
      </c>
      <c r="B26" s="167">
        <v>46</v>
      </c>
      <c r="C26" s="167">
        <v>42</v>
      </c>
      <c r="D26" s="168">
        <f t="shared" si="1"/>
        <v>152.674603174603</v>
      </c>
      <c r="E26" s="171">
        <v>76954</v>
      </c>
      <c r="F26" s="172">
        <v>76948</v>
      </c>
      <c r="G26" s="173">
        <f t="shared" si="0"/>
        <v>100</v>
      </c>
      <c r="H26" s="172">
        <v>48466</v>
      </c>
      <c r="I26" s="172">
        <v>3835</v>
      </c>
      <c r="J26" s="172">
        <v>9295</v>
      </c>
      <c r="K26" s="172">
        <v>1272</v>
      </c>
      <c r="L26" s="172">
        <v>7250</v>
      </c>
      <c r="M26" s="172">
        <v>240</v>
      </c>
      <c r="N26" s="172">
        <v>2990</v>
      </c>
      <c r="O26" s="174">
        <f t="shared" si="2"/>
        <v>6830</v>
      </c>
    </row>
    <row r="27" spans="1:15" ht="15.75" customHeight="1">
      <c r="A27" s="170" t="s">
        <v>41</v>
      </c>
      <c r="B27" s="167">
        <v>47</v>
      </c>
      <c r="C27" s="167">
        <v>86</v>
      </c>
      <c r="D27" s="168">
        <f t="shared" si="1"/>
        <v>154.108527131783</v>
      </c>
      <c r="E27" s="171">
        <v>160047</v>
      </c>
      <c r="F27" s="172">
        <v>159040</v>
      </c>
      <c r="G27" s="173">
        <f t="shared" si="0"/>
        <v>99.4</v>
      </c>
      <c r="H27" s="172">
        <v>99798</v>
      </c>
      <c r="I27" s="172">
        <v>7386</v>
      </c>
      <c r="J27" s="172">
        <v>18484</v>
      </c>
      <c r="K27" s="172">
        <v>2517</v>
      </c>
      <c r="L27" s="172">
        <v>18700</v>
      </c>
      <c r="M27" s="172"/>
      <c r="N27" s="172">
        <v>4860</v>
      </c>
      <c r="O27" s="174">
        <f t="shared" si="2"/>
        <v>12155</v>
      </c>
    </row>
    <row r="28" spans="1:15" ht="15.75" customHeight="1">
      <c r="A28" s="175" t="s">
        <v>42</v>
      </c>
      <c r="B28" s="176">
        <v>48</v>
      </c>
      <c r="C28" s="176">
        <v>33</v>
      </c>
      <c r="D28" s="177">
        <f t="shared" si="1"/>
        <v>204.333333333333</v>
      </c>
      <c r="E28" s="178">
        <v>81104</v>
      </c>
      <c r="F28" s="179">
        <v>80916</v>
      </c>
      <c r="G28" s="180">
        <f t="shared" si="0"/>
        <v>99.8</v>
      </c>
      <c r="H28" s="179">
        <v>56661</v>
      </c>
      <c r="I28" s="179">
        <v>4225</v>
      </c>
      <c r="J28" s="179">
        <v>9046</v>
      </c>
      <c r="K28" s="179">
        <v>1471</v>
      </c>
      <c r="L28" s="179">
        <v>2200</v>
      </c>
      <c r="M28" s="179"/>
      <c r="N28" s="179">
        <v>3650</v>
      </c>
      <c r="O28" s="181">
        <f t="shared" si="2"/>
        <v>7313</v>
      </c>
    </row>
    <row r="29" spans="1:15" ht="22.5" customHeight="1">
      <c r="A29" s="182" t="s">
        <v>2</v>
      </c>
      <c r="B29" s="183"/>
      <c r="C29" s="184">
        <f>SUM(C8:C28)</f>
        <v>1061.7</v>
      </c>
      <c r="D29" s="185">
        <f t="shared" si="1"/>
        <v>154.983673981979</v>
      </c>
      <c r="E29" s="186">
        <f>SUM(E8:E28)</f>
        <v>1989646</v>
      </c>
      <c r="F29" s="186">
        <f>SUM(F8:F28)</f>
        <v>1974554</v>
      </c>
      <c r="G29" s="187">
        <f t="shared" si="0"/>
        <v>99.2</v>
      </c>
      <c r="H29" s="186">
        <f aca="true" t="shared" si="3" ref="H29:O29">SUM(H8:H28)</f>
        <v>1284486</v>
      </c>
      <c r="I29" s="186">
        <f t="shared" si="3"/>
        <v>86914</v>
      </c>
      <c r="J29" s="186">
        <f t="shared" si="3"/>
        <v>239601</v>
      </c>
      <c r="K29" s="186">
        <f t="shared" si="3"/>
        <v>32687</v>
      </c>
      <c r="L29" s="186">
        <f t="shared" si="3"/>
        <v>154385</v>
      </c>
      <c r="M29" s="186">
        <f t="shared" si="3"/>
        <v>5291</v>
      </c>
      <c r="N29" s="186">
        <f t="shared" si="3"/>
        <v>77340</v>
      </c>
      <c r="O29" s="186">
        <f t="shared" si="3"/>
        <v>175581</v>
      </c>
    </row>
    <row r="30" ht="13.5">
      <c r="A30" s="188"/>
    </row>
    <row r="32" ht="12.75">
      <c r="G32" s="191"/>
    </row>
  </sheetData>
  <mergeCells count="7">
    <mergeCell ref="A2:O2"/>
    <mergeCell ref="F6:F7"/>
    <mergeCell ref="G6:G7"/>
    <mergeCell ref="H6:O6"/>
    <mergeCell ref="A6:A7"/>
    <mergeCell ref="B6:B7"/>
    <mergeCell ref="E6:E7"/>
  </mergeCells>
  <printOptions/>
  <pageMargins left="0.88" right="0.55" top="0.94" bottom="0.51" header="0.25" footer="0.3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showZeros="0" workbookViewId="0" topLeftCell="A22">
      <selection activeCell="B5" sqref="B5:B6"/>
    </sheetView>
  </sheetViews>
  <sheetFormatPr defaultColWidth="9.00390625" defaultRowHeight="12.75"/>
  <cols>
    <col min="1" max="1" width="17.875" style="1" customWidth="1"/>
    <col min="2" max="2" width="7.875" style="1" customWidth="1"/>
    <col min="3" max="3" width="6.375" style="1" hidden="1" customWidth="1"/>
    <col min="4" max="4" width="5.625" style="1" hidden="1" customWidth="1"/>
    <col min="5" max="5" width="9.25390625" style="1" bestFit="1" customWidth="1"/>
    <col min="6" max="6" width="6.875" style="1" customWidth="1"/>
    <col min="7" max="7" width="9.625" style="1" bestFit="1" customWidth="1"/>
    <col min="8" max="8" width="7.25390625" style="1" customWidth="1"/>
    <col min="9" max="9" width="7.125" style="11" customWidth="1"/>
    <col min="10" max="10" width="11.125" style="5" customWidth="1"/>
    <col min="11" max="11" width="10.125" style="1" customWidth="1"/>
    <col min="12" max="12" width="9.375" style="1" customWidth="1"/>
    <col min="13" max="13" width="9.00390625" style="1" customWidth="1"/>
    <col min="14" max="14" width="8.375" style="1" bestFit="1" customWidth="1"/>
    <col min="15" max="15" width="8.25390625" style="1" customWidth="1"/>
    <col min="16" max="16" width="9.125" style="1" customWidth="1"/>
    <col min="17" max="17" width="10.25390625" style="1" customWidth="1"/>
    <col min="18" max="18" width="12.625" style="1" customWidth="1"/>
    <col min="19" max="16384" width="9.125" style="1" customWidth="1"/>
  </cols>
  <sheetData>
    <row r="1" ht="12.75">
      <c r="Q1" s="310" t="s">
        <v>267</v>
      </c>
    </row>
    <row r="2" spans="1:16" s="61" customFormat="1" ht="36" customHeight="1">
      <c r="A2" s="630" t="s">
        <v>289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2"/>
    </row>
    <row r="3" spans="1:16" s="61" customFormat="1" ht="15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2"/>
    </row>
    <row r="4" spans="1:9" s="61" customFormat="1" ht="25.5" customHeight="1">
      <c r="A4" s="66" t="s">
        <v>118</v>
      </c>
      <c r="G4" s="63"/>
      <c r="I4" s="64"/>
    </row>
    <row r="5" spans="1:17" ht="12" customHeight="1">
      <c r="A5" s="631" t="s">
        <v>108</v>
      </c>
      <c r="B5" s="639" t="s">
        <v>109</v>
      </c>
      <c r="C5" s="16" t="s">
        <v>46</v>
      </c>
      <c r="D5" s="26" t="s">
        <v>48</v>
      </c>
      <c r="E5" s="631" t="s">
        <v>0</v>
      </c>
      <c r="F5" s="637" t="s">
        <v>271</v>
      </c>
      <c r="G5" s="540" t="s">
        <v>1</v>
      </c>
      <c r="H5" s="637" t="s">
        <v>271</v>
      </c>
      <c r="I5" s="635" t="s">
        <v>112</v>
      </c>
      <c r="J5" s="628" t="s">
        <v>115</v>
      </c>
      <c r="K5" s="628"/>
      <c r="L5" s="628"/>
      <c r="M5" s="628"/>
      <c r="N5" s="628"/>
      <c r="O5" s="628"/>
      <c r="P5" s="628"/>
      <c r="Q5" s="629"/>
    </row>
    <row r="6" spans="1:17" ht="18.75" customHeight="1">
      <c r="A6" s="632"/>
      <c r="B6" s="640"/>
      <c r="C6" s="46" t="s">
        <v>47</v>
      </c>
      <c r="D6" s="74" t="s">
        <v>49</v>
      </c>
      <c r="E6" s="632"/>
      <c r="F6" s="638"/>
      <c r="G6" s="541"/>
      <c r="H6" s="638"/>
      <c r="I6" s="636"/>
      <c r="J6" s="45" t="s">
        <v>54</v>
      </c>
      <c r="K6" s="45" t="s">
        <v>55</v>
      </c>
      <c r="L6" s="45" t="s">
        <v>56</v>
      </c>
      <c r="M6" s="45" t="s">
        <v>57</v>
      </c>
      <c r="N6" s="45" t="s">
        <v>58</v>
      </c>
      <c r="O6" s="45">
        <v>4270</v>
      </c>
      <c r="P6" s="45">
        <v>4440</v>
      </c>
      <c r="Q6" s="47" t="s">
        <v>275</v>
      </c>
    </row>
    <row r="7" spans="1:17" ht="12">
      <c r="A7" s="36" t="s">
        <v>4</v>
      </c>
      <c r="B7" s="37">
        <v>1</v>
      </c>
      <c r="C7" s="37">
        <v>669</v>
      </c>
      <c r="D7" s="75">
        <f aca="true" t="shared" si="0" ref="D7:D28">G7/12/C7</f>
        <v>338.531016442451</v>
      </c>
      <c r="E7" s="39">
        <v>2719855</v>
      </c>
      <c r="F7" s="40"/>
      <c r="G7" s="41">
        <v>2717727</v>
      </c>
      <c r="H7" s="42"/>
      <c r="I7" s="343">
        <f>G7/E7</f>
        <v>0.999</v>
      </c>
      <c r="J7" s="44">
        <v>1821515</v>
      </c>
      <c r="K7" s="44">
        <v>123776</v>
      </c>
      <c r="L7" s="44">
        <v>334860</v>
      </c>
      <c r="M7" s="44">
        <v>45340</v>
      </c>
      <c r="N7" s="44">
        <v>106320</v>
      </c>
      <c r="O7" s="44">
        <v>67000</v>
      </c>
      <c r="P7" s="44">
        <v>103080</v>
      </c>
      <c r="Q7" s="40">
        <f aca="true" t="shared" si="1" ref="Q7:Q31">G7-(J7+K7+L7+M7+N7+O7+P7)</f>
        <v>115836</v>
      </c>
    </row>
    <row r="8" spans="1:17" ht="12">
      <c r="A8" s="17" t="s">
        <v>5</v>
      </c>
      <c r="B8" s="18">
        <v>2</v>
      </c>
      <c r="C8" s="18">
        <v>350.17</v>
      </c>
      <c r="D8" s="27">
        <f t="shared" si="0"/>
        <v>300.758441138114</v>
      </c>
      <c r="E8" s="31">
        <v>1268977</v>
      </c>
      <c r="F8" s="21">
        <v>5600</v>
      </c>
      <c r="G8" s="30">
        <v>1263799</v>
      </c>
      <c r="H8" s="33">
        <v>5600</v>
      </c>
      <c r="I8" s="343">
        <f aca="true" t="shared" si="2" ref="I8:I32">G8/E8</f>
        <v>0.996</v>
      </c>
      <c r="J8" s="19">
        <v>835885</v>
      </c>
      <c r="K8" s="19">
        <v>70888</v>
      </c>
      <c r="L8" s="19">
        <v>158924</v>
      </c>
      <c r="M8" s="19">
        <v>21702</v>
      </c>
      <c r="N8" s="19">
        <v>22306</v>
      </c>
      <c r="O8" s="19"/>
      <c r="P8" s="19">
        <v>52060</v>
      </c>
      <c r="Q8" s="21">
        <f t="shared" si="1"/>
        <v>102034</v>
      </c>
    </row>
    <row r="9" spans="1:17" ht="12">
      <c r="A9" s="17" t="s">
        <v>6</v>
      </c>
      <c r="B9" s="18">
        <v>3</v>
      </c>
      <c r="C9" s="18">
        <v>426</v>
      </c>
      <c r="D9" s="27">
        <f t="shared" si="0"/>
        <v>353.142214397496</v>
      </c>
      <c r="E9" s="31">
        <v>1808794</v>
      </c>
      <c r="F9" s="21">
        <v>5000</v>
      </c>
      <c r="G9" s="30">
        <v>1805263</v>
      </c>
      <c r="H9" s="33">
        <v>5000</v>
      </c>
      <c r="I9" s="343">
        <f t="shared" si="2"/>
        <v>0.998</v>
      </c>
      <c r="J9" s="19">
        <v>1249091</v>
      </c>
      <c r="K9" s="19">
        <v>66851</v>
      </c>
      <c r="L9" s="19">
        <v>203331</v>
      </c>
      <c r="M9" s="19">
        <v>28485</v>
      </c>
      <c r="N9" s="19">
        <v>85368</v>
      </c>
      <c r="O9" s="19">
        <v>60000</v>
      </c>
      <c r="P9" s="19">
        <v>65890</v>
      </c>
      <c r="Q9" s="21">
        <f t="shared" si="1"/>
        <v>46247</v>
      </c>
    </row>
    <row r="10" spans="1:17" ht="12">
      <c r="A10" s="17" t="s">
        <v>8</v>
      </c>
      <c r="B10" s="18">
        <v>4</v>
      </c>
      <c r="C10" s="18">
        <v>479</v>
      </c>
      <c r="D10" s="27">
        <f t="shared" si="0"/>
        <v>367.020180932498</v>
      </c>
      <c r="E10" s="31">
        <v>2129386</v>
      </c>
      <c r="F10" s="21">
        <v>4000</v>
      </c>
      <c r="G10" s="30">
        <v>2109632</v>
      </c>
      <c r="H10" s="33">
        <v>4000</v>
      </c>
      <c r="I10" s="343">
        <f t="shared" si="2"/>
        <v>0.991</v>
      </c>
      <c r="J10" s="19">
        <v>1424736</v>
      </c>
      <c r="K10" s="19">
        <v>94854</v>
      </c>
      <c r="L10" s="19">
        <v>261695</v>
      </c>
      <c r="M10" s="19">
        <v>35714</v>
      </c>
      <c r="N10" s="19">
        <v>153226</v>
      </c>
      <c r="O10" s="19">
        <v>10200</v>
      </c>
      <c r="P10" s="19">
        <v>78920</v>
      </c>
      <c r="Q10" s="21">
        <f t="shared" si="1"/>
        <v>50287</v>
      </c>
    </row>
    <row r="11" spans="1:17" ht="12">
      <c r="A11" s="17" t="s">
        <v>9</v>
      </c>
      <c r="B11" s="18">
        <v>5</v>
      </c>
      <c r="C11" s="18">
        <v>152</v>
      </c>
      <c r="D11" s="27">
        <f t="shared" si="0"/>
        <v>415.618421052632</v>
      </c>
      <c r="E11" s="31">
        <v>781028</v>
      </c>
      <c r="F11" s="21"/>
      <c r="G11" s="30">
        <v>758088</v>
      </c>
      <c r="H11" s="33"/>
      <c r="I11" s="343">
        <f t="shared" si="2"/>
        <v>0.971</v>
      </c>
      <c r="J11" s="19">
        <v>525858</v>
      </c>
      <c r="K11" s="19">
        <v>41635</v>
      </c>
      <c r="L11" s="19">
        <v>100431</v>
      </c>
      <c r="M11" s="19">
        <v>12244</v>
      </c>
      <c r="N11" s="19">
        <v>28547</v>
      </c>
      <c r="O11" s="19">
        <v>1976</v>
      </c>
      <c r="P11" s="19">
        <v>37570</v>
      </c>
      <c r="Q11" s="21">
        <f t="shared" si="1"/>
        <v>9827</v>
      </c>
    </row>
    <row r="12" spans="1:17" ht="12">
      <c r="A12" s="17" t="s">
        <v>10</v>
      </c>
      <c r="B12" s="18">
        <v>6</v>
      </c>
      <c r="C12" s="18">
        <v>164</v>
      </c>
      <c r="D12" s="27">
        <f t="shared" si="0"/>
        <v>356.00762195122</v>
      </c>
      <c r="E12" s="31">
        <v>716801</v>
      </c>
      <c r="F12" s="21"/>
      <c r="G12" s="30">
        <v>700623</v>
      </c>
      <c r="H12" s="33"/>
      <c r="I12" s="343">
        <f t="shared" si="2"/>
        <v>0.977</v>
      </c>
      <c r="J12" s="19">
        <v>496695</v>
      </c>
      <c r="K12" s="19">
        <v>28756</v>
      </c>
      <c r="L12" s="19">
        <v>82244</v>
      </c>
      <c r="M12" s="19">
        <v>12178</v>
      </c>
      <c r="N12" s="19">
        <v>37198</v>
      </c>
      <c r="O12" s="19">
        <v>2000</v>
      </c>
      <c r="P12" s="19">
        <v>30400</v>
      </c>
      <c r="Q12" s="21">
        <f t="shared" si="1"/>
        <v>11152</v>
      </c>
    </row>
    <row r="13" spans="1:17" ht="12">
      <c r="A13" s="17" t="s">
        <v>12</v>
      </c>
      <c r="B13" s="18">
        <v>7</v>
      </c>
      <c r="C13" s="18">
        <v>232</v>
      </c>
      <c r="D13" s="27">
        <f t="shared" si="0"/>
        <v>350.905172413793</v>
      </c>
      <c r="E13" s="31">
        <v>984004</v>
      </c>
      <c r="F13" s="21"/>
      <c r="G13" s="30">
        <v>976920</v>
      </c>
      <c r="H13" s="33"/>
      <c r="I13" s="343">
        <f t="shared" si="2"/>
        <v>0.993</v>
      </c>
      <c r="J13" s="19">
        <v>693546</v>
      </c>
      <c r="K13" s="19">
        <v>51590</v>
      </c>
      <c r="L13" s="19">
        <v>132703</v>
      </c>
      <c r="M13" s="19">
        <v>17672</v>
      </c>
      <c r="N13" s="19">
        <v>18625</v>
      </c>
      <c r="O13" s="19">
        <v>1308</v>
      </c>
      <c r="P13" s="19">
        <v>41950</v>
      </c>
      <c r="Q13" s="21">
        <f t="shared" si="1"/>
        <v>19526</v>
      </c>
    </row>
    <row r="14" spans="1:17" ht="12">
      <c r="A14" s="17" t="s">
        <v>13</v>
      </c>
      <c r="B14" s="18">
        <v>8</v>
      </c>
      <c r="C14" s="18">
        <v>299</v>
      </c>
      <c r="D14" s="27">
        <f t="shared" si="0"/>
        <v>358.196767001115</v>
      </c>
      <c r="E14" s="31">
        <v>1285354</v>
      </c>
      <c r="F14" s="21"/>
      <c r="G14" s="30">
        <v>1285210</v>
      </c>
      <c r="H14" s="33"/>
      <c r="I14" s="343">
        <f t="shared" si="2"/>
        <v>1</v>
      </c>
      <c r="J14" s="19">
        <v>904921</v>
      </c>
      <c r="K14" s="19">
        <v>65329</v>
      </c>
      <c r="L14" s="19">
        <v>161635</v>
      </c>
      <c r="M14" s="19">
        <v>21993</v>
      </c>
      <c r="N14" s="19">
        <v>58170</v>
      </c>
      <c r="O14" s="19">
        <v>680</v>
      </c>
      <c r="P14" s="19">
        <v>53484</v>
      </c>
      <c r="Q14" s="21">
        <f t="shared" si="1"/>
        <v>18998</v>
      </c>
    </row>
    <row r="15" spans="1:17" ht="12">
      <c r="A15" s="17" t="s">
        <v>15</v>
      </c>
      <c r="B15" s="18">
        <v>9</v>
      </c>
      <c r="C15" s="18">
        <v>160</v>
      </c>
      <c r="D15" s="27">
        <f t="shared" si="0"/>
        <v>467.260416666667</v>
      </c>
      <c r="E15" s="31">
        <v>899635</v>
      </c>
      <c r="F15" s="21"/>
      <c r="G15" s="30">
        <v>897140</v>
      </c>
      <c r="H15" s="33"/>
      <c r="I15" s="343">
        <f t="shared" si="2"/>
        <v>0.997</v>
      </c>
      <c r="J15" s="19">
        <v>619833</v>
      </c>
      <c r="K15" s="19">
        <v>47256</v>
      </c>
      <c r="L15" s="19">
        <v>117684</v>
      </c>
      <c r="M15" s="19">
        <v>16071</v>
      </c>
      <c r="N15" s="19">
        <v>41250</v>
      </c>
      <c r="O15" s="19">
        <v>3000</v>
      </c>
      <c r="P15" s="19">
        <v>38300</v>
      </c>
      <c r="Q15" s="21">
        <f t="shared" si="1"/>
        <v>13746</v>
      </c>
    </row>
    <row r="16" spans="1:17" ht="12">
      <c r="A16" s="17" t="s">
        <v>19</v>
      </c>
      <c r="B16" s="18">
        <v>10</v>
      </c>
      <c r="C16" s="18">
        <v>349</v>
      </c>
      <c r="D16" s="27">
        <f t="shared" si="0"/>
        <v>385.899474689589</v>
      </c>
      <c r="E16" s="31">
        <v>1617814</v>
      </c>
      <c r="F16" s="21"/>
      <c r="G16" s="30">
        <v>1616147</v>
      </c>
      <c r="H16" s="33"/>
      <c r="I16" s="343">
        <f t="shared" si="2"/>
        <v>0.999</v>
      </c>
      <c r="J16" s="19">
        <v>1104633</v>
      </c>
      <c r="K16" s="19">
        <v>74003</v>
      </c>
      <c r="L16" s="19">
        <v>208519</v>
      </c>
      <c r="M16" s="19">
        <v>28323</v>
      </c>
      <c r="N16" s="19">
        <v>10061</v>
      </c>
      <c r="O16" s="19">
        <v>2906</v>
      </c>
      <c r="P16" s="19">
        <v>64470</v>
      </c>
      <c r="Q16" s="21">
        <f t="shared" si="1"/>
        <v>123232</v>
      </c>
    </row>
    <row r="17" spans="1:17" ht="12">
      <c r="A17" s="17" t="s">
        <v>24</v>
      </c>
      <c r="B17" s="18">
        <v>11</v>
      </c>
      <c r="C17" s="18">
        <v>498</v>
      </c>
      <c r="D17" s="27">
        <f t="shared" si="0"/>
        <v>349.094544846051</v>
      </c>
      <c r="E17" s="31">
        <v>2089049</v>
      </c>
      <c r="F17" s="21"/>
      <c r="G17" s="30">
        <v>2086189</v>
      </c>
      <c r="H17" s="33"/>
      <c r="I17" s="343">
        <f t="shared" si="2"/>
        <v>0.999</v>
      </c>
      <c r="J17" s="19">
        <v>1406795</v>
      </c>
      <c r="K17" s="19">
        <v>98943</v>
      </c>
      <c r="L17" s="19">
        <v>259189</v>
      </c>
      <c r="M17" s="19">
        <v>35384</v>
      </c>
      <c r="N17" s="19">
        <v>154065</v>
      </c>
      <c r="O17" s="19">
        <v>3977</v>
      </c>
      <c r="P17" s="19">
        <v>81890</v>
      </c>
      <c r="Q17" s="21">
        <f t="shared" si="1"/>
        <v>45946</v>
      </c>
    </row>
    <row r="18" spans="1:17" ht="12">
      <c r="A18" s="17" t="s">
        <v>27</v>
      </c>
      <c r="B18" s="18">
        <v>12</v>
      </c>
      <c r="C18" s="18">
        <v>484</v>
      </c>
      <c r="D18" s="27">
        <f t="shared" si="0"/>
        <v>337.800964187328</v>
      </c>
      <c r="E18" s="31">
        <v>1975714</v>
      </c>
      <c r="F18" s="21">
        <v>3000</v>
      </c>
      <c r="G18" s="30">
        <v>1961948</v>
      </c>
      <c r="H18" s="33">
        <v>2405</v>
      </c>
      <c r="I18" s="343">
        <f t="shared" si="2"/>
        <v>0.993</v>
      </c>
      <c r="J18" s="19">
        <v>1324361</v>
      </c>
      <c r="K18" s="19">
        <v>95896</v>
      </c>
      <c r="L18" s="19">
        <v>248652</v>
      </c>
      <c r="M18" s="19">
        <v>33204</v>
      </c>
      <c r="N18" s="19">
        <v>139230</v>
      </c>
      <c r="O18" s="19">
        <v>1600</v>
      </c>
      <c r="P18" s="19">
        <v>81968</v>
      </c>
      <c r="Q18" s="21">
        <f t="shared" si="1"/>
        <v>37037</v>
      </c>
    </row>
    <row r="19" spans="1:17" ht="12">
      <c r="A19" s="17" t="s">
        <v>31</v>
      </c>
      <c r="B19" s="18">
        <v>13</v>
      </c>
      <c r="C19" s="18">
        <v>548.7</v>
      </c>
      <c r="D19" s="27">
        <f t="shared" si="0"/>
        <v>260.779873640727</v>
      </c>
      <c r="E19" s="31">
        <v>1753600</v>
      </c>
      <c r="F19" s="21">
        <v>1000</v>
      </c>
      <c r="G19" s="30">
        <v>1717079</v>
      </c>
      <c r="H19" s="33">
        <v>276</v>
      </c>
      <c r="I19" s="343">
        <f t="shared" si="2"/>
        <v>0.979</v>
      </c>
      <c r="J19" s="19">
        <v>1181223</v>
      </c>
      <c r="K19" s="19">
        <v>81471</v>
      </c>
      <c r="L19" s="19">
        <v>218912</v>
      </c>
      <c r="M19" s="19">
        <v>29813</v>
      </c>
      <c r="N19" s="19">
        <v>78422</v>
      </c>
      <c r="O19" s="19"/>
      <c r="P19" s="19">
        <v>76130</v>
      </c>
      <c r="Q19" s="21">
        <f t="shared" si="1"/>
        <v>51108</v>
      </c>
    </row>
    <row r="20" spans="1:17" ht="12">
      <c r="A20" s="17" t="s">
        <v>35</v>
      </c>
      <c r="B20" s="18">
        <v>14</v>
      </c>
      <c r="C20" s="18">
        <v>485</v>
      </c>
      <c r="D20" s="27">
        <f t="shared" si="0"/>
        <v>327.387457044674</v>
      </c>
      <c r="E20" s="31">
        <v>1926414</v>
      </c>
      <c r="F20" s="21">
        <v>3373</v>
      </c>
      <c r="G20" s="30">
        <v>1905395</v>
      </c>
      <c r="H20" s="33">
        <v>3348</v>
      </c>
      <c r="I20" s="343">
        <f t="shared" si="2"/>
        <v>0.989</v>
      </c>
      <c r="J20" s="19">
        <v>1206713</v>
      </c>
      <c r="K20" s="19">
        <v>97026</v>
      </c>
      <c r="L20" s="19">
        <v>231642</v>
      </c>
      <c r="M20" s="19">
        <v>31624</v>
      </c>
      <c r="N20" s="19">
        <v>196081</v>
      </c>
      <c r="O20" s="19">
        <v>11569</v>
      </c>
      <c r="P20" s="19">
        <v>74880</v>
      </c>
      <c r="Q20" s="21">
        <f t="shared" si="1"/>
        <v>55860</v>
      </c>
    </row>
    <row r="21" spans="1:17" ht="12">
      <c r="A21" s="17" t="s">
        <v>36</v>
      </c>
      <c r="B21" s="18">
        <v>15</v>
      </c>
      <c r="C21" s="18">
        <v>502</v>
      </c>
      <c r="D21" s="27">
        <f t="shared" si="0"/>
        <v>302.375996015936</v>
      </c>
      <c r="E21" s="31">
        <v>1846823</v>
      </c>
      <c r="F21" s="21">
        <v>7747</v>
      </c>
      <c r="G21" s="30">
        <v>1821513</v>
      </c>
      <c r="H21" s="33">
        <v>7729</v>
      </c>
      <c r="I21" s="343">
        <f t="shared" si="2"/>
        <v>0.986</v>
      </c>
      <c r="J21" s="19">
        <v>1290352</v>
      </c>
      <c r="K21" s="19">
        <v>97035</v>
      </c>
      <c r="L21" s="19">
        <v>240465</v>
      </c>
      <c r="M21" s="19">
        <v>32747</v>
      </c>
      <c r="N21" s="19">
        <v>41800</v>
      </c>
      <c r="O21" s="19">
        <v>6000</v>
      </c>
      <c r="P21" s="19">
        <v>80540</v>
      </c>
      <c r="Q21" s="21">
        <f t="shared" si="1"/>
        <v>32574</v>
      </c>
    </row>
    <row r="22" spans="1:17" ht="12">
      <c r="A22" s="17" t="s">
        <v>37</v>
      </c>
      <c r="B22" s="18">
        <v>16</v>
      </c>
      <c r="C22" s="18">
        <v>587</v>
      </c>
      <c r="D22" s="27">
        <f t="shared" si="0"/>
        <v>320.522288472459</v>
      </c>
      <c r="E22" s="31">
        <v>2265436</v>
      </c>
      <c r="F22" s="21"/>
      <c r="G22" s="30">
        <v>2257759</v>
      </c>
      <c r="H22" s="33"/>
      <c r="I22" s="343">
        <f t="shared" si="2"/>
        <v>0.997</v>
      </c>
      <c r="J22" s="19">
        <v>1523436</v>
      </c>
      <c r="K22" s="19">
        <v>119684</v>
      </c>
      <c r="L22" s="19">
        <v>281282</v>
      </c>
      <c r="M22" s="19">
        <v>38338</v>
      </c>
      <c r="N22" s="19">
        <v>169925</v>
      </c>
      <c r="O22" s="19">
        <v>3278</v>
      </c>
      <c r="P22" s="19">
        <v>93080</v>
      </c>
      <c r="Q22" s="21">
        <f t="shared" si="1"/>
        <v>28736</v>
      </c>
    </row>
    <row r="23" spans="1:17" ht="12">
      <c r="A23" s="17" t="s">
        <v>38</v>
      </c>
      <c r="B23" s="18">
        <v>17</v>
      </c>
      <c r="C23" s="18">
        <v>549</v>
      </c>
      <c r="D23" s="27">
        <f t="shared" si="0"/>
        <v>281.040528233151</v>
      </c>
      <c r="E23" s="31">
        <v>1858087</v>
      </c>
      <c r="F23" s="21"/>
      <c r="G23" s="30">
        <v>1851495</v>
      </c>
      <c r="H23" s="33"/>
      <c r="I23" s="343">
        <f t="shared" si="2"/>
        <v>0.996</v>
      </c>
      <c r="J23" s="19">
        <v>1241236</v>
      </c>
      <c r="K23" s="19">
        <v>97004</v>
      </c>
      <c r="L23" s="19">
        <v>234603</v>
      </c>
      <c r="M23" s="19">
        <v>31950</v>
      </c>
      <c r="N23" s="19">
        <v>133300</v>
      </c>
      <c r="O23" s="19">
        <v>1539</v>
      </c>
      <c r="P23" s="19">
        <v>79000</v>
      </c>
      <c r="Q23" s="21">
        <f t="shared" si="1"/>
        <v>32863</v>
      </c>
    </row>
    <row r="24" spans="1:17" ht="12">
      <c r="A24" s="17" t="s">
        <v>40</v>
      </c>
      <c r="B24" s="18">
        <v>18</v>
      </c>
      <c r="C24" s="18">
        <v>363</v>
      </c>
      <c r="D24" s="27">
        <f t="shared" si="0"/>
        <v>306.967630853994</v>
      </c>
      <c r="E24" s="31">
        <v>1337450</v>
      </c>
      <c r="F24" s="21">
        <v>2250</v>
      </c>
      <c r="G24" s="30">
        <v>1337151</v>
      </c>
      <c r="H24" s="33">
        <v>2250</v>
      </c>
      <c r="I24" s="343">
        <f t="shared" si="2"/>
        <v>1</v>
      </c>
      <c r="J24" s="19">
        <v>870500</v>
      </c>
      <c r="K24" s="19">
        <v>72467</v>
      </c>
      <c r="L24" s="19">
        <v>167700</v>
      </c>
      <c r="M24" s="19">
        <v>22490</v>
      </c>
      <c r="N24" s="19">
        <v>118500</v>
      </c>
      <c r="O24" s="19">
        <v>3400</v>
      </c>
      <c r="P24" s="19">
        <v>56470</v>
      </c>
      <c r="Q24" s="21">
        <f t="shared" si="1"/>
        <v>25624</v>
      </c>
    </row>
    <row r="25" spans="1:17" ht="12">
      <c r="A25" s="17" t="s">
        <v>41</v>
      </c>
      <c r="B25" s="18">
        <v>19</v>
      </c>
      <c r="C25" s="18">
        <v>593</v>
      </c>
      <c r="D25" s="27">
        <f t="shared" si="0"/>
        <v>337.375351320967</v>
      </c>
      <c r="E25" s="31">
        <v>2408041</v>
      </c>
      <c r="F25" s="21"/>
      <c r="G25" s="30">
        <v>2400763</v>
      </c>
      <c r="H25" s="33"/>
      <c r="I25" s="343">
        <f t="shared" si="2"/>
        <v>0.997</v>
      </c>
      <c r="J25" s="19">
        <v>1675095</v>
      </c>
      <c r="K25" s="19">
        <v>122667</v>
      </c>
      <c r="L25" s="19">
        <v>316828</v>
      </c>
      <c r="M25" s="19">
        <v>43210</v>
      </c>
      <c r="N25" s="19">
        <v>127770</v>
      </c>
      <c r="O25" s="19">
        <v>3000</v>
      </c>
      <c r="P25" s="19">
        <v>81480</v>
      </c>
      <c r="Q25" s="21">
        <f t="shared" si="1"/>
        <v>30713</v>
      </c>
    </row>
    <row r="26" spans="1:17" ht="12">
      <c r="A26" s="17" t="s">
        <v>42</v>
      </c>
      <c r="B26" s="18">
        <v>20</v>
      </c>
      <c r="C26" s="18">
        <v>237</v>
      </c>
      <c r="D26" s="27">
        <f t="shared" si="0"/>
        <v>321.277777777778</v>
      </c>
      <c r="E26" s="31">
        <v>919407</v>
      </c>
      <c r="F26" s="21"/>
      <c r="G26" s="30">
        <v>913714</v>
      </c>
      <c r="H26" s="33"/>
      <c r="I26" s="343">
        <f t="shared" si="2"/>
        <v>0.994</v>
      </c>
      <c r="J26" s="19">
        <v>644697</v>
      </c>
      <c r="K26" s="19">
        <v>50332</v>
      </c>
      <c r="L26" s="19">
        <v>118724</v>
      </c>
      <c r="M26" s="19">
        <v>16756</v>
      </c>
      <c r="N26" s="19">
        <v>22700</v>
      </c>
      <c r="O26" s="19">
        <v>4500</v>
      </c>
      <c r="P26" s="19">
        <v>39650</v>
      </c>
      <c r="Q26" s="21">
        <f t="shared" si="1"/>
        <v>16355</v>
      </c>
    </row>
    <row r="27" spans="1:17" ht="12">
      <c r="A27" s="17" t="s">
        <v>43</v>
      </c>
      <c r="B27" s="18" t="s">
        <v>52</v>
      </c>
      <c r="C27" s="18">
        <v>86</v>
      </c>
      <c r="D27" s="27">
        <f t="shared" si="0"/>
        <v>154.304263565891</v>
      </c>
      <c r="E27" s="31">
        <v>164206</v>
      </c>
      <c r="F27" s="21"/>
      <c r="G27" s="30">
        <v>159242</v>
      </c>
      <c r="H27" s="33"/>
      <c r="I27" s="343">
        <f t="shared" si="2"/>
        <v>0.97</v>
      </c>
      <c r="J27" s="19">
        <v>110652</v>
      </c>
      <c r="K27" s="19">
        <v>9210</v>
      </c>
      <c r="L27" s="19">
        <v>21600</v>
      </c>
      <c r="M27" s="19">
        <v>2930</v>
      </c>
      <c r="N27" s="19">
        <v>1220</v>
      </c>
      <c r="O27" s="19">
        <v>1188</v>
      </c>
      <c r="P27" s="19">
        <v>7100</v>
      </c>
      <c r="Q27" s="21">
        <f t="shared" si="1"/>
        <v>5342</v>
      </c>
    </row>
    <row r="28" spans="1:17" ht="12" hidden="1">
      <c r="A28" s="24" t="s">
        <v>2</v>
      </c>
      <c r="B28" s="25"/>
      <c r="C28" s="20">
        <f>SUM(C7:C27)</f>
        <v>8213</v>
      </c>
      <c r="D28" s="27">
        <f t="shared" si="0"/>
        <v>330.196000243516</v>
      </c>
      <c r="E28" s="80">
        <f>SUM(E7:E27)</f>
        <v>32755875</v>
      </c>
      <c r="F28" s="67"/>
      <c r="G28" s="78">
        <v>32542797</v>
      </c>
      <c r="H28" s="84"/>
      <c r="I28" s="343">
        <f t="shared" si="2"/>
        <v>0.993</v>
      </c>
      <c r="J28" s="22">
        <f aca="true" t="shared" si="3" ref="J28:P28">SUM(J7:J27)</f>
        <v>22151773</v>
      </c>
      <c r="K28" s="22">
        <f t="shared" si="3"/>
        <v>1606673</v>
      </c>
      <c r="L28" s="20">
        <f t="shared" si="3"/>
        <v>4101623</v>
      </c>
      <c r="M28" s="20">
        <f t="shared" si="3"/>
        <v>558168</v>
      </c>
      <c r="N28" s="22">
        <f t="shared" si="3"/>
        <v>1744084</v>
      </c>
      <c r="O28" s="22">
        <f t="shared" si="3"/>
        <v>189121</v>
      </c>
      <c r="P28" s="22">
        <f t="shared" si="3"/>
        <v>1318312</v>
      </c>
      <c r="Q28" s="67">
        <f t="shared" si="1"/>
        <v>873043</v>
      </c>
    </row>
    <row r="29" spans="1:17" ht="12" hidden="1">
      <c r="A29" s="24"/>
      <c r="B29" s="25"/>
      <c r="C29" s="20"/>
      <c r="D29" s="27"/>
      <c r="E29" s="80"/>
      <c r="F29" s="67"/>
      <c r="G29" s="78"/>
      <c r="H29" s="84"/>
      <c r="I29" s="343" t="e">
        <f t="shared" si="2"/>
        <v>#DIV/0!</v>
      </c>
      <c r="J29" s="20"/>
      <c r="K29" s="20"/>
      <c r="L29" s="20"/>
      <c r="M29" s="20"/>
      <c r="N29" s="20"/>
      <c r="O29" s="20"/>
      <c r="P29" s="20"/>
      <c r="Q29" s="23">
        <f t="shared" si="1"/>
        <v>0</v>
      </c>
    </row>
    <row r="30" spans="1:17" ht="12">
      <c r="A30" s="24" t="s">
        <v>44</v>
      </c>
      <c r="B30" s="18">
        <v>23</v>
      </c>
      <c r="C30" s="25">
        <v>129</v>
      </c>
      <c r="D30" s="27">
        <f>G30/12/C30</f>
        <v>310.807493540052</v>
      </c>
      <c r="E30" s="80">
        <v>481130</v>
      </c>
      <c r="F30" s="32"/>
      <c r="G30" s="30">
        <v>481130</v>
      </c>
      <c r="H30" s="33"/>
      <c r="I30" s="343">
        <f t="shared" si="2"/>
        <v>1</v>
      </c>
      <c r="J30" s="19">
        <v>335468</v>
      </c>
      <c r="K30" s="19">
        <v>25553</v>
      </c>
      <c r="L30" s="19">
        <v>64787</v>
      </c>
      <c r="M30" s="19">
        <v>8823</v>
      </c>
      <c r="N30" s="19">
        <v>14400</v>
      </c>
      <c r="O30" s="19"/>
      <c r="P30" s="19">
        <v>20938</v>
      </c>
      <c r="Q30" s="21">
        <f t="shared" si="1"/>
        <v>11161</v>
      </c>
    </row>
    <row r="31" spans="1:17" ht="12">
      <c r="A31" s="68" t="s">
        <v>53</v>
      </c>
      <c r="B31" s="50">
        <v>24</v>
      </c>
      <c r="C31" s="69">
        <v>160</v>
      </c>
      <c r="D31" s="76">
        <f>G31/12/C31</f>
        <v>421.464583333333</v>
      </c>
      <c r="E31" s="81">
        <v>814951</v>
      </c>
      <c r="F31" s="82"/>
      <c r="G31" s="54">
        <v>809212</v>
      </c>
      <c r="H31" s="55"/>
      <c r="I31" s="344">
        <f t="shared" si="2"/>
        <v>0.993</v>
      </c>
      <c r="J31" s="57">
        <v>585911</v>
      </c>
      <c r="K31" s="57">
        <v>41580</v>
      </c>
      <c r="L31" s="57">
        <v>111172</v>
      </c>
      <c r="M31" s="57">
        <v>15893</v>
      </c>
      <c r="N31" s="57"/>
      <c r="O31" s="57"/>
      <c r="P31" s="57">
        <v>36861</v>
      </c>
      <c r="Q31" s="53">
        <f t="shared" si="1"/>
        <v>17795</v>
      </c>
    </row>
    <row r="32" spans="1:18" s="2" customFormat="1" ht="12">
      <c r="A32" s="70" t="s">
        <v>3</v>
      </c>
      <c r="B32" s="73"/>
      <c r="C32" s="71">
        <f>SUM(C28:C31)</f>
        <v>8502</v>
      </c>
      <c r="D32" s="77">
        <f>G32/12/C32</f>
        <v>331.619413079275</v>
      </c>
      <c r="E32" s="83">
        <f aca="true" t="shared" si="4" ref="E32:Q32">SUM(E28:E31)</f>
        <v>34051956</v>
      </c>
      <c r="F32" s="72">
        <f t="shared" si="4"/>
        <v>0</v>
      </c>
      <c r="G32" s="79">
        <f t="shared" si="4"/>
        <v>33833139</v>
      </c>
      <c r="H32" s="85">
        <f t="shared" si="4"/>
        <v>0</v>
      </c>
      <c r="I32" s="345">
        <f t="shared" si="2"/>
        <v>0.994</v>
      </c>
      <c r="J32" s="71">
        <f t="shared" si="4"/>
        <v>23073152</v>
      </c>
      <c r="K32" s="71">
        <f t="shared" si="4"/>
        <v>1673806</v>
      </c>
      <c r="L32" s="71">
        <f t="shared" si="4"/>
        <v>4277582</v>
      </c>
      <c r="M32" s="71">
        <f t="shared" si="4"/>
        <v>582884</v>
      </c>
      <c r="N32" s="71">
        <f t="shared" si="4"/>
        <v>1758484</v>
      </c>
      <c r="O32" s="71">
        <f t="shared" si="4"/>
        <v>189121</v>
      </c>
      <c r="P32" s="71">
        <f t="shared" si="4"/>
        <v>1376111</v>
      </c>
      <c r="Q32" s="72">
        <f t="shared" si="4"/>
        <v>901999</v>
      </c>
      <c r="R32" s="298"/>
    </row>
    <row r="33" spans="5:17" ht="12">
      <c r="E33" s="13"/>
      <c r="F33" s="13"/>
      <c r="G33" s="13"/>
      <c r="H33" s="13"/>
      <c r="I33" s="14"/>
      <c r="J33" s="10"/>
      <c r="K33" s="13"/>
      <c r="L33" s="13"/>
      <c r="M33" s="13"/>
      <c r="N33" s="13"/>
      <c r="O33" s="13"/>
      <c r="P33" s="13"/>
      <c r="Q33" s="13"/>
    </row>
    <row r="34" spans="5:17" ht="12">
      <c r="E34" s="13"/>
      <c r="F34" s="13"/>
      <c r="G34" s="13"/>
      <c r="H34" s="13"/>
      <c r="I34" s="14"/>
      <c r="J34" s="10"/>
      <c r="K34" s="13"/>
      <c r="L34" s="13"/>
      <c r="M34" s="13"/>
      <c r="N34" s="13"/>
      <c r="O34" s="13"/>
      <c r="P34" s="13"/>
      <c r="Q34" s="13"/>
    </row>
    <row r="35" spans="5:17" ht="12">
      <c r="E35" s="13"/>
      <c r="F35" s="13"/>
      <c r="G35" s="13"/>
      <c r="H35" s="13"/>
      <c r="I35" s="14"/>
      <c r="J35" s="10"/>
      <c r="K35" s="13"/>
      <c r="L35" s="13"/>
      <c r="M35" s="13"/>
      <c r="N35" s="13"/>
      <c r="O35" s="13"/>
      <c r="P35" s="13"/>
      <c r="Q35" s="13"/>
    </row>
    <row r="36" spans="5:17" ht="12">
      <c r="E36" s="13"/>
      <c r="F36" s="13"/>
      <c r="G36" s="13"/>
      <c r="H36" s="13"/>
      <c r="I36" s="14"/>
      <c r="J36" s="10"/>
      <c r="K36" s="13"/>
      <c r="L36" s="13"/>
      <c r="M36" s="13"/>
      <c r="N36" s="13"/>
      <c r="O36" s="13"/>
      <c r="P36" s="13"/>
      <c r="Q36" s="13"/>
    </row>
    <row r="44" ht="12">
      <c r="T44" s="1">
        <f>SUM(J44:S44)</f>
        <v>0</v>
      </c>
    </row>
  </sheetData>
  <mergeCells count="9">
    <mergeCell ref="A2:O2"/>
    <mergeCell ref="A5:A6"/>
    <mergeCell ref="B5:B6"/>
    <mergeCell ref="E5:E6"/>
    <mergeCell ref="F5:F6"/>
    <mergeCell ref="G5:G6"/>
    <mergeCell ref="H5:H6"/>
    <mergeCell ref="I5:I6"/>
    <mergeCell ref="J5:Q5"/>
  </mergeCells>
  <printOptions/>
  <pageMargins left="0.62" right="0" top="0.69" bottom="0.51" header="0.25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38">
      <selection activeCell="D56" sqref="D56"/>
    </sheetView>
  </sheetViews>
  <sheetFormatPr defaultColWidth="9.00390625" defaultRowHeight="12.75"/>
  <cols>
    <col min="1" max="1" width="14.00390625" style="0" customWidth="1"/>
    <col min="2" max="2" width="7.625" style="0" customWidth="1"/>
    <col min="3" max="3" width="7.75390625" style="0" customWidth="1"/>
    <col min="4" max="4" width="9.875" style="0" customWidth="1"/>
    <col min="5" max="5" width="6.875" style="0" customWidth="1"/>
    <col min="6" max="6" width="8.125" style="0" customWidth="1"/>
    <col min="7" max="7" width="5.75390625" style="0" bestFit="1" customWidth="1"/>
    <col min="8" max="8" width="11.125" style="0" customWidth="1"/>
    <col min="9" max="9" width="5.75390625" style="0" bestFit="1" customWidth="1"/>
    <col min="10" max="10" width="6.375" style="0" customWidth="1"/>
    <col min="11" max="11" width="7.875" style="0" customWidth="1"/>
    <col min="12" max="12" width="10.625" style="0" customWidth="1"/>
    <col min="13" max="13" width="6.875" style="0" customWidth="1"/>
    <col min="14" max="14" width="7.75390625" style="0" customWidth="1"/>
    <col min="15" max="15" width="5.75390625" style="0" bestFit="1" customWidth="1"/>
    <col min="16" max="16" width="10.25390625" style="0" customWidth="1"/>
    <col min="17" max="17" width="5.75390625" style="0" bestFit="1" customWidth="1"/>
    <col min="18" max="18" width="6.125" style="0" customWidth="1"/>
  </cols>
  <sheetData>
    <row r="1" ht="12.75">
      <c r="R1" s="348" t="s">
        <v>272</v>
      </c>
    </row>
    <row r="3" spans="1:18" ht="16.5">
      <c r="A3" s="542" t="s">
        <v>290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</row>
    <row r="6" spans="1:18" ht="15">
      <c r="A6" s="292"/>
      <c r="B6" s="293"/>
      <c r="C6" s="537" t="s">
        <v>268</v>
      </c>
      <c r="D6" s="545"/>
      <c r="E6" s="546"/>
      <c r="F6" s="545" t="s">
        <v>125</v>
      </c>
      <c r="G6" s="545"/>
      <c r="H6" s="545"/>
      <c r="I6" s="545"/>
      <c r="J6" s="546"/>
      <c r="K6" s="537" t="s">
        <v>126</v>
      </c>
      <c r="L6" s="545"/>
      <c r="M6" s="546"/>
      <c r="N6" s="537" t="s">
        <v>127</v>
      </c>
      <c r="O6" s="545"/>
      <c r="P6" s="545"/>
      <c r="Q6" s="545"/>
      <c r="R6" s="538"/>
    </row>
    <row r="7" spans="1:18" ht="38.25">
      <c r="A7" s="245" t="s">
        <v>108</v>
      </c>
      <c r="B7" s="252" t="s">
        <v>109</v>
      </c>
      <c r="C7" s="320" t="s">
        <v>0</v>
      </c>
      <c r="D7" s="247" t="s">
        <v>1</v>
      </c>
      <c r="E7" s="249" t="s">
        <v>112</v>
      </c>
      <c r="F7" s="317" t="s">
        <v>0</v>
      </c>
      <c r="G7" s="248" t="s">
        <v>65</v>
      </c>
      <c r="H7" s="247" t="s">
        <v>1</v>
      </c>
      <c r="I7" s="248" t="s">
        <v>65</v>
      </c>
      <c r="J7" s="249" t="s">
        <v>112</v>
      </c>
      <c r="K7" s="250" t="s">
        <v>0</v>
      </c>
      <c r="L7" s="246" t="s">
        <v>1</v>
      </c>
      <c r="M7" s="249" t="s">
        <v>112</v>
      </c>
      <c r="N7" s="250" t="s">
        <v>0</v>
      </c>
      <c r="O7" s="251" t="s">
        <v>65</v>
      </c>
      <c r="P7" s="252" t="s">
        <v>1</v>
      </c>
      <c r="Q7" s="251" t="s">
        <v>65</v>
      </c>
      <c r="R7" s="253" t="s">
        <v>112</v>
      </c>
    </row>
    <row r="8" spans="1:18" ht="15.75" customHeight="1">
      <c r="A8" s="237" t="s">
        <v>4</v>
      </c>
      <c r="B8" s="311">
        <v>1</v>
      </c>
      <c r="C8" s="321"/>
      <c r="D8" s="322"/>
      <c r="E8" s="318"/>
      <c r="F8" s="240">
        <v>3200</v>
      </c>
      <c r="G8" s="239"/>
      <c r="H8" s="239">
        <v>3196</v>
      </c>
      <c r="I8" s="239"/>
      <c r="J8" s="241">
        <f aca="true" t="shared" si="0" ref="J8:J29">H8/F8*100</f>
        <v>99.9</v>
      </c>
      <c r="K8" s="240">
        <f>4980+2520</f>
        <v>7500</v>
      </c>
      <c r="L8" s="236">
        <v>7500</v>
      </c>
      <c r="M8" s="241">
        <f aca="true" t="shared" si="1" ref="M8:M47">(L8/K8)*100</f>
        <v>100</v>
      </c>
      <c r="N8" s="240"/>
      <c r="O8" s="239"/>
      <c r="P8" s="242"/>
      <c r="Q8" s="243"/>
      <c r="R8" s="244"/>
    </row>
    <row r="9" spans="1:18" ht="15.75" customHeight="1">
      <c r="A9" s="197" t="s">
        <v>5</v>
      </c>
      <c r="B9" s="312">
        <v>2</v>
      </c>
      <c r="C9" s="323"/>
      <c r="D9" s="324"/>
      <c r="E9" s="319"/>
      <c r="F9" s="214">
        <f>3000+600</f>
        <v>3600</v>
      </c>
      <c r="G9" s="200"/>
      <c r="H9" s="200">
        <v>3600</v>
      </c>
      <c r="I9" s="200"/>
      <c r="J9" s="229">
        <f t="shared" si="0"/>
        <v>100</v>
      </c>
      <c r="K9" s="214">
        <v>3810</v>
      </c>
      <c r="L9" s="211">
        <v>3749</v>
      </c>
      <c r="M9" s="229">
        <f t="shared" si="1"/>
        <v>98.4</v>
      </c>
      <c r="N9" s="214">
        <v>3000</v>
      </c>
      <c r="O9" s="200"/>
      <c r="P9" s="216">
        <v>3000</v>
      </c>
      <c r="Q9" s="211"/>
      <c r="R9" s="225">
        <f>P9/N9*100</f>
        <v>100</v>
      </c>
    </row>
    <row r="10" spans="1:18" ht="15.75" customHeight="1">
      <c r="A10" s="197" t="s">
        <v>6</v>
      </c>
      <c r="B10" s="312">
        <v>5</v>
      </c>
      <c r="C10" s="323"/>
      <c r="D10" s="324"/>
      <c r="E10" s="319"/>
      <c r="F10" s="214"/>
      <c r="G10" s="200"/>
      <c r="H10" s="200"/>
      <c r="I10" s="200"/>
      <c r="J10" s="229"/>
      <c r="K10" s="214">
        <v>4170</v>
      </c>
      <c r="L10" s="211">
        <v>4170</v>
      </c>
      <c r="M10" s="229">
        <f t="shared" si="1"/>
        <v>100</v>
      </c>
      <c r="N10" s="214"/>
      <c r="O10" s="200"/>
      <c r="P10" s="216"/>
      <c r="Q10" s="211"/>
      <c r="R10" s="225"/>
    </row>
    <row r="11" spans="1:18" ht="15.75" customHeight="1">
      <c r="A11" s="197" t="s">
        <v>7</v>
      </c>
      <c r="B11" s="312">
        <v>6</v>
      </c>
      <c r="C11" s="323"/>
      <c r="D11" s="324"/>
      <c r="E11" s="319"/>
      <c r="F11" s="214">
        <v>20700</v>
      </c>
      <c r="G11" s="200"/>
      <c r="H11" s="200">
        <v>20679</v>
      </c>
      <c r="I11" s="200"/>
      <c r="J11" s="229">
        <f t="shared" si="0"/>
        <v>99.9</v>
      </c>
      <c r="K11" s="214">
        <v>7020</v>
      </c>
      <c r="L11" s="211">
        <v>7020</v>
      </c>
      <c r="M11" s="229">
        <f t="shared" si="1"/>
        <v>100</v>
      </c>
      <c r="N11" s="214">
        <v>4000</v>
      </c>
      <c r="O11" s="200"/>
      <c r="P11" s="216">
        <v>3914</v>
      </c>
      <c r="Q11" s="211"/>
      <c r="R11" s="225">
        <f aca="true" t="shared" si="2" ref="R11:R47">P11/N11*100</f>
        <v>97.9</v>
      </c>
    </row>
    <row r="12" spans="1:18" ht="15.75" customHeight="1">
      <c r="A12" s="197" t="s">
        <v>8</v>
      </c>
      <c r="B12" s="312">
        <v>7</v>
      </c>
      <c r="C12" s="323"/>
      <c r="D12" s="324"/>
      <c r="E12" s="319"/>
      <c r="F12" s="214">
        <v>25142</v>
      </c>
      <c r="G12" s="200"/>
      <c r="H12" s="200">
        <v>25113</v>
      </c>
      <c r="I12" s="200"/>
      <c r="J12" s="229">
        <f t="shared" si="0"/>
        <v>99.9</v>
      </c>
      <c r="K12" s="214">
        <f>2670+1680</f>
        <v>4350</v>
      </c>
      <c r="L12" s="211">
        <v>4311</v>
      </c>
      <c r="M12" s="229">
        <f t="shared" si="1"/>
        <v>99.1</v>
      </c>
      <c r="N12" s="214">
        <v>1000</v>
      </c>
      <c r="O12" s="200"/>
      <c r="P12" s="216">
        <v>996</v>
      </c>
      <c r="Q12" s="211"/>
      <c r="R12" s="225">
        <f t="shared" si="2"/>
        <v>99.6</v>
      </c>
    </row>
    <row r="13" spans="1:18" ht="15.75" customHeight="1">
      <c r="A13" s="197" t="s">
        <v>9</v>
      </c>
      <c r="B13" s="312">
        <v>8</v>
      </c>
      <c r="C13" s="325">
        <v>16000</v>
      </c>
      <c r="D13" s="326">
        <v>16000</v>
      </c>
      <c r="E13" s="229">
        <f>D13/C13*100</f>
        <v>100</v>
      </c>
      <c r="F13" s="214">
        <v>24600</v>
      </c>
      <c r="G13" s="200">
        <v>500</v>
      </c>
      <c r="H13" s="200">
        <v>22588</v>
      </c>
      <c r="I13" s="200">
        <v>500</v>
      </c>
      <c r="J13" s="229">
        <f t="shared" si="0"/>
        <v>91.8</v>
      </c>
      <c r="K13" s="214">
        <v>2970</v>
      </c>
      <c r="L13" s="211">
        <v>2970</v>
      </c>
      <c r="M13" s="229">
        <f t="shared" si="1"/>
        <v>100</v>
      </c>
      <c r="N13" s="214">
        <v>1500</v>
      </c>
      <c r="O13" s="200"/>
      <c r="P13" s="216">
        <v>1499</v>
      </c>
      <c r="Q13" s="211"/>
      <c r="R13" s="225">
        <f t="shared" si="2"/>
        <v>99.9</v>
      </c>
    </row>
    <row r="14" spans="1:18" ht="15.75" customHeight="1">
      <c r="A14" s="197" t="s">
        <v>10</v>
      </c>
      <c r="B14" s="312">
        <v>9</v>
      </c>
      <c r="C14" s="325"/>
      <c r="D14" s="324"/>
      <c r="E14" s="229"/>
      <c r="F14" s="214">
        <v>1000</v>
      </c>
      <c r="G14" s="200"/>
      <c r="H14" s="200">
        <v>778</v>
      </c>
      <c r="I14" s="200"/>
      <c r="J14" s="229">
        <f t="shared" si="0"/>
        <v>77.8</v>
      </c>
      <c r="K14" s="214">
        <v>10320</v>
      </c>
      <c r="L14" s="211">
        <v>8983</v>
      </c>
      <c r="M14" s="229">
        <f t="shared" si="1"/>
        <v>87</v>
      </c>
      <c r="N14" s="214">
        <v>3750</v>
      </c>
      <c r="O14" s="200"/>
      <c r="P14" s="216">
        <v>3734</v>
      </c>
      <c r="Q14" s="211"/>
      <c r="R14" s="225">
        <f t="shared" si="2"/>
        <v>99.6</v>
      </c>
    </row>
    <row r="15" spans="1:18" ht="15.75" customHeight="1">
      <c r="A15" s="197" t="s">
        <v>11</v>
      </c>
      <c r="B15" s="312">
        <v>10</v>
      </c>
      <c r="C15" s="325">
        <v>2700</v>
      </c>
      <c r="D15" s="326">
        <v>2276</v>
      </c>
      <c r="E15" s="229">
        <f>D15/C15*100</f>
        <v>84.3</v>
      </c>
      <c r="F15" s="214">
        <v>29600</v>
      </c>
      <c r="G15" s="200"/>
      <c r="H15" s="200">
        <v>29542</v>
      </c>
      <c r="I15" s="200"/>
      <c r="J15" s="229">
        <f t="shared" si="0"/>
        <v>99.8</v>
      </c>
      <c r="K15" s="214">
        <v>12720</v>
      </c>
      <c r="L15" s="211">
        <v>12720</v>
      </c>
      <c r="M15" s="229">
        <f t="shared" si="1"/>
        <v>100</v>
      </c>
      <c r="N15" s="214">
        <v>9800</v>
      </c>
      <c r="O15" s="200">
        <v>3000</v>
      </c>
      <c r="P15" s="216">
        <v>6590</v>
      </c>
      <c r="Q15" s="211">
        <v>3000</v>
      </c>
      <c r="R15" s="225">
        <f t="shared" si="2"/>
        <v>67.2</v>
      </c>
    </row>
    <row r="16" spans="1:18" ht="15.75" customHeight="1">
      <c r="A16" s="197" t="s">
        <v>12</v>
      </c>
      <c r="B16" s="312">
        <v>11</v>
      </c>
      <c r="C16" s="323"/>
      <c r="D16" s="324"/>
      <c r="E16" s="319"/>
      <c r="F16" s="214">
        <v>1000</v>
      </c>
      <c r="G16" s="200">
        <v>500</v>
      </c>
      <c r="H16" s="200">
        <v>500</v>
      </c>
      <c r="I16" s="200">
        <v>500</v>
      </c>
      <c r="J16" s="229">
        <f t="shared" si="0"/>
        <v>50</v>
      </c>
      <c r="K16" s="214">
        <v>3900</v>
      </c>
      <c r="L16" s="211">
        <v>3764</v>
      </c>
      <c r="M16" s="229">
        <f t="shared" si="1"/>
        <v>96.5</v>
      </c>
      <c r="N16" s="214">
        <v>2000</v>
      </c>
      <c r="O16" s="200"/>
      <c r="P16" s="216">
        <v>1999</v>
      </c>
      <c r="Q16" s="211"/>
      <c r="R16" s="225">
        <f t="shared" si="2"/>
        <v>100</v>
      </c>
    </row>
    <row r="17" spans="1:18" ht="15.75" customHeight="1">
      <c r="A17" s="197" t="s">
        <v>13</v>
      </c>
      <c r="B17" s="312">
        <v>12</v>
      </c>
      <c r="C17" s="323"/>
      <c r="D17" s="324"/>
      <c r="E17" s="319"/>
      <c r="F17" s="214">
        <v>22300</v>
      </c>
      <c r="G17" s="200"/>
      <c r="H17" s="200">
        <v>22300</v>
      </c>
      <c r="I17" s="200"/>
      <c r="J17" s="229">
        <f t="shared" si="0"/>
        <v>100</v>
      </c>
      <c r="K17" s="214">
        <v>11330</v>
      </c>
      <c r="L17" s="211">
        <v>10910</v>
      </c>
      <c r="M17" s="229">
        <f t="shared" si="1"/>
        <v>96.3</v>
      </c>
      <c r="N17" s="214">
        <v>9000</v>
      </c>
      <c r="O17" s="200">
        <v>3000</v>
      </c>
      <c r="P17" s="216">
        <v>6000</v>
      </c>
      <c r="Q17" s="211">
        <v>3000</v>
      </c>
      <c r="R17" s="225">
        <f t="shared" si="2"/>
        <v>66.7</v>
      </c>
    </row>
    <row r="18" spans="1:18" ht="15.75" customHeight="1">
      <c r="A18" s="197" t="s">
        <v>14</v>
      </c>
      <c r="B18" s="312">
        <v>13</v>
      </c>
      <c r="C18" s="323"/>
      <c r="D18" s="324"/>
      <c r="E18" s="319"/>
      <c r="F18" s="214"/>
      <c r="G18" s="200"/>
      <c r="H18" s="200"/>
      <c r="I18" s="200"/>
      <c r="J18" s="229"/>
      <c r="K18" s="214">
        <v>7200</v>
      </c>
      <c r="L18" s="211">
        <v>7200</v>
      </c>
      <c r="M18" s="229">
        <f t="shared" si="1"/>
        <v>100</v>
      </c>
      <c r="N18" s="214">
        <v>2000</v>
      </c>
      <c r="O18" s="200"/>
      <c r="P18" s="216">
        <v>1999</v>
      </c>
      <c r="Q18" s="217"/>
      <c r="R18" s="225">
        <f t="shared" si="2"/>
        <v>100</v>
      </c>
    </row>
    <row r="19" spans="1:18" ht="15.75" customHeight="1">
      <c r="A19" s="197" t="s">
        <v>15</v>
      </c>
      <c r="B19" s="312">
        <v>14</v>
      </c>
      <c r="C19" s="323"/>
      <c r="D19" s="324"/>
      <c r="E19" s="319"/>
      <c r="F19" s="214">
        <v>1500</v>
      </c>
      <c r="G19" s="200"/>
      <c r="H19" s="200">
        <v>1169</v>
      </c>
      <c r="I19" s="200"/>
      <c r="J19" s="229">
        <f t="shared" si="0"/>
        <v>77.9</v>
      </c>
      <c r="K19" s="214">
        <v>3360</v>
      </c>
      <c r="L19" s="211">
        <v>3360</v>
      </c>
      <c r="M19" s="229">
        <f t="shared" si="1"/>
        <v>100</v>
      </c>
      <c r="N19" s="214"/>
      <c r="O19" s="200"/>
      <c r="P19" s="216"/>
      <c r="Q19" s="217"/>
      <c r="R19" s="225"/>
    </row>
    <row r="20" spans="1:18" ht="15.75" customHeight="1">
      <c r="A20" s="197" t="s">
        <v>17</v>
      </c>
      <c r="B20" s="312">
        <v>16</v>
      </c>
      <c r="C20" s="325">
        <v>540</v>
      </c>
      <c r="D20" s="326">
        <v>60</v>
      </c>
      <c r="E20" s="229">
        <f>D20/C20*100</f>
        <v>11.1</v>
      </c>
      <c r="F20" s="214">
        <v>32700</v>
      </c>
      <c r="G20" s="200">
        <v>1500</v>
      </c>
      <c r="H20" s="200">
        <v>31200</v>
      </c>
      <c r="I20" s="200">
        <v>1500</v>
      </c>
      <c r="J20" s="229">
        <f t="shared" si="0"/>
        <v>95.4</v>
      </c>
      <c r="K20" s="214">
        <v>7050</v>
      </c>
      <c r="L20" s="211">
        <v>7050</v>
      </c>
      <c r="M20" s="229">
        <f t="shared" si="1"/>
        <v>100</v>
      </c>
      <c r="N20" s="214">
        <v>2700</v>
      </c>
      <c r="O20" s="200"/>
      <c r="P20" s="216">
        <v>2700</v>
      </c>
      <c r="Q20" s="217"/>
      <c r="R20" s="225">
        <f t="shared" si="2"/>
        <v>100</v>
      </c>
    </row>
    <row r="21" spans="1:18" ht="15.75" customHeight="1">
      <c r="A21" s="197" t="s">
        <v>16</v>
      </c>
      <c r="B21" s="312">
        <v>17</v>
      </c>
      <c r="C21" s="323"/>
      <c r="D21" s="324"/>
      <c r="E21" s="319"/>
      <c r="F21" s="214">
        <v>800</v>
      </c>
      <c r="G21" s="200"/>
      <c r="H21" s="200">
        <v>789</v>
      </c>
      <c r="I21" s="200"/>
      <c r="J21" s="229">
        <f t="shared" si="0"/>
        <v>98.6</v>
      </c>
      <c r="K21" s="214">
        <v>6540</v>
      </c>
      <c r="L21" s="211">
        <v>6523</v>
      </c>
      <c r="M21" s="229">
        <f t="shared" si="1"/>
        <v>99.7</v>
      </c>
      <c r="N21" s="214">
        <v>2000</v>
      </c>
      <c r="O21" s="200"/>
      <c r="P21" s="216">
        <v>1999</v>
      </c>
      <c r="Q21" s="217"/>
      <c r="R21" s="225">
        <f t="shared" si="2"/>
        <v>100</v>
      </c>
    </row>
    <row r="22" spans="1:18" ht="15.75" customHeight="1">
      <c r="A22" s="197" t="s">
        <v>18</v>
      </c>
      <c r="B22" s="312">
        <v>18</v>
      </c>
      <c r="C22" s="323"/>
      <c r="D22" s="324"/>
      <c r="E22" s="319"/>
      <c r="F22" s="214">
        <v>500</v>
      </c>
      <c r="G22" s="200"/>
      <c r="H22" s="200">
        <v>500</v>
      </c>
      <c r="I22" s="200"/>
      <c r="J22" s="229">
        <f t="shared" si="0"/>
        <v>100</v>
      </c>
      <c r="K22" s="214">
        <v>7916</v>
      </c>
      <c r="L22" s="211">
        <v>7740</v>
      </c>
      <c r="M22" s="229">
        <f t="shared" si="1"/>
        <v>97.8</v>
      </c>
      <c r="N22" s="214">
        <v>4000</v>
      </c>
      <c r="O22" s="200"/>
      <c r="P22" s="216">
        <v>3999</v>
      </c>
      <c r="Q22" s="217"/>
      <c r="R22" s="225">
        <f t="shared" si="2"/>
        <v>100</v>
      </c>
    </row>
    <row r="23" spans="1:18" ht="15.75" customHeight="1">
      <c r="A23" s="197" t="s">
        <v>19</v>
      </c>
      <c r="B23" s="312">
        <v>19</v>
      </c>
      <c r="C23" s="323"/>
      <c r="D23" s="324"/>
      <c r="E23" s="319"/>
      <c r="F23" s="214">
        <v>50300</v>
      </c>
      <c r="G23" s="200">
        <v>20000</v>
      </c>
      <c r="H23" s="200">
        <v>30299</v>
      </c>
      <c r="I23" s="200">
        <v>20000</v>
      </c>
      <c r="J23" s="229">
        <f t="shared" si="0"/>
        <v>60.2</v>
      </c>
      <c r="K23" s="214">
        <v>5130</v>
      </c>
      <c r="L23" s="211">
        <v>5130</v>
      </c>
      <c r="M23" s="229">
        <f t="shared" si="1"/>
        <v>100</v>
      </c>
      <c r="N23" s="214">
        <v>3000</v>
      </c>
      <c r="O23" s="200"/>
      <c r="P23" s="216">
        <v>2999</v>
      </c>
      <c r="Q23" s="217"/>
      <c r="R23" s="225">
        <f t="shared" si="2"/>
        <v>100</v>
      </c>
    </row>
    <row r="24" spans="1:18" ht="15.75" customHeight="1">
      <c r="A24" s="197" t="s">
        <v>20</v>
      </c>
      <c r="B24" s="312">
        <v>20</v>
      </c>
      <c r="C24" s="323"/>
      <c r="D24" s="324"/>
      <c r="E24" s="319"/>
      <c r="F24" s="214">
        <v>6700</v>
      </c>
      <c r="G24" s="200"/>
      <c r="H24" s="200">
        <v>6692</v>
      </c>
      <c r="I24" s="200"/>
      <c r="J24" s="229">
        <f t="shared" si="0"/>
        <v>99.9</v>
      </c>
      <c r="K24" s="214">
        <v>1800</v>
      </c>
      <c r="L24" s="211">
        <v>1800</v>
      </c>
      <c r="M24" s="229">
        <f t="shared" si="1"/>
        <v>100</v>
      </c>
      <c r="N24" s="214">
        <v>2400</v>
      </c>
      <c r="O24" s="200"/>
      <c r="P24" s="216">
        <v>2400</v>
      </c>
      <c r="Q24" s="217"/>
      <c r="R24" s="225">
        <f t="shared" si="2"/>
        <v>100</v>
      </c>
    </row>
    <row r="25" spans="1:18" ht="15.75" customHeight="1">
      <c r="A25" s="197" t="s">
        <v>21</v>
      </c>
      <c r="B25" s="312">
        <v>21</v>
      </c>
      <c r="C25" s="323"/>
      <c r="D25" s="324"/>
      <c r="E25" s="319"/>
      <c r="F25" s="214">
        <v>6400</v>
      </c>
      <c r="G25" s="200"/>
      <c r="H25" s="200">
        <v>6376</v>
      </c>
      <c r="I25" s="200"/>
      <c r="J25" s="229">
        <f t="shared" si="0"/>
        <v>99.6</v>
      </c>
      <c r="K25" s="214">
        <v>4950</v>
      </c>
      <c r="L25" s="211">
        <v>4929</v>
      </c>
      <c r="M25" s="229">
        <f t="shared" si="1"/>
        <v>99.6</v>
      </c>
      <c r="N25" s="214">
        <v>3000</v>
      </c>
      <c r="O25" s="200"/>
      <c r="P25" s="216">
        <v>2999</v>
      </c>
      <c r="Q25" s="217"/>
      <c r="R25" s="225">
        <f t="shared" si="2"/>
        <v>100</v>
      </c>
    </row>
    <row r="26" spans="1:18" ht="15.75" customHeight="1">
      <c r="A26" s="197" t="s">
        <v>22</v>
      </c>
      <c r="B26" s="312">
        <v>23</v>
      </c>
      <c r="C26" s="323"/>
      <c r="D26" s="324"/>
      <c r="E26" s="319"/>
      <c r="F26" s="214"/>
      <c r="G26" s="200"/>
      <c r="H26" s="200"/>
      <c r="I26" s="200"/>
      <c r="J26" s="229"/>
      <c r="K26" s="214">
        <v>5670</v>
      </c>
      <c r="L26" s="211">
        <v>5670</v>
      </c>
      <c r="M26" s="229">
        <f t="shared" si="1"/>
        <v>100</v>
      </c>
      <c r="N26" s="214">
        <v>2000</v>
      </c>
      <c r="O26" s="200"/>
      <c r="P26" s="216">
        <v>1999</v>
      </c>
      <c r="Q26" s="217"/>
      <c r="R26" s="225">
        <f t="shared" si="2"/>
        <v>100</v>
      </c>
    </row>
    <row r="27" spans="1:18" ht="15.75" customHeight="1">
      <c r="A27" s="197" t="s">
        <v>23</v>
      </c>
      <c r="B27" s="312">
        <v>26</v>
      </c>
      <c r="C27" s="323"/>
      <c r="D27" s="324"/>
      <c r="E27" s="319"/>
      <c r="F27" s="214">
        <v>16700</v>
      </c>
      <c r="G27" s="200"/>
      <c r="H27" s="200">
        <v>16686</v>
      </c>
      <c r="I27" s="200"/>
      <c r="J27" s="229">
        <f t="shared" si="0"/>
        <v>99.9</v>
      </c>
      <c r="K27" s="214">
        <v>3090</v>
      </c>
      <c r="L27" s="211">
        <v>3090</v>
      </c>
      <c r="M27" s="229">
        <f t="shared" si="1"/>
        <v>100</v>
      </c>
      <c r="N27" s="214">
        <v>11200</v>
      </c>
      <c r="O27" s="200">
        <v>6000</v>
      </c>
      <c r="P27" s="216">
        <v>5199</v>
      </c>
      <c r="Q27" s="211">
        <v>5991</v>
      </c>
      <c r="R27" s="225">
        <f t="shared" si="2"/>
        <v>46.4</v>
      </c>
    </row>
    <row r="28" spans="1:18" ht="15.75" customHeight="1">
      <c r="A28" s="197" t="s">
        <v>24</v>
      </c>
      <c r="B28" s="312">
        <v>27</v>
      </c>
      <c r="C28" s="323"/>
      <c r="D28" s="324"/>
      <c r="E28" s="319"/>
      <c r="F28" s="214">
        <v>2000</v>
      </c>
      <c r="G28" s="200">
        <v>500</v>
      </c>
      <c r="H28" s="200">
        <v>1500</v>
      </c>
      <c r="I28" s="200">
        <v>500</v>
      </c>
      <c r="J28" s="229">
        <f t="shared" si="0"/>
        <v>75</v>
      </c>
      <c r="K28" s="214">
        <f>3030+1680</f>
        <v>4710</v>
      </c>
      <c r="L28" s="211">
        <v>4710</v>
      </c>
      <c r="M28" s="229">
        <f t="shared" si="1"/>
        <v>100</v>
      </c>
      <c r="N28" s="214">
        <v>11000</v>
      </c>
      <c r="O28" s="200"/>
      <c r="P28" s="216">
        <v>10767</v>
      </c>
      <c r="Q28" s="217"/>
      <c r="R28" s="225">
        <f t="shared" si="2"/>
        <v>97.9</v>
      </c>
    </row>
    <row r="29" spans="1:18" ht="15.75" customHeight="1">
      <c r="A29" s="197" t="s">
        <v>25</v>
      </c>
      <c r="B29" s="312">
        <v>28</v>
      </c>
      <c r="C29" s="323"/>
      <c r="D29" s="324"/>
      <c r="E29" s="319"/>
      <c r="F29" s="214">
        <v>10100</v>
      </c>
      <c r="G29" s="200">
        <v>3000</v>
      </c>
      <c r="H29" s="200">
        <v>5766</v>
      </c>
      <c r="I29" s="200">
        <v>3000</v>
      </c>
      <c r="J29" s="229">
        <f t="shared" si="0"/>
        <v>57.1</v>
      </c>
      <c r="K29" s="214">
        <v>5520</v>
      </c>
      <c r="L29" s="211">
        <v>5520</v>
      </c>
      <c r="M29" s="229">
        <f t="shared" si="1"/>
        <v>100</v>
      </c>
      <c r="N29" s="214">
        <v>2000</v>
      </c>
      <c r="O29" s="200"/>
      <c r="P29" s="216">
        <v>1999</v>
      </c>
      <c r="Q29" s="217"/>
      <c r="R29" s="225">
        <f t="shared" si="2"/>
        <v>100</v>
      </c>
    </row>
    <row r="30" spans="1:18" ht="15.75" customHeight="1">
      <c r="A30" s="197" t="s">
        <v>26</v>
      </c>
      <c r="B30" s="312">
        <v>29</v>
      </c>
      <c r="C30" s="323"/>
      <c r="D30" s="324"/>
      <c r="E30" s="319"/>
      <c r="F30" s="214">
        <v>400</v>
      </c>
      <c r="G30" s="200"/>
      <c r="H30" s="200">
        <v>400</v>
      </c>
      <c r="I30" s="200"/>
      <c r="J30" s="229">
        <v>0</v>
      </c>
      <c r="K30" s="214">
        <v>6720</v>
      </c>
      <c r="L30" s="211">
        <v>6720</v>
      </c>
      <c r="M30" s="229">
        <f t="shared" si="1"/>
        <v>100</v>
      </c>
      <c r="N30" s="214">
        <v>1000</v>
      </c>
      <c r="O30" s="200"/>
      <c r="P30" s="216">
        <v>999</v>
      </c>
      <c r="Q30" s="217"/>
      <c r="R30" s="225">
        <f t="shared" si="2"/>
        <v>99.9</v>
      </c>
    </row>
    <row r="31" spans="1:18" ht="15.75" customHeight="1">
      <c r="A31" s="197" t="s">
        <v>27</v>
      </c>
      <c r="B31" s="312">
        <v>31</v>
      </c>
      <c r="C31" s="323"/>
      <c r="D31" s="324"/>
      <c r="E31" s="319"/>
      <c r="F31" s="214">
        <v>23900</v>
      </c>
      <c r="G31" s="200"/>
      <c r="H31" s="200">
        <v>23899</v>
      </c>
      <c r="I31" s="200"/>
      <c r="J31" s="229">
        <f aca="true" t="shared" si="3" ref="J31:J47">H31/F31*100</f>
        <v>100</v>
      </c>
      <c r="K31" s="214">
        <v>12360</v>
      </c>
      <c r="L31" s="211">
        <v>12360</v>
      </c>
      <c r="M31" s="229">
        <f t="shared" si="1"/>
        <v>100</v>
      </c>
      <c r="N31" s="214">
        <v>3000</v>
      </c>
      <c r="O31" s="200"/>
      <c r="P31" s="216">
        <v>2999</v>
      </c>
      <c r="Q31" s="217"/>
      <c r="R31" s="225">
        <f t="shared" si="2"/>
        <v>100</v>
      </c>
    </row>
    <row r="32" spans="1:18" ht="15.75" customHeight="1">
      <c r="A32" s="197" t="s">
        <v>28</v>
      </c>
      <c r="B32" s="312">
        <v>33</v>
      </c>
      <c r="C32" s="323"/>
      <c r="D32" s="324"/>
      <c r="E32" s="319"/>
      <c r="F32" s="214">
        <v>26000</v>
      </c>
      <c r="G32" s="200"/>
      <c r="H32" s="200">
        <v>24799</v>
      </c>
      <c r="I32" s="200"/>
      <c r="J32" s="229">
        <f t="shared" si="3"/>
        <v>95.4</v>
      </c>
      <c r="K32" s="214">
        <v>10730</v>
      </c>
      <c r="L32" s="211">
        <v>10730</v>
      </c>
      <c r="M32" s="229">
        <f t="shared" si="1"/>
        <v>100</v>
      </c>
      <c r="N32" s="214">
        <v>2000</v>
      </c>
      <c r="O32" s="200"/>
      <c r="P32" s="216">
        <v>1966</v>
      </c>
      <c r="Q32" s="217"/>
      <c r="R32" s="225">
        <f t="shared" si="2"/>
        <v>98.3</v>
      </c>
    </row>
    <row r="33" spans="1:18" ht="15.75" customHeight="1">
      <c r="A33" s="197" t="s">
        <v>29</v>
      </c>
      <c r="B33" s="312">
        <v>34</v>
      </c>
      <c r="C33" s="323"/>
      <c r="D33" s="324"/>
      <c r="E33" s="319"/>
      <c r="F33" s="214">
        <v>15900</v>
      </c>
      <c r="G33" s="200"/>
      <c r="H33" s="200">
        <v>15435</v>
      </c>
      <c r="I33" s="200"/>
      <c r="J33" s="229">
        <f t="shared" si="3"/>
        <v>97.1</v>
      </c>
      <c r="K33" s="214">
        <v>4680</v>
      </c>
      <c r="L33" s="211">
        <v>4560</v>
      </c>
      <c r="M33" s="229">
        <f t="shared" si="1"/>
        <v>97.4</v>
      </c>
      <c r="N33" s="214"/>
      <c r="O33" s="200"/>
      <c r="P33" s="216"/>
      <c r="Q33" s="217"/>
      <c r="R33" s="225"/>
    </row>
    <row r="34" spans="1:18" ht="15.75" customHeight="1">
      <c r="A34" s="197" t="s">
        <v>30</v>
      </c>
      <c r="B34" s="312">
        <v>35</v>
      </c>
      <c r="C34" s="323"/>
      <c r="D34" s="324"/>
      <c r="E34" s="319"/>
      <c r="F34" s="214">
        <v>1400</v>
      </c>
      <c r="G34" s="200">
        <v>1000</v>
      </c>
      <c r="H34" s="200">
        <v>399</v>
      </c>
      <c r="I34" s="200">
        <v>1000</v>
      </c>
      <c r="J34" s="229">
        <f t="shared" si="3"/>
        <v>28.5</v>
      </c>
      <c r="K34" s="214">
        <v>4980</v>
      </c>
      <c r="L34" s="211">
        <v>4964</v>
      </c>
      <c r="M34" s="229">
        <f t="shared" si="1"/>
        <v>99.7</v>
      </c>
      <c r="N34" s="214">
        <v>3000</v>
      </c>
      <c r="O34" s="200"/>
      <c r="P34" s="216">
        <v>2999</v>
      </c>
      <c r="Q34" s="217"/>
      <c r="R34" s="225">
        <f t="shared" si="2"/>
        <v>100</v>
      </c>
    </row>
    <row r="35" spans="1:18" ht="15.75" customHeight="1">
      <c r="A35" s="197" t="s">
        <v>31</v>
      </c>
      <c r="B35" s="312" t="s">
        <v>269</v>
      </c>
      <c r="C35" s="325">
        <v>600</v>
      </c>
      <c r="D35" s="326">
        <v>197</v>
      </c>
      <c r="E35" s="229">
        <f>D35/C35*100</f>
        <v>32.8</v>
      </c>
      <c r="F35" s="214"/>
      <c r="G35" s="200"/>
      <c r="H35" s="200"/>
      <c r="I35" s="200"/>
      <c r="J35" s="229"/>
      <c r="K35" s="214">
        <v>10410</v>
      </c>
      <c r="L35" s="211">
        <v>10410</v>
      </c>
      <c r="M35" s="229">
        <f t="shared" si="1"/>
        <v>100</v>
      </c>
      <c r="N35" s="214">
        <v>8000</v>
      </c>
      <c r="O35" s="200">
        <v>3000</v>
      </c>
      <c r="P35" s="216">
        <v>4882</v>
      </c>
      <c r="Q35" s="211">
        <v>2973</v>
      </c>
      <c r="R35" s="225">
        <f t="shared" si="2"/>
        <v>61</v>
      </c>
    </row>
    <row r="36" spans="1:18" ht="15.75" customHeight="1">
      <c r="A36" s="197" t="s">
        <v>32</v>
      </c>
      <c r="B36" s="312">
        <v>37</v>
      </c>
      <c r="C36" s="323"/>
      <c r="D36" s="324"/>
      <c r="E36" s="319"/>
      <c r="F36" s="214">
        <v>2000</v>
      </c>
      <c r="G36" s="200"/>
      <c r="H36" s="200">
        <v>1915</v>
      </c>
      <c r="I36" s="200"/>
      <c r="J36" s="229">
        <f t="shared" si="3"/>
        <v>95.8</v>
      </c>
      <c r="K36" s="214">
        <v>420</v>
      </c>
      <c r="L36" s="211">
        <v>420</v>
      </c>
      <c r="M36" s="229">
        <f t="shared" si="1"/>
        <v>100</v>
      </c>
      <c r="N36" s="214">
        <v>2000</v>
      </c>
      <c r="O36" s="200"/>
      <c r="P36" s="216">
        <v>1999</v>
      </c>
      <c r="Q36" s="217"/>
      <c r="R36" s="225">
        <f t="shared" si="2"/>
        <v>100</v>
      </c>
    </row>
    <row r="37" spans="1:18" ht="15.75" customHeight="1">
      <c r="A37" s="197" t="s">
        <v>33</v>
      </c>
      <c r="B37" s="312">
        <v>39</v>
      </c>
      <c r="C37" s="323"/>
      <c r="D37" s="324"/>
      <c r="E37" s="319"/>
      <c r="F37" s="214"/>
      <c r="G37" s="200"/>
      <c r="H37" s="200"/>
      <c r="I37" s="200"/>
      <c r="J37" s="229"/>
      <c r="K37" s="214">
        <v>19700</v>
      </c>
      <c r="L37" s="211">
        <v>19685</v>
      </c>
      <c r="M37" s="229">
        <f t="shared" si="1"/>
        <v>99.9</v>
      </c>
      <c r="N37" s="214">
        <v>5250</v>
      </c>
      <c r="O37" s="200"/>
      <c r="P37" s="216">
        <v>5239</v>
      </c>
      <c r="Q37" s="217"/>
      <c r="R37" s="225">
        <f t="shared" si="2"/>
        <v>99.8</v>
      </c>
    </row>
    <row r="38" spans="1:18" ht="15.75" customHeight="1">
      <c r="A38" s="197" t="s">
        <v>34</v>
      </c>
      <c r="B38" s="312">
        <v>40</v>
      </c>
      <c r="C38" s="323"/>
      <c r="D38" s="324"/>
      <c r="E38" s="319"/>
      <c r="F38" s="214"/>
      <c r="G38" s="200"/>
      <c r="H38" s="200"/>
      <c r="I38" s="200"/>
      <c r="J38" s="229"/>
      <c r="K38" s="214">
        <v>5340</v>
      </c>
      <c r="L38" s="211">
        <v>5330</v>
      </c>
      <c r="M38" s="229">
        <f t="shared" si="1"/>
        <v>99.8</v>
      </c>
      <c r="N38" s="214">
        <v>4000</v>
      </c>
      <c r="O38" s="200"/>
      <c r="P38" s="216">
        <v>3999</v>
      </c>
      <c r="Q38" s="217"/>
      <c r="R38" s="225">
        <f t="shared" si="2"/>
        <v>100</v>
      </c>
    </row>
    <row r="39" spans="1:18" ht="15.75" customHeight="1">
      <c r="A39" s="197" t="s">
        <v>35</v>
      </c>
      <c r="B39" s="312">
        <v>41</v>
      </c>
      <c r="C39" s="323"/>
      <c r="D39" s="324"/>
      <c r="E39" s="319"/>
      <c r="F39" s="214"/>
      <c r="G39" s="200"/>
      <c r="H39" s="200"/>
      <c r="I39" s="200"/>
      <c r="J39" s="229"/>
      <c r="K39" s="214">
        <v>8470</v>
      </c>
      <c r="L39" s="211">
        <v>8470</v>
      </c>
      <c r="M39" s="229">
        <f t="shared" si="1"/>
        <v>100</v>
      </c>
      <c r="N39" s="214">
        <v>6000</v>
      </c>
      <c r="O39" s="200"/>
      <c r="P39" s="216">
        <v>5999</v>
      </c>
      <c r="Q39" s="217"/>
      <c r="R39" s="225">
        <f t="shared" si="2"/>
        <v>100</v>
      </c>
    </row>
    <row r="40" spans="1:18" ht="15.75" customHeight="1">
      <c r="A40" s="197" t="s">
        <v>36</v>
      </c>
      <c r="B40" s="312">
        <v>42</v>
      </c>
      <c r="C40" s="323"/>
      <c r="D40" s="324"/>
      <c r="E40" s="319"/>
      <c r="F40" s="214">
        <f>24200+800</f>
        <v>25000</v>
      </c>
      <c r="G40" s="200"/>
      <c r="H40" s="200">
        <v>24919</v>
      </c>
      <c r="I40" s="200"/>
      <c r="J40" s="229">
        <f t="shared" si="3"/>
        <v>99.7</v>
      </c>
      <c r="K40" s="214">
        <v>10590</v>
      </c>
      <c r="L40" s="211">
        <v>10590</v>
      </c>
      <c r="M40" s="229">
        <f t="shared" si="1"/>
        <v>100</v>
      </c>
      <c r="N40" s="214">
        <v>5400</v>
      </c>
      <c r="O40" s="200"/>
      <c r="P40" s="216">
        <v>5398</v>
      </c>
      <c r="Q40" s="217"/>
      <c r="R40" s="225">
        <f t="shared" si="2"/>
        <v>100</v>
      </c>
    </row>
    <row r="41" spans="1:18" ht="15.75" customHeight="1">
      <c r="A41" s="197" t="s">
        <v>37</v>
      </c>
      <c r="B41" s="312">
        <v>43</v>
      </c>
      <c r="C41" s="323"/>
      <c r="D41" s="324"/>
      <c r="E41" s="319"/>
      <c r="F41" s="214">
        <v>30562</v>
      </c>
      <c r="G41" s="200">
        <v>21620</v>
      </c>
      <c r="H41" s="200">
        <v>27748</v>
      </c>
      <c r="I41" s="200">
        <v>2162</v>
      </c>
      <c r="J41" s="229">
        <f t="shared" si="3"/>
        <v>90.8</v>
      </c>
      <c r="K41" s="214">
        <v>6570</v>
      </c>
      <c r="L41" s="211">
        <v>6570</v>
      </c>
      <c r="M41" s="229">
        <f t="shared" si="1"/>
        <v>100</v>
      </c>
      <c r="N41" s="214">
        <v>4000</v>
      </c>
      <c r="O41" s="200"/>
      <c r="P41" s="216">
        <v>3999</v>
      </c>
      <c r="Q41" s="217"/>
      <c r="R41" s="225">
        <f t="shared" si="2"/>
        <v>100</v>
      </c>
    </row>
    <row r="42" spans="1:18" ht="15.75" customHeight="1">
      <c r="A42" s="197" t="s">
        <v>38</v>
      </c>
      <c r="B42" s="312">
        <v>44</v>
      </c>
      <c r="C42" s="323"/>
      <c r="D42" s="324"/>
      <c r="E42" s="319"/>
      <c r="F42" s="214">
        <v>900</v>
      </c>
      <c r="G42" s="200"/>
      <c r="H42" s="200">
        <v>900</v>
      </c>
      <c r="I42" s="200"/>
      <c r="J42" s="229">
        <f t="shared" si="3"/>
        <v>100</v>
      </c>
      <c r="K42" s="214">
        <v>4830</v>
      </c>
      <c r="L42" s="211">
        <v>4025</v>
      </c>
      <c r="M42" s="229">
        <f t="shared" si="1"/>
        <v>83.3</v>
      </c>
      <c r="N42" s="214">
        <v>2750</v>
      </c>
      <c r="O42" s="200"/>
      <c r="P42" s="216">
        <v>2746</v>
      </c>
      <c r="Q42" s="217"/>
      <c r="R42" s="225">
        <f t="shared" si="2"/>
        <v>99.9</v>
      </c>
    </row>
    <row r="43" spans="1:18" ht="15.75" customHeight="1">
      <c r="A43" s="197" t="s">
        <v>39</v>
      </c>
      <c r="B43" s="312">
        <v>45</v>
      </c>
      <c r="C43" s="323"/>
      <c r="D43" s="324"/>
      <c r="E43" s="319"/>
      <c r="F43" s="214">
        <v>4360</v>
      </c>
      <c r="G43" s="200">
        <v>500</v>
      </c>
      <c r="H43" s="200">
        <v>3857</v>
      </c>
      <c r="I43" s="200">
        <v>499</v>
      </c>
      <c r="J43" s="229">
        <f t="shared" si="3"/>
        <v>88.5</v>
      </c>
      <c r="K43" s="214">
        <v>3420</v>
      </c>
      <c r="L43" s="211">
        <v>3420</v>
      </c>
      <c r="M43" s="229">
        <f t="shared" si="1"/>
        <v>100</v>
      </c>
      <c r="N43" s="214"/>
      <c r="O43" s="200"/>
      <c r="P43" s="216"/>
      <c r="Q43" s="217"/>
      <c r="R43" s="225"/>
    </row>
    <row r="44" spans="1:18" ht="15.75" customHeight="1">
      <c r="A44" s="197" t="s">
        <v>40</v>
      </c>
      <c r="B44" s="312">
        <v>46</v>
      </c>
      <c r="C44" s="323"/>
      <c r="D44" s="324"/>
      <c r="E44" s="319"/>
      <c r="F44" s="214"/>
      <c r="G44" s="200"/>
      <c r="H44" s="200"/>
      <c r="I44" s="200"/>
      <c r="J44" s="229"/>
      <c r="K44" s="214">
        <v>7320</v>
      </c>
      <c r="L44" s="211">
        <v>7320</v>
      </c>
      <c r="M44" s="229">
        <f t="shared" si="1"/>
        <v>100</v>
      </c>
      <c r="N44" s="214">
        <v>6000</v>
      </c>
      <c r="O44" s="200"/>
      <c r="P44" s="216">
        <v>5998</v>
      </c>
      <c r="Q44" s="217"/>
      <c r="R44" s="225">
        <f t="shared" si="2"/>
        <v>100</v>
      </c>
    </row>
    <row r="45" spans="1:18" ht="15.75" customHeight="1">
      <c r="A45" s="197" t="s">
        <v>41</v>
      </c>
      <c r="B45" s="312">
        <v>47</v>
      </c>
      <c r="C45" s="323"/>
      <c r="D45" s="324"/>
      <c r="E45" s="319"/>
      <c r="F45" s="214">
        <v>41700</v>
      </c>
      <c r="G45" s="200">
        <v>8000</v>
      </c>
      <c r="H45" s="200">
        <v>33373</v>
      </c>
      <c r="I45" s="200">
        <v>7993</v>
      </c>
      <c r="J45" s="229">
        <f t="shared" si="3"/>
        <v>80</v>
      </c>
      <c r="K45" s="214">
        <v>16220</v>
      </c>
      <c r="L45" s="211">
        <v>15090</v>
      </c>
      <c r="M45" s="229">
        <f t="shared" si="1"/>
        <v>93</v>
      </c>
      <c r="N45" s="214">
        <v>20000</v>
      </c>
      <c r="O45" s="200">
        <v>7000</v>
      </c>
      <c r="P45" s="216">
        <v>12980</v>
      </c>
      <c r="Q45" s="211">
        <v>6998</v>
      </c>
      <c r="R45" s="225">
        <f t="shared" si="2"/>
        <v>64.9</v>
      </c>
    </row>
    <row r="46" spans="1:18" ht="15.75" customHeight="1">
      <c r="A46" s="203" t="s">
        <v>42</v>
      </c>
      <c r="B46" s="313">
        <v>48</v>
      </c>
      <c r="C46" s="328">
        <v>12000</v>
      </c>
      <c r="D46" s="329">
        <v>10090</v>
      </c>
      <c r="E46" s="230">
        <f>D46/C46*100</f>
        <v>84.1</v>
      </c>
      <c r="F46" s="215">
        <v>33900</v>
      </c>
      <c r="G46" s="206"/>
      <c r="H46" s="206">
        <v>33893</v>
      </c>
      <c r="I46" s="206"/>
      <c r="J46" s="230">
        <f t="shared" si="3"/>
        <v>100</v>
      </c>
      <c r="K46" s="215">
        <v>7380</v>
      </c>
      <c r="L46" s="212">
        <v>7380</v>
      </c>
      <c r="M46" s="230">
        <f t="shared" si="1"/>
        <v>100</v>
      </c>
      <c r="N46" s="215">
        <v>4000</v>
      </c>
      <c r="O46" s="206"/>
      <c r="P46" s="218">
        <v>3999</v>
      </c>
      <c r="Q46" s="219"/>
      <c r="R46" s="226">
        <f t="shared" si="2"/>
        <v>100</v>
      </c>
    </row>
    <row r="47" spans="1:18" ht="17.25" customHeight="1">
      <c r="A47" s="543" t="s">
        <v>2</v>
      </c>
      <c r="B47" s="544"/>
      <c r="C47" s="327">
        <f>SUM(C8:C46)</f>
        <v>31840</v>
      </c>
      <c r="D47" s="195">
        <f>SUM(D8:D46)</f>
        <v>28623</v>
      </c>
      <c r="E47" s="231">
        <f>D47/C47*100</f>
        <v>89.9</v>
      </c>
      <c r="F47" s="210">
        <f>SUM(F8:F46)</f>
        <v>464864</v>
      </c>
      <c r="G47" s="195">
        <f>SUM(G8:G46)</f>
        <v>57120</v>
      </c>
      <c r="H47" s="195">
        <f>SUM(H8:H46)</f>
        <v>420810</v>
      </c>
      <c r="I47" s="195">
        <f>SUM(I8:I46)</f>
        <v>37654</v>
      </c>
      <c r="J47" s="231">
        <f t="shared" si="3"/>
        <v>90.5</v>
      </c>
      <c r="K47" s="210">
        <f>SUM(K8:K46)</f>
        <v>271166</v>
      </c>
      <c r="L47" s="213">
        <f>SUM(L8:L46)</f>
        <v>266863</v>
      </c>
      <c r="M47" s="231">
        <f t="shared" si="1"/>
        <v>98.4</v>
      </c>
      <c r="N47" s="210">
        <f>SUM(N8:N46)</f>
        <v>155750</v>
      </c>
      <c r="O47" s="195">
        <f>SUM(O8:O46)</f>
        <v>22000</v>
      </c>
      <c r="P47" s="220">
        <f>SUM(P8:P46)</f>
        <v>132992</v>
      </c>
      <c r="Q47" s="222">
        <f>SUM(Q10:Q46)</f>
        <v>21962</v>
      </c>
      <c r="R47" s="227">
        <f t="shared" si="2"/>
        <v>85.4</v>
      </c>
    </row>
    <row r="48" spans="1:18" ht="16.5" customHeight="1">
      <c r="A48" s="232" t="s">
        <v>88</v>
      </c>
      <c r="B48" s="315">
        <v>80197</v>
      </c>
      <c r="C48" s="330">
        <v>406000</v>
      </c>
      <c r="D48" s="233">
        <v>406000</v>
      </c>
      <c r="E48" s="305">
        <v>100</v>
      </c>
      <c r="F48" s="332"/>
      <c r="G48" s="333"/>
      <c r="H48" s="334"/>
      <c r="I48" s="333"/>
      <c r="J48" s="335"/>
      <c r="K48" s="192"/>
      <c r="L48" s="192"/>
      <c r="M48" s="192"/>
      <c r="N48" s="192"/>
      <c r="O48" s="192"/>
      <c r="P48" s="192"/>
      <c r="Q48" s="192"/>
      <c r="R48" s="228"/>
    </row>
    <row r="49" spans="1:18" ht="14.25" customHeight="1">
      <c r="A49" s="234" t="s">
        <v>90</v>
      </c>
      <c r="B49" s="316">
        <v>80197</v>
      </c>
      <c r="C49" s="331">
        <v>434000</v>
      </c>
      <c r="D49" s="202">
        <v>434000</v>
      </c>
      <c r="E49" s="306">
        <v>100</v>
      </c>
      <c r="F49" s="336"/>
      <c r="G49" s="337"/>
      <c r="H49" s="196"/>
      <c r="I49" s="337"/>
      <c r="J49" s="338"/>
      <c r="K49" s="194"/>
      <c r="L49" s="194"/>
      <c r="M49" s="194"/>
      <c r="N49" s="194"/>
      <c r="O49" s="194"/>
      <c r="P49" s="194"/>
      <c r="Q49" s="194"/>
      <c r="R49" s="224"/>
    </row>
    <row r="50" spans="1:18" ht="15.75" customHeight="1">
      <c r="A50" s="235" t="s">
        <v>270</v>
      </c>
      <c r="B50" s="314"/>
      <c r="C50" s="327">
        <f>SUM(C48:C49)</f>
        <v>840000</v>
      </c>
      <c r="D50" s="195">
        <f>SUM(D48:D49)</f>
        <v>840000</v>
      </c>
      <c r="E50" s="307">
        <v>100</v>
      </c>
      <c r="F50" s="339"/>
      <c r="G50" s="340"/>
      <c r="H50" s="282"/>
      <c r="I50" s="340"/>
      <c r="J50" s="341"/>
      <c r="K50" s="194"/>
      <c r="L50" s="194"/>
      <c r="M50" s="194"/>
      <c r="N50" s="194"/>
      <c r="O50" s="194"/>
      <c r="P50" s="194"/>
      <c r="Q50" s="194"/>
      <c r="R50" s="224"/>
    </row>
    <row r="51" spans="1:18" ht="12.75">
      <c r="A51" s="194"/>
      <c r="B51" s="194"/>
      <c r="C51" s="194"/>
      <c r="D51" s="194"/>
      <c r="E51" s="194"/>
      <c r="F51" s="194"/>
      <c r="G51" s="194"/>
      <c r="H51" s="194"/>
      <c r="I51" s="194"/>
      <c r="J51" s="308"/>
      <c r="K51" s="194"/>
      <c r="L51" s="194"/>
      <c r="M51" s="194"/>
      <c r="N51" s="194"/>
      <c r="O51" s="194"/>
      <c r="P51" s="194"/>
      <c r="Q51" s="194"/>
      <c r="R51" s="224"/>
    </row>
  </sheetData>
  <mergeCells count="6">
    <mergeCell ref="A3:R3"/>
    <mergeCell ref="A47:B47"/>
    <mergeCell ref="F6:J6"/>
    <mergeCell ref="K6:M6"/>
    <mergeCell ref="N6:R6"/>
    <mergeCell ref="C6:E6"/>
  </mergeCells>
  <printOptions/>
  <pageMargins left="0.64" right="0.4" top="0.74" bottom="0.61" header="0.27" footer="0.19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showZeros="0" workbookViewId="0" topLeftCell="A1">
      <pane xSplit="2" ySplit="5" topLeftCell="H42" activePane="bottomRight" state="frozen"/>
      <selection pane="topLeft" activeCell="T44" sqref="T44"/>
      <selection pane="topRight" activeCell="T44" sqref="T44"/>
      <selection pane="bottomLeft" activeCell="T44" sqref="T44"/>
      <selection pane="bottomRight" activeCell="L56" sqref="L56"/>
    </sheetView>
  </sheetViews>
  <sheetFormatPr defaultColWidth="9.00390625" defaultRowHeight="12.75"/>
  <cols>
    <col min="1" max="1" width="16.625" style="255" customWidth="1"/>
    <col min="2" max="2" width="4.875" style="255" customWidth="1"/>
    <col min="3" max="3" width="8.75390625" style="255" customWidth="1"/>
    <col min="4" max="4" width="6.125" style="255" customWidth="1"/>
    <col min="5" max="5" width="9.25390625" style="255" customWidth="1"/>
    <col min="6" max="6" width="6.375" style="255" customWidth="1"/>
    <col min="7" max="7" width="5.00390625" style="257" customWidth="1"/>
    <col min="8" max="8" width="8.25390625" style="255" customWidth="1"/>
    <col min="9" max="9" width="6.875" style="255" customWidth="1"/>
    <col min="10" max="10" width="6.625" style="255" customWidth="1"/>
    <col min="11" max="11" width="6.25390625" style="255" customWidth="1"/>
    <col min="12" max="12" width="5.75390625" style="255" customWidth="1"/>
    <col min="13" max="13" width="6.25390625" style="255" customWidth="1"/>
    <col min="14" max="14" width="7.875" style="255" customWidth="1"/>
    <col min="15" max="15" width="7.125" style="255" customWidth="1"/>
    <col min="16" max="16" width="7.25390625" style="255" customWidth="1"/>
    <col min="17" max="17" width="9.375" style="255" customWidth="1"/>
    <col min="18" max="18" width="7.125" style="255" customWidth="1"/>
    <col min="19" max="19" width="5.25390625" style="257" customWidth="1"/>
    <col min="20" max="20" width="11.375" style="255" customWidth="1"/>
    <col min="21" max="21" width="12.625" style="255" customWidth="1"/>
    <col min="22" max="22" width="10.125" style="255" customWidth="1"/>
    <col min="23" max="23" width="11.375" style="255" customWidth="1"/>
    <col min="24" max="24" width="12.00390625" style="255" customWidth="1"/>
    <col min="25" max="16384" width="9.125" style="255" customWidth="1"/>
  </cols>
  <sheetData>
    <row r="1" ht="12.75">
      <c r="S1" s="348" t="s">
        <v>291</v>
      </c>
    </row>
    <row r="2" spans="1:24" ht="16.5">
      <c r="A2" s="535" t="s">
        <v>292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256"/>
      <c r="U2" s="256"/>
      <c r="V2" s="256"/>
      <c r="W2" s="256"/>
      <c r="X2" s="256"/>
    </row>
    <row r="3" spans="1:24" ht="14.25">
      <c r="A3" s="284" t="s">
        <v>131</v>
      </c>
      <c r="O3" s="284" t="s">
        <v>132</v>
      </c>
      <c r="P3" s="254"/>
      <c r="Q3" s="256"/>
      <c r="R3" s="256"/>
      <c r="T3" s="256"/>
      <c r="U3" s="256"/>
      <c r="V3" s="256"/>
      <c r="W3" s="256"/>
      <c r="X3" s="256"/>
    </row>
    <row r="4" spans="1:24" ht="11.25" customHeight="1">
      <c r="A4" s="654" t="s">
        <v>108</v>
      </c>
      <c r="B4" s="652" t="s">
        <v>109</v>
      </c>
      <c r="C4" s="652" t="s">
        <v>0</v>
      </c>
      <c r="D4" s="657" t="s">
        <v>65</v>
      </c>
      <c r="E4" s="652" t="s">
        <v>1</v>
      </c>
      <c r="F4" s="650" t="s">
        <v>65</v>
      </c>
      <c r="G4" s="536" t="s">
        <v>128</v>
      </c>
      <c r="H4" s="258" t="s">
        <v>115</v>
      </c>
      <c r="I4" s="258"/>
      <c r="J4" s="258"/>
      <c r="K4" s="258"/>
      <c r="L4" s="258"/>
      <c r="M4" s="258"/>
      <c r="N4" s="259"/>
      <c r="O4" s="648" t="s">
        <v>0</v>
      </c>
      <c r="P4" s="650" t="s">
        <v>129</v>
      </c>
      <c r="Q4" s="652" t="s">
        <v>1</v>
      </c>
      <c r="R4" s="650" t="s">
        <v>129</v>
      </c>
      <c r="S4" s="536" t="s">
        <v>128</v>
      </c>
      <c r="T4" s="256"/>
      <c r="U4" s="256"/>
      <c r="V4" s="256"/>
      <c r="W4" s="256"/>
      <c r="X4" s="256"/>
    </row>
    <row r="5" spans="1:24" s="262" customFormat="1" ht="14.25" customHeight="1">
      <c r="A5" s="655"/>
      <c r="B5" s="656"/>
      <c r="C5" s="656"/>
      <c r="D5" s="658"/>
      <c r="E5" s="656"/>
      <c r="F5" s="659"/>
      <c r="G5" s="660"/>
      <c r="H5" s="29" t="s">
        <v>61</v>
      </c>
      <c r="I5" s="15" t="s">
        <v>62</v>
      </c>
      <c r="J5" s="15" t="s">
        <v>56</v>
      </c>
      <c r="K5" s="15" t="s">
        <v>57</v>
      </c>
      <c r="L5" s="15" t="s">
        <v>64</v>
      </c>
      <c r="M5" s="15" t="s">
        <v>58</v>
      </c>
      <c r="N5" s="260" t="s">
        <v>63</v>
      </c>
      <c r="O5" s="649"/>
      <c r="P5" s="651"/>
      <c r="Q5" s="653"/>
      <c r="R5" s="651"/>
      <c r="S5" s="647"/>
      <c r="T5" s="261"/>
      <c r="U5" s="261"/>
      <c r="V5" s="261"/>
      <c r="W5" s="261"/>
      <c r="X5" s="261"/>
    </row>
    <row r="6" spans="1:24" ht="12">
      <c r="A6" s="237" t="s">
        <v>4</v>
      </c>
      <c r="B6" s="238">
        <v>1</v>
      </c>
      <c r="C6" s="346">
        <v>179130</v>
      </c>
      <c r="D6" s="239"/>
      <c r="E6" s="346">
        <f>178359+F6</f>
        <v>178359</v>
      </c>
      <c r="F6" s="239"/>
      <c r="G6" s="347">
        <f>E6/C6*100</f>
        <v>99.6</v>
      </c>
      <c r="H6" s="214">
        <v>118121</v>
      </c>
      <c r="I6" s="200">
        <v>8781</v>
      </c>
      <c r="J6" s="200">
        <v>18953</v>
      </c>
      <c r="K6" s="200">
        <v>2324</v>
      </c>
      <c r="L6" s="200"/>
      <c r="M6" s="200">
        <v>19200</v>
      </c>
      <c r="N6" s="263">
        <f>E6-(H6+I6+J6+K6+L6+M6)</f>
        <v>10980</v>
      </c>
      <c r="O6" s="208">
        <f>14350+5000</f>
        <v>19350</v>
      </c>
      <c r="P6" s="200">
        <v>14350</v>
      </c>
      <c r="Q6" s="264">
        <v>19350</v>
      </c>
      <c r="R6" s="265">
        <v>14350</v>
      </c>
      <c r="S6" s="221">
        <f>Q6/O6*100</f>
        <v>100</v>
      </c>
      <c r="T6" s="266"/>
      <c r="U6" s="266"/>
      <c r="V6" s="266"/>
      <c r="W6" s="266"/>
      <c r="X6" s="266"/>
    </row>
    <row r="7" spans="1:24" ht="12">
      <c r="A7" s="197" t="s">
        <v>5</v>
      </c>
      <c r="B7" s="198">
        <v>2</v>
      </c>
      <c r="C7" s="199">
        <v>152671</v>
      </c>
      <c r="D7" s="200">
        <v>2000</v>
      </c>
      <c r="E7" s="199">
        <f>150575+F7</f>
        <v>152575</v>
      </c>
      <c r="F7" s="200">
        <v>2000</v>
      </c>
      <c r="G7" s="221">
        <f aca="true" t="shared" si="0" ref="G7:G47">E7/C7*100</f>
        <v>99.9</v>
      </c>
      <c r="H7" s="214">
        <v>107157</v>
      </c>
      <c r="I7" s="200">
        <v>9865</v>
      </c>
      <c r="J7" s="200">
        <v>21182</v>
      </c>
      <c r="K7" s="200">
        <v>2885</v>
      </c>
      <c r="L7" s="200">
        <v>2000</v>
      </c>
      <c r="M7" s="200">
        <v>2550</v>
      </c>
      <c r="N7" s="263">
        <f aca="true" t="shared" si="1" ref="N7:N44">E7-(H7+I7+J7+K7+L7+M7)</f>
        <v>6936</v>
      </c>
      <c r="O7" s="208">
        <f>12651+4000</f>
        <v>16651</v>
      </c>
      <c r="P7" s="200">
        <v>10651</v>
      </c>
      <c r="Q7" s="264">
        <v>13651</v>
      </c>
      <c r="R7" s="200">
        <v>10651</v>
      </c>
      <c r="S7" s="221">
        <f aca="true" t="shared" si="2" ref="S7:S44">Q7/O7*100</f>
        <v>82</v>
      </c>
      <c r="T7" s="267"/>
      <c r="U7" s="267"/>
      <c r="V7" s="267"/>
      <c r="W7" s="267"/>
      <c r="X7" s="267"/>
    </row>
    <row r="8" spans="1:24" ht="12">
      <c r="A8" s="197" t="s">
        <v>6</v>
      </c>
      <c r="B8" s="198">
        <v>5</v>
      </c>
      <c r="C8" s="199">
        <v>71076</v>
      </c>
      <c r="D8" s="200">
        <v>3000</v>
      </c>
      <c r="E8" s="199">
        <f>67254+F8</f>
        <v>70254</v>
      </c>
      <c r="F8" s="200">
        <v>3000</v>
      </c>
      <c r="G8" s="221">
        <f t="shared" si="0"/>
        <v>98.8</v>
      </c>
      <c r="H8" s="214">
        <v>32421</v>
      </c>
      <c r="I8" s="200">
        <v>2810</v>
      </c>
      <c r="J8" s="200">
        <v>6802</v>
      </c>
      <c r="K8" s="200">
        <v>915</v>
      </c>
      <c r="L8" s="200">
        <v>3000</v>
      </c>
      <c r="M8" s="200">
        <v>22120</v>
      </c>
      <c r="N8" s="263">
        <f t="shared" si="1"/>
        <v>2186</v>
      </c>
      <c r="O8" s="208">
        <f>14278+4000</f>
        <v>18278</v>
      </c>
      <c r="P8" s="200">
        <v>14278</v>
      </c>
      <c r="Q8" s="264">
        <v>18278</v>
      </c>
      <c r="R8" s="200">
        <v>14278</v>
      </c>
      <c r="S8" s="221">
        <f t="shared" si="2"/>
        <v>100</v>
      </c>
      <c r="T8" s="267"/>
      <c r="U8" s="267"/>
      <c r="V8" s="267"/>
      <c r="W8" s="267"/>
      <c r="X8" s="267"/>
    </row>
    <row r="9" spans="1:24" ht="12">
      <c r="A9" s="197" t="s">
        <v>7</v>
      </c>
      <c r="B9" s="198">
        <v>6</v>
      </c>
      <c r="C9" s="199">
        <v>220368</v>
      </c>
      <c r="D9" s="200">
        <v>2500</v>
      </c>
      <c r="E9" s="199">
        <f>217618+F9</f>
        <v>220092</v>
      </c>
      <c r="F9" s="200">
        <v>2474</v>
      </c>
      <c r="G9" s="221">
        <f t="shared" si="0"/>
        <v>99.9</v>
      </c>
      <c r="H9" s="214">
        <v>151902</v>
      </c>
      <c r="I9" s="200">
        <v>10557</v>
      </c>
      <c r="J9" s="200">
        <v>27686</v>
      </c>
      <c r="K9" s="200">
        <v>3750</v>
      </c>
      <c r="L9" s="200">
        <v>2474</v>
      </c>
      <c r="M9" s="200">
        <v>12870</v>
      </c>
      <c r="N9" s="263">
        <f t="shared" si="1"/>
        <v>10853</v>
      </c>
      <c r="O9" s="208">
        <v>22728</v>
      </c>
      <c r="P9" s="200">
        <v>20128</v>
      </c>
      <c r="Q9" s="264">
        <v>22716</v>
      </c>
      <c r="R9" s="200">
        <v>20118</v>
      </c>
      <c r="S9" s="221">
        <f t="shared" si="2"/>
        <v>99.9</v>
      </c>
      <c r="T9" s="267"/>
      <c r="U9" s="267"/>
      <c r="V9" s="267"/>
      <c r="W9" s="267"/>
      <c r="X9" s="267"/>
    </row>
    <row r="10" spans="1:24" ht="12">
      <c r="A10" s="197" t="s">
        <v>8</v>
      </c>
      <c r="B10" s="198">
        <v>7</v>
      </c>
      <c r="C10" s="199">
        <v>118923</v>
      </c>
      <c r="D10" s="200">
        <v>1000</v>
      </c>
      <c r="E10" s="199">
        <f>117596+F10</f>
        <v>118596</v>
      </c>
      <c r="F10" s="200">
        <v>1000</v>
      </c>
      <c r="G10" s="221">
        <f t="shared" si="0"/>
        <v>99.7</v>
      </c>
      <c r="H10" s="214">
        <v>87671</v>
      </c>
      <c r="I10" s="200">
        <v>5372</v>
      </c>
      <c r="J10" s="200">
        <v>16513</v>
      </c>
      <c r="K10" s="200">
        <v>2258</v>
      </c>
      <c r="L10" s="200">
        <v>1000</v>
      </c>
      <c r="M10" s="200">
        <v>1741</v>
      </c>
      <c r="N10" s="263">
        <f t="shared" si="1"/>
        <v>4041</v>
      </c>
      <c r="O10" s="208">
        <f>17448+5000</f>
        <v>22448</v>
      </c>
      <c r="P10" s="200">
        <v>17448</v>
      </c>
      <c r="Q10" s="264">
        <v>20873</v>
      </c>
      <c r="R10" s="200">
        <v>15961</v>
      </c>
      <c r="S10" s="221">
        <f t="shared" si="2"/>
        <v>93</v>
      </c>
      <c r="T10" s="267"/>
      <c r="U10" s="267"/>
      <c r="V10" s="267"/>
      <c r="W10" s="267"/>
      <c r="X10" s="267"/>
    </row>
    <row r="11" spans="1:24" ht="12">
      <c r="A11" s="197" t="s">
        <v>9</v>
      </c>
      <c r="B11" s="198">
        <v>8</v>
      </c>
      <c r="C11" s="199">
        <v>154690</v>
      </c>
      <c r="D11" s="200"/>
      <c r="E11" s="199">
        <v>149665</v>
      </c>
      <c r="F11" s="200"/>
      <c r="G11" s="221">
        <f>E11/C11*100</f>
        <v>96.8</v>
      </c>
      <c r="H11" s="214">
        <v>103804</v>
      </c>
      <c r="I11" s="200">
        <v>7162</v>
      </c>
      <c r="J11" s="200">
        <v>18858</v>
      </c>
      <c r="K11" s="200">
        <v>2472</v>
      </c>
      <c r="L11" s="200"/>
      <c r="M11" s="200">
        <v>11577</v>
      </c>
      <c r="N11" s="263">
        <f t="shared" si="1"/>
        <v>5792</v>
      </c>
      <c r="O11" s="208">
        <f>14791+800</f>
        <v>15591</v>
      </c>
      <c r="P11" s="200">
        <v>10091</v>
      </c>
      <c r="Q11" s="264">
        <v>13730</v>
      </c>
      <c r="R11" s="200">
        <v>8288</v>
      </c>
      <c r="S11" s="221">
        <f>Q11/O11*100</f>
        <v>88.1</v>
      </c>
      <c r="T11" s="267"/>
      <c r="U11" s="267"/>
      <c r="V11" s="267"/>
      <c r="W11" s="267"/>
      <c r="X11" s="267"/>
    </row>
    <row r="12" spans="1:24" ht="12">
      <c r="A12" s="197" t="s">
        <v>10</v>
      </c>
      <c r="B12" s="198">
        <v>9</v>
      </c>
      <c r="C12" s="199">
        <v>67364</v>
      </c>
      <c r="D12" s="200">
        <v>2000</v>
      </c>
      <c r="E12" s="199">
        <f>54877+F12</f>
        <v>56685</v>
      </c>
      <c r="F12" s="200">
        <v>1808</v>
      </c>
      <c r="G12" s="221">
        <f t="shared" si="0"/>
        <v>84.1</v>
      </c>
      <c r="H12" s="214">
        <v>38154</v>
      </c>
      <c r="I12" s="200">
        <v>3654</v>
      </c>
      <c r="J12" s="200">
        <v>7551</v>
      </c>
      <c r="K12" s="200">
        <v>1028</v>
      </c>
      <c r="L12" s="200">
        <v>1808</v>
      </c>
      <c r="M12" s="200">
        <v>1609</v>
      </c>
      <c r="N12" s="263">
        <f t="shared" si="1"/>
        <v>2881</v>
      </c>
      <c r="O12" s="208">
        <f>13601+5500</f>
        <v>19101</v>
      </c>
      <c r="P12" s="200">
        <v>13601</v>
      </c>
      <c r="Q12" s="264">
        <v>10203</v>
      </c>
      <c r="R12" s="200">
        <v>5203</v>
      </c>
      <c r="S12" s="221">
        <f t="shared" si="2"/>
        <v>53.4</v>
      </c>
      <c r="T12" s="267"/>
      <c r="U12" s="267"/>
      <c r="V12" s="267"/>
      <c r="W12" s="267"/>
      <c r="X12" s="267"/>
    </row>
    <row r="13" spans="1:24" ht="12">
      <c r="A13" s="197" t="s">
        <v>11</v>
      </c>
      <c r="B13" s="198">
        <v>10</v>
      </c>
      <c r="C13" s="199">
        <v>277234</v>
      </c>
      <c r="D13" s="200">
        <v>3000</v>
      </c>
      <c r="E13" s="199">
        <f>272500+F13</f>
        <v>275499</v>
      </c>
      <c r="F13" s="200">
        <v>2999</v>
      </c>
      <c r="G13" s="221">
        <f t="shared" si="0"/>
        <v>99.4</v>
      </c>
      <c r="H13" s="214">
        <v>176391</v>
      </c>
      <c r="I13" s="200">
        <v>13473</v>
      </c>
      <c r="J13" s="200">
        <v>34179</v>
      </c>
      <c r="K13" s="200">
        <v>4606</v>
      </c>
      <c r="L13" s="200">
        <v>2999</v>
      </c>
      <c r="M13" s="200">
        <v>32000</v>
      </c>
      <c r="N13" s="263">
        <f t="shared" si="1"/>
        <v>11851</v>
      </c>
      <c r="O13" s="208">
        <v>24536</v>
      </c>
      <c r="P13" s="200">
        <v>21936</v>
      </c>
      <c r="Q13" s="264">
        <v>24536</v>
      </c>
      <c r="R13" s="200">
        <v>21936</v>
      </c>
      <c r="S13" s="221">
        <f t="shared" si="2"/>
        <v>100</v>
      </c>
      <c r="T13" s="267"/>
      <c r="U13" s="267"/>
      <c r="V13" s="267"/>
      <c r="W13" s="267"/>
      <c r="X13" s="267"/>
    </row>
    <row r="14" spans="1:24" ht="12">
      <c r="A14" s="197" t="s">
        <v>12</v>
      </c>
      <c r="B14" s="198">
        <v>11</v>
      </c>
      <c r="C14" s="199">
        <v>141502</v>
      </c>
      <c r="D14" s="200"/>
      <c r="E14" s="199">
        <v>140605</v>
      </c>
      <c r="F14" s="200"/>
      <c r="G14" s="221">
        <f t="shared" si="0"/>
        <v>99.4</v>
      </c>
      <c r="H14" s="214">
        <v>96846</v>
      </c>
      <c r="I14" s="200">
        <v>7717</v>
      </c>
      <c r="J14" s="200">
        <v>18857</v>
      </c>
      <c r="K14" s="200">
        <v>2665</v>
      </c>
      <c r="L14" s="200"/>
      <c r="M14" s="200">
        <v>3780</v>
      </c>
      <c r="N14" s="263">
        <f t="shared" si="1"/>
        <v>10740</v>
      </c>
      <c r="O14" s="208">
        <f>14148+3500</f>
        <v>17648</v>
      </c>
      <c r="P14" s="200">
        <v>12148</v>
      </c>
      <c r="Q14" s="264">
        <v>17529</v>
      </c>
      <c r="R14" s="200">
        <v>12101</v>
      </c>
      <c r="S14" s="221">
        <f t="shared" si="2"/>
        <v>99.3</v>
      </c>
      <c r="T14" s="267"/>
      <c r="U14" s="267"/>
      <c r="V14" s="267"/>
      <c r="W14" s="267"/>
      <c r="X14" s="267"/>
    </row>
    <row r="15" spans="1:24" ht="12">
      <c r="A15" s="197" t="s">
        <v>13</v>
      </c>
      <c r="B15" s="198">
        <v>12</v>
      </c>
      <c r="C15" s="199">
        <v>196251</v>
      </c>
      <c r="D15" s="200">
        <v>5000</v>
      </c>
      <c r="E15" s="199">
        <f>191250+F15</f>
        <v>196250</v>
      </c>
      <c r="F15" s="200">
        <v>5000</v>
      </c>
      <c r="G15" s="221">
        <f t="shared" si="0"/>
        <v>100</v>
      </c>
      <c r="H15" s="214">
        <v>137162</v>
      </c>
      <c r="I15" s="200">
        <v>10542</v>
      </c>
      <c r="J15" s="200">
        <v>24890</v>
      </c>
      <c r="K15" s="200">
        <v>3390</v>
      </c>
      <c r="L15" s="200">
        <v>5000</v>
      </c>
      <c r="M15" s="200">
        <v>5370</v>
      </c>
      <c r="N15" s="263">
        <f t="shared" si="1"/>
        <v>9896</v>
      </c>
      <c r="O15" s="208">
        <f>24346+815</f>
        <v>25161</v>
      </c>
      <c r="P15" s="200">
        <v>18561</v>
      </c>
      <c r="Q15" s="264">
        <v>25149</v>
      </c>
      <c r="R15" s="200">
        <v>18561</v>
      </c>
      <c r="S15" s="221">
        <f t="shared" si="2"/>
        <v>100</v>
      </c>
      <c r="T15" s="267"/>
      <c r="U15" s="267"/>
      <c r="V15" s="267"/>
      <c r="W15" s="267"/>
      <c r="X15" s="267"/>
    </row>
    <row r="16" spans="1:24" ht="12">
      <c r="A16" s="197" t="s">
        <v>14</v>
      </c>
      <c r="B16" s="198">
        <v>13</v>
      </c>
      <c r="C16" s="199">
        <v>130991</v>
      </c>
      <c r="D16" s="200">
        <v>2000</v>
      </c>
      <c r="E16" s="199">
        <f>128453+F16</f>
        <v>130453</v>
      </c>
      <c r="F16" s="200">
        <v>2000</v>
      </c>
      <c r="G16" s="221">
        <f t="shared" si="0"/>
        <v>99.6</v>
      </c>
      <c r="H16" s="214">
        <v>88695</v>
      </c>
      <c r="I16" s="200">
        <v>6617</v>
      </c>
      <c r="J16" s="200">
        <v>16451</v>
      </c>
      <c r="K16" s="200">
        <v>2164</v>
      </c>
      <c r="L16" s="200">
        <v>2000</v>
      </c>
      <c r="M16" s="200">
        <v>6450</v>
      </c>
      <c r="N16" s="263">
        <f t="shared" si="1"/>
        <v>8076</v>
      </c>
      <c r="O16" s="208">
        <v>10311</v>
      </c>
      <c r="P16" s="200">
        <v>8011</v>
      </c>
      <c r="Q16" s="264">
        <v>10300</v>
      </c>
      <c r="R16" s="200">
        <v>8011</v>
      </c>
      <c r="S16" s="221">
        <f t="shared" si="2"/>
        <v>99.9</v>
      </c>
      <c r="T16" s="267"/>
      <c r="U16" s="267"/>
      <c r="V16" s="267"/>
      <c r="W16" s="267"/>
      <c r="X16" s="267"/>
    </row>
    <row r="17" spans="1:24" ht="12">
      <c r="A17" s="197" t="s">
        <v>15</v>
      </c>
      <c r="B17" s="198">
        <v>14</v>
      </c>
      <c r="C17" s="199">
        <v>137853</v>
      </c>
      <c r="D17" s="200"/>
      <c r="E17" s="199">
        <v>134465</v>
      </c>
      <c r="F17" s="200"/>
      <c r="G17" s="221">
        <f t="shared" si="0"/>
        <v>97.5</v>
      </c>
      <c r="H17" s="214">
        <v>83904</v>
      </c>
      <c r="I17" s="200">
        <v>6866</v>
      </c>
      <c r="J17" s="200">
        <v>16248</v>
      </c>
      <c r="K17" s="200">
        <v>2213</v>
      </c>
      <c r="L17" s="200"/>
      <c r="M17" s="200">
        <v>20950</v>
      </c>
      <c r="N17" s="263">
        <f t="shared" si="1"/>
        <v>4284</v>
      </c>
      <c r="O17" s="208">
        <f>8534+3500</f>
        <v>12034</v>
      </c>
      <c r="P17" s="200">
        <v>6534</v>
      </c>
      <c r="Q17" s="264">
        <v>10636</v>
      </c>
      <c r="R17" s="200">
        <v>5938</v>
      </c>
      <c r="S17" s="221">
        <f t="shared" si="2"/>
        <v>88.4</v>
      </c>
      <c r="T17" s="267"/>
      <c r="U17" s="267"/>
      <c r="V17" s="267"/>
      <c r="W17" s="267"/>
      <c r="X17" s="267"/>
    </row>
    <row r="18" spans="1:24" ht="12">
      <c r="A18" s="197" t="s">
        <v>17</v>
      </c>
      <c r="B18" s="198">
        <v>16</v>
      </c>
      <c r="C18" s="199">
        <v>168924</v>
      </c>
      <c r="D18" s="200"/>
      <c r="E18" s="199">
        <v>168800</v>
      </c>
      <c r="F18" s="200"/>
      <c r="G18" s="221">
        <f t="shared" si="0"/>
        <v>99.9</v>
      </c>
      <c r="H18" s="214">
        <v>121200</v>
      </c>
      <c r="I18" s="200">
        <v>9070</v>
      </c>
      <c r="J18" s="200">
        <v>22634</v>
      </c>
      <c r="K18" s="200">
        <v>3124</v>
      </c>
      <c r="L18" s="200"/>
      <c r="M18" s="200">
        <v>1500</v>
      </c>
      <c r="N18" s="263">
        <f t="shared" si="1"/>
        <v>11272</v>
      </c>
      <c r="O18" s="208">
        <v>14242</v>
      </c>
      <c r="P18" s="200">
        <v>11642</v>
      </c>
      <c r="Q18" s="264">
        <v>14242</v>
      </c>
      <c r="R18" s="200">
        <v>11642</v>
      </c>
      <c r="S18" s="221">
        <f t="shared" si="2"/>
        <v>100</v>
      </c>
      <c r="T18" s="267"/>
      <c r="U18" s="267"/>
      <c r="V18" s="267"/>
      <c r="W18" s="267"/>
      <c r="X18" s="267"/>
    </row>
    <row r="19" spans="1:24" ht="12">
      <c r="A19" s="197" t="s">
        <v>16</v>
      </c>
      <c r="B19" s="198">
        <v>17</v>
      </c>
      <c r="C19" s="199">
        <v>141900</v>
      </c>
      <c r="D19" s="200"/>
      <c r="E19" s="199">
        <v>139453</v>
      </c>
      <c r="F19" s="200"/>
      <c r="G19" s="221">
        <f t="shared" si="0"/>
        <v>98.3</v>
      </c>
      <c r="H19" s="214">
        <v>96721</v>
      </c>
      <c r="I19" s="200">
        <v>7403</v>
      </c>
      <c r="J19" s="200">
        <v>18835</v>
      </c>
      <c r="K19" s="200">
        <v>2565</v>
      </c>
      <c r="L19" s="200"/>
      <c r="M19" s="200">
        <v>5336</v>
      </c>
      <c r="N19" s="263">
        <f t="shared" si="1"/>
        <v>8593</v>
      </c>
      <c r="O19" s="208">
        <v>16797</v>
      </c>
      <c r="P19" s="200">
        <v>14197</v>
      </c>
      <c r="Q19" s="264">
        <v>16795</v>
      </c>
      <c r="R19" s="200">
        <v>14195</v>
      </c>
      <c r="S19" s="221">
        <f t="shared" si="2"/>
        <v>100</v>
      </c>
      <c r="T19" s="267"/>
      <c r="U19" s="267"/>
      <c r="V19" s="267"/>
      <c r="W19" s="267"/>
      <c r="X19" s="267"/>
    </row>
    <row r="20" spans="1:24" ht="12">
      <c r="A20" s="197" t="s">
        <v>18</v>
      </c>
      <c r="B20" s="198">
        <v>18</v>
      </c>
      <c r="C20" s="199">
        <v>234021</v>
      </c>
      <c r="D20" s="200"/>
      <c r="E20" s="199">
        <v>232591</v>
      </c>
      <c r="F20" s="200"/>
      <c r="G20" s="221">
        <f t="shared" si="0"/>
        <v>99.4</v>
      </c>
      <c r="H20" s="214">
        <v>160442</v>
      </c>
      <c r="I20" s="200">
        <v>12670</v>
      </c>
      <c r="J20" s="200">
        <v>33643</v>
      </c>
      <c r="K20" s="200">
        <v>4206</v>
      </c>
      <c r="L20" s="200"/>
      <c r="M20" s="200">
        <v>5000</v>
      </c>
      <c r="N20" s="263">
        <f t="shared" si="1"/>
        <v>16630</v>
      </c>
      <c r="O20" s="208">
        <v>19588</v>
      </c>
      <c r="P20" s="200">
        <v>16988</v>
      </c>
      <c r="Q20" s="264">
        <v>19577</v>
      </c>
      <c r="R20" s="200">
        <v>16988</v>
      </c>
      <c r="S20" s="221">
        <f t="shared" si="2"/>
        <v>99.9</v>
      </c>
      <c r="T20" s="267"/>
      <c r="U20" s="267"/>
      <c r="V20" s="267"/>
      <c r="W20" s="267"/>
      <c r="X20" s="267"/>
    </row>
    <row r="21" spans="1:24" ht="12">
      <c r="A21" s="197" t="s">
        <v>19</v>
      </c>
      <c r="B21" s="198">
        <v>19</v>
      </c>
      <c r="C21" s="199">
        <v>116789</v>
      </c>
      <c r="D21" s="200">
        <v>1500</v>
      </c>
      <c r="E21" s="199">
        <f>114845+F21</f>
        <v>116345</v>
      </c>
      <c r="F21" s="200">
        <v>1500</v>
      </c>
      <c r="G21" s="221">
        <f t="shared" si="0"/>
        <v>99.6</v>
      </c>
      <c r="H21" s="214">
        <v>83838</v>
      </c>
      <c r="I21" s="200">
        <v>6463</v>
      </c>
      <c r="J21" s="200">
        <v>14328</v>
      </c>
      <c r="K21" s="200">
        <v>2113</v>
      </c>
      <c r="L21" s="200">
        <v>1500</v>
      </c>
      <c r="M21" s="200">
        <v>1185</v>
      </c>
      <c r="N21" s="263">
        <f t="shared" si="1"/>
        <v>6918</v>
      </c>
      <c r="O21" s="208">
        <f>17623+4488</f>
        <v>22111</v>
      </c>
      <c r="P21" s="200">
        <v>17111</v>
      </c>
      <c r="Q21" s="264">
        <v>22109</v>
      </c>
      <c r="R21" s="200">
        <v>17111</v>
      </c>
      <c r="S21" s="221">
        <f t="shared" si="2"/>
        <v>100</v>
      </c>
      <c r="T21" s="267"/>
      <c r="U21" s="267"/>
      <c r="V21" s="267"/>
      <c r="W21" s="267"/>
      <c r="X21" s="267"/>
    </row>
    <row r="22" spans="1:24" ht="12">
      <c r="A22" s="197" t="s">
        <v>20</v>
      </c>
      <c r="B22" s="198">
        <v>20</v>
      </c>
      <c r="C22" s="199">
        <v>158769</v>
      </c>
      <c r="D22" s="200"/>
      <c r="E22" s="199">
        <v>158307</v>
      </c>
      <c r="F22" s="200"/>
      <c r="G22" s="221">
        <f t="shared" si="0"/>
        <v>99.7</v>
      </c>
      <c r="H22" s="214">
        <v>115863</v>
      </c>
      <c r="I22" s="200">
        <v>8547</v>
      </c>
      <c r="J22" s="200">
        <v>21228</v>
      </c>
      <c r="K22" s="200">
        <v>2891</v>
      </c>
      <c r="L22" s="200"/>
      <c r="M22" s="200">
        <v>999</v>
      </c>
      <c r="N22" s="263">
        <f t="shared" si="1"/>
        <v>8779</v>
      </c>
      <c r="O22" s="208">
        <v>12329</v>
      </c>
      <c r="P22" s="200">
        <v>9729</v>
      </c>
      <c r="Q22" s="264">
        <v>12319</v>
      </c>
      <c r="R22" s="200">
        <v>9729</v>
      </c>
      <c r="S22" s="221">
        <f t="shared" si="2"/>
        <v>99.9</v>
      </c>
      <c r="T22" s="267"/>
      <c r="U22" s="267"/>
      <c r="V22" s="267"/>
      <c r="W22" s="267"/>
      <c r="X22" s="267"/>
    </row>
    <row r="23" spans="1:24" ht="12">
      <c r="A23" s="197" t="s">
        <v>21</v>
      </c>
      <c r="B23" s="198">
        <v>21</v>
      </c>
      <c r="C23" s="199">
        <v>246170</v>
      </c>
      <c r="D23" s="200">
        <v>3000</v>
      </c>
      <c r="E23" s="199">
        <f>242756+F23</f>
        <v>245743</v>
      </c>
      <c r="F23" s="200">
        <v>2987</v>
      </c>
      <c r="G23" s="221">
        <f t="shared" si="0"/>
        <v>99.8</v>
      </c>
      <c r="H23" s="214">
        <v>158511</v>
      </c>
      <c r="I23" s="200">
        <v>11106</v>
      </c>
      <c r="J23" s="200">
        <v>28020</v>
      </c>
      <c r="K23" s="200">
        <v>3839</v>
      </c>
      <c r="L23" s="200">
        <v>2987</v>
      </c>
      <c r="M23" s="200">
        <v>27100</v>
      </c>
      <c r="N23" s="263">
        <f t="shared" si="1"/>
        <v>14180</v>
      </c>
      <c r="O23" s="208">
        <v>18281</v>
      </c>
      <c r="P23" s="200">
        <v>15681</v>
      </c>
      <c r="Q23" s="264">
        <v>17919</v>
      </c>
      <c r="R23" s="200">
        <v>15475</v>
      </c>
      <c r="S23" s="221">
        <f t="shared" si="2"/>
        <v>98</v>
      </c>
      <c r="T23" s="267"/>
      <c r="U23" s="267"/>
      <c r="V23" s="267"/>
      <c r="W23" s="267"/>
      <c r="X23" s="267"/>
    </row>
    <row r="24" spans="1:24" ht="12">
      <c r="A24" s="197" t="s">
        <v>22</v>
      </c>
      <c r="B24" s="198">
        <v>23</v>
      </c>
      <c r="C24" s="199">
        <v>170917</v>
      </c>
      <c r="D24" s="200"/>
      <c r="E24" s="199">
        <v>169525</v>
      </c>
      <c r="F24" s="200"/>
      <c r="G24" s="221">
        <f t="shared" si="0"/>
        <v>99.2</v>
      </c>
      <c r="H24" s="214">
        <v>112072</v>
      </c>
      <c r="I24" s="200">
        <v>7680</v>
      </c>
      <c r="J24" s="200">
        <v>20600</v>
      </c>
      <c r="K24" s="200">
        <v>2829</v>
      </c>
      <c r="L24" s="200"/>
      <c r="M24" s="200">
        <v>9592</v>
      </c>
      <c r="N24" s="263">
        <f t="shared" si="1"/>
        <v>16752</v>
      </c>
      <c r="O24" s="208">
        <v>18548</v>
      </c>
      <c r="P24" s="200">
        <v>15948</v>
      </c>
      <c r="Q24" s="264">
        <v>18540</v>
      </c>
      <c r="R24" s="200">
        <v>15940</v>
      </c>
      <c r="S24" s="221">
        <f t="shared" si="2"/>
        <v>100</v>
      </c>
      <c r="T24" s="267"/>
      <c r="U24" s="267"/>
      <c r="V24" s="267"/>
      <c r="W24" s="267"/>
      <c r="X24" s="267"/>
    </row>
    <row r="25" spans="1:24" ht="12">
      <c r="A25" s="197" t="s">
        <v>23</v>
      </c>
      <c r="B25" s="198">
        <v>26</v>
      </c>
      <c r="C25" s="199">
        <v>200699</v>
      </c>
      <c r="D25" s="200">
        <v>2400</v>
      </c>
      <c r="E25" s="199">
        <f>198250+F25</f>
        <v>200650</v>
      </c>
      <c r="F25" s="200">
        <v>2400</v>
      </c>
      <c r="G25" s="221">
        <f t="shared" si="0"/>
        <v>100</v>
      </c>
      <c r="H25" s="214">
        <v>140536</v>
      </c>
      <c r="I25" s="200">
        <v>10787</v>
      </c>
      <c r="J25" s="200">
        <v>26826</v>
      </c>
      <c r="K25" s="200">
        <v>3653</v>
      </c>
      <c r="L25" s="200">
        <v>2400</v>
      </c>
      <c r="M25" s="200">
        <v>5910</v>
      </c>
      <c r="N25" s="263">
        <f t="shared" si="1"/>
        <v>10538</v>
      </c>
      <c r="O25" s="208">
        <v>12246</v>
      </c>
      <c r="P25" s="200">
        <v>9946</v>
      </c>
      <c r="Q25" s="264">
        <v>11718</v>
      </c>
      <c r="R25" s="200">
        <v>9418</v>
      </c>
      <c r="S25" s="221">
        <f t="shared" si="2"/>
        <v>95.7</v>
      </c>
      <c r="T25" s="267"/>
      <c r="U25" s="267"/>
      <c r="V25" s="267"/>
      <c r="W25" s="267"/>
      <c r="X25" s="267"/>
    </row>
    <row r="26" spans="1:24" ht="12">
      <c r="A26" s="197" t="s">
        <v>24</v>
      </c>
      <c r="B26" s="198">
        <v>27</v>
      </c>
      <c r="C26" s="199">
        <v>74831</v>
      </c>
      <c r="D26" s="200">
        <v>2000</v>
      </c>
      <c r="E26" s="199">
        <f>72189+F26</f>
        <v>74189</v>
      </c>
      <c r="F26" s="200">
        <v>2000</v>
      </c>
      <c r="G26" s="221">
        <f t="shared" si="0"/>
        <v>99.1</v>
      </c>
      <c r="H26" s="214">
        <v>49397</v>
      </c>
      <c r="I26" s="200">
        <v>4002</v>
      </c>
      <c r="J26" s="200">
        <v>9611</v>
      </c>
      <c r="K26" s="200">
        <v>1309</v>
      </c>
      <c r="L26" s="200">
        <v>2000</v>
      </c>
      <c r="M26" s="200">
        <v>4289</v>
      </c>
      <c r="N26" s="263">
        <f t="shared" si="1"/>
        <v>3581</v>
      </c>
      <c r="O26" s="208">
        <f>15802+5000</f>
        <v>20802</v>
      </c>
      <c r="P26" s="200">
        <v>12802</v>
      </c>
      <c r="Q26" s="264">
        <v>20799</v>
      </c>
      <c r="R26" s="200">
        <v>12802</v>
      </c>
      <c r="S26" s="221">
        <f t="shared" si="2"/>
        <v>100</v>
      </c>
      <c r="T26" s="267"/>
      <c r="U26" s="267"/>
      <c r="V26" s="267"/>
      <c r="W26" s="267"/>
      <c r="X26" s="267"/>
    </row>
    <row r="27" spans="1:24" ht="12">
      <c r="A27" s="197" t="s">
        <v>25</v>
      </c>
      <c r="B27" s="198">
        <v>28</v>
      </c>
      <c r="C27" s="199">
        <v>200718</v>
      </c>
      <c r="D27" s="200"/>
      <c r="E27" s="199">
        <v>196688</v>
      </c>
      <c r="F27" s="200"/>
      <c r="G27" s="221">
        <f t="shared" si="0"/>
        <v>98</v>
      </c>
      <c r="H27" s="214">
        <v>147400</v>
      </c>
      <c r="I27" s="200">
        <v>10582</v>
      </c>
      <c r="J27" s="200">
        <v>25992</v>
      </c>
      <c r="K27" s="200">
        <v>3540</v>
      </c>
      <c r="L27" s="200"/>
      <c r="M27" s="200">
        <v>1397</v>
      </c>
      <c r="N27" s="263">
        <f t="shared" si="1"/>
        <v>7777</v>
      </c>
      <c r="O27" s="208">
        <v>8966</v>
      </c>
      <c r="P27" s="200">
        <v>6966</v>
      </c>
      <c r="Q27" s="264">
        <v>8966</v>
      </c>
      <c r="R27" s="200">
        <v>6966</v>
      </c>
      <c r="S27" s="221">
        <f t="shared" si="2"/>
        <v>100</v>
      </c>
      <c r="T27" s="267"/>
      <c r="U27" s="267"/>
      <c r="V27" s="267"/>
      <c r="W27" s="267"/>
      <c r="X27" s="267"/>
    </row>
    <row r="28" spans="1:24" ht="12">
      <c r="A28" s="197" t="s">
        <v>26</v>
      </c>
      <c r="B28" s="198">
        <v>29</v>
      </c>
      <c r="C28" s="199">
        <v>158672</v>
      </c>
      <c r="D28" s="200">
        <v>1500</v>
      </c>
      <c r="E28" s="199">
        <f>157087+F28</f>
        <v>158587</v>
      </c>
      <c r="F28" s="200">
        <v>1500</v>
      </c>
      <c r="G28" s="221">
        <f t="shared" si="0"/>
        <v>99.9</v>
      </c>
      <c r="H28" s="214">
        <v>106129</v>
      </c>
      <c r="I28" s="200">
        <v>8264</v>
      </c>
      <c r="J28" s="200">
        <v>20225</v>
      </c>
      <c r="K28" s="200">
        <v>2784</v>
      </c>
      <c r="L28" s="200">
        <v>1500</v>
      </c>
      <c r="M28" s="200">
        <v>8690</v>
      </c>
      <c r="N28" s="263">
        <f t="shared" si="1"/>
        <v>10995</v>
      </c>
      <c r="O28" s="208">
        <v>15983</v>
      </c>
      <c r="P28" s="200">
        <v>13383</v>
      </c>
      <c r="Q28" s="264">
        <v>15983</v>
      </c>
      <c r="R28" s="200">
        <v>13383</v>
      </c>
      <c r="S28" s="221">
        <f t="shared" si="2"/>
        <v>100</v>
      </c>
      <c r="T28" s="267"/>
      <c r="U28" s="267"/>
      <c r="V28" s="267"/>
      <c r="W28" s="267"/>
      <c r="X28" s="267"/>
    </row>
    <row r="29" spans="1:24" ht="12">
      <c r="A29" s="197" t="s">
        <v>27</v>
      </c>
      <c r="B29" s="198">
        <v>31</v>
      </c>
      <c r="C29" s="199">
        <v>308913</v>
      </c>
      <c r="D29" s="200">
        <v>1600</v>
      </c>
      <c r="E29" s="199">
        <f>294639+F29</f>
        <v>296239</v>
      </c>
      <c r="F29" s="200">
        <v>1600</v>
      </c>
      <c r="G29" s="221">
        <f t="shared" si="0"/>
        <v>95.9</v>
      </c>
      <c r="H29" s="214">
        <v>172090</v>
      </c>
      <c r="I29" s="200">
        <v>14243</v>
      </c>
      <c r="J29" s="200">
        <v>32791</v>
      </c>
      <c r="K29" s="200">
        <v>4459</v>
      </c>
      <c r="L29" s="200">
        <v>1600</v>
      </c>
      <c r="M29" s="200">
        <v>55374</v>
      </c>
      <c r="N29" s="263">
        <f t="shared" si="1"/>
        <v>15682</v>
      </c>
      <c r="O29" s="208">
        <f>31228+5000</f>
        <v>36228</v>
      </c>
      <c r="P29" s="200">
        <v>28628</v>
      </c>
      <c r="Q29" s="264">
        <v>36228</v>
      </c>
      <c r="R29" s="200">
        <v>28628</v>
      </c>
      <c r="S29" s="221">
        <f t="shared" si="2"/>
        <v>100</v>
      </c>
      <c r="T29" s="267"/>
      <c r="U29" s="267"/>
      <c r="V29" s="267"/>
      <c r="W29" s="267"/>
      <c r="X29" s="267"/>
    </row>
    <row r="30" spans="1:24" ht="12">
      <c r="A30" s="197" t="s">
        <v>28</v>
      </c>
      <c r="B30" s="198">
        <v>33</v>
      </c>
      <c r="C30" s="199">
        <v>253321</v>
      </c>
      <c r="D30" s="200">
        <v>3500</v>
      </c>
      <c r="E30" s="199">
        <f>246890+F30</f>
        <v>250390</v>
      </c>
      <c r="F30" s="200">
        <v>3500</v>
      </c>
      <c r="G30" s="221">
        <f t="shared" si="0"/>
        <v>98.8</v>
      </c>
      <c r="H30" s="214">
        <v>173768</v>
      </c>
      <c r="I30" s="200">
        <v>12750</v>
      </c>
      <c r="J30" s="200">
        <v>31210</v>
      </c>
      <c r="K30" s="200">
        <v>4602</v>
      </c>
      <c r="L30" s="200">
        <v>3500</v>
      </c>
      <c r="M30" s="200">
        <v>11589</v>
      </c>
      <c r="N30" s="263">
        <f t="shared" si="1"/>
        <v>12971</v>
      </c>
      <c r="O30" s="208">
        <v>21002</v>
      </c>
      <c r="P30" s="200">
        <v>18402</v>
      </c>
      <c r="Q30" s="264">
        <v>21002</v>
      </c>
      <c r="R30" s="200">
        <v>18402</v>
      </c>
      <c r="S30" s="221">
        <f t="shared" si="2"/>
        <v>100</v>
      </c>
      <c r="T30" s="267"/>
      <c r="U30" s="267"/>
      <c r="V30" s="267"/>
      <c r="W30" s="267"/>
      <c r="X30" s="267"/>
    </row>
    <row r="31" spans="1:24" ht="12">
      <c r="A31" s="197" t="s">
        <v>29</v>
      </c>
      <c r="B31" s="198">
        <v>34</v>
      </c>
      <c r="C31" s="199">
        <v>202827</v>
      </c>
      <c r="D31" s="200">
        <v>2500</v>
      </c>
      <c r="E31" s="199">
        <f>199832+F31</f>
        <v>202212</v>
      </c>
      <c r="F31" s="200">
        <v>2380</v>
      </c>
      <c r="G31" s="221">
        <f t="shared" si="0"/>
        <v>99.7</v>
      </c>
      <c r="H31" s="214">
        <v>142565</v>
      </c>
      <c r="I31" s="200">
        <v>10326</v>
      </c>
      <c r="J31" s="200">
        <v>26362</v>
      </c>
      <c r="K31" s="200">
        <v>3590</v>
      </c>
      <c r="L31" s="200">
        <v>2380</v>
      </c>
      <c r="M31" s="200">
        <v>7360</v>
      </c>
      <c r="N31" s="263">
        <f t="shared" si="1"/>
        <v>9629</v>
      </c>
      <c r="O31" s="208">
        <v>19045</v>
      </c>
      <c r="P31" s="200">
        <v>15745</v>
      </c>
      <c r="Q31" s="264">
        <v>14541</v>
      </c>
      <c r="R31" s="200">
        <v>11415</v>
      </c>
      <c r="S31" s="221">
        <f t="shared" si="2"/>
        <v>76.4</v>
      </c>
      <c r="T31" s="267"/>
      <c r="U31" s="267"/>
      <c r="V31" s="267"/>
      <c r="W31" s="267"/>
      <c r="X31" s="267"/>
    </row>
    <row r="32" spans="1:24" ht="12">
      <c r="A32" s="197" t="s">
        <v>30</v>
      </c>
      <c r="B32" s="198">
        <v>35</v>
      </c>
      <c r="C32" s="199">
        <v>147732</v>
      </c>
      <c r="D32" s="200">
        <v>4000</v>
      </c>
      <c r="E32" s="199">
        <f>142190+F32</f>
        <v>146190</v>
      </c>
      <c r="F32" s="200">
        <v>4000</v>
      </c>
      <c r="G32" s="221">
        <f t="shared" si="0"/>
        <v>99</v>
      </c>
      <c r="H32" s="214">
        <v>96113</v>
      </c>
      <c r="I32" s="200">
        <v>8366</v>
      </c>
      <c r="J32" s="200">
        <v>19040</v>
      </c>
      <c r="K32" s="200">
        <v>2551</v>
      </c>
      <c r="L32" s="200">
        <v>4000</v>
      </c>
      <c r="M32" s="200">
        <v>4500</v>
      </c>
      <c r="N32" s="263">
        <f t="shared" si="1"/>
        <v>11620</v>
      </c>
      <c r="O32" s="208">
        <v>21172</v>
      </c>
      <c r="P32" s="200">
        <v>18572</v>
      </c>
      <c r="Q32" s="264">
        <v>21172</v>
      </c>
      <c r="R32" s="200">
        <v>18572</v>
      </c>
      <c r="S32" s="221">
        <f t="shared" si="2"/>
        <v>100</v>
      </c>
      <c r="T32" s="267"/>
      <c r="U32" s="267"/>
      <c r="V32" s="267"/>
      <c r="W32" s="267"/>
      <c r="X32" s="267"/>
    </row>
    <row r="33" spans="1:24" ht="12">
      <c r="A33" s="197" t="s">
        <v>50</v>
      </c>
      <c r="B33" s="198" t="s">
        <v>51</v>
      </c>
      <c r="C33" s="199">
        <v>85038</v>
      </c>
      <c r="D33" s="200">
        <v>3600</v>
      </c>
      <c r="E33" s="199">
        <f>73283+F33</f>
        <v>75221</v>
      </c>
      <c r="F33" s="200">
        <v>1938</v>
      </c>
      <c r="G33" s="221">
        <f t="shared" si="0"/>
        <v>88.5</v>
      </c>
      <c r="H33" s="214">
        <v>54983</v>
      </c>
      <c r="I33" s="200">
        <v>3738</v>
      </c>
      <c r="J33" s="200">
        <v>9811</v>
      </c>
      <c r="K33" s="200">
        <v>1336</v>
      </c>
      <c r="L33" s="200">
        <v>1938</v>
      </c>
      <c r="M33" s="200">
        <v>1164</v>
      </c>
      <c r="N33" s="263">
        <f t="shared" si="1"/>
        <v>2251</v>
      </c>
      <c r="O33" s="208">
        <f>12245+5000</f>
        <v>17245</v>
      </c>
      <c r="P33" s="200">
        <v>12245</v>
      </c>
      <c r="Q33" s="264">
        <v>11829</v>
      </c>
      <c r="R33" s="200">
        <v>6829</v>
      </c>
      <c r="S33" s="221">
        <f t="shared" si="2"/>
        <v>68.6</v>
      </c>
      <c r="T33" s="267"/>
      <c r="U33" s="267"/>
      <c r="V33" s="267"/>
      <c r="W33" s="267"/>
      <c r="X33" s="267"/>
    </row>
    <row r="34" spans="1:24" ht="12">
      <c r="A34" s="197" t="s">
        <v>32</v>
      </c>
      <c r="B34" s="198">
        <v>37</v>
      </c>
      <c r="C34" s="199">
        <v>0</v>
      </c>
      <c r="D34" s="200"/>
      <c r="E34" s="199">
        <v>0</v>
      </c>
      <c r="F34" s="200"/>
      <c r="G34" s="221"/>
      <c r="H34" s="214"/>
      <c r="I34" s="200"/>
      <c r="J34" s="200"/>
      <c r="K34" s="200"/>
      <c r="L34" s="200"/>
      <c r="M34" s="200"/>
      <c r="N34" s="263"/>
      <c r="O34" s="208">
        <v>14388</v>
      </c>
      <c r="P34" s="200">
        <v>3388</v>
      </c>
      <c r="Q34" s="264">
        <v>13622</v>
      </c>
      <c r="R34" s="200">
        <v>2622</v>
      </c>
      <c r="S34" s="221">
        <f t="shared" si="2"/>
        <v>94.7</v>
      </c>
      <c r="T34" s="267"/>
      <c r="U34" s="267"/>
      <c r="V34" s="267"/>
      <c r="W34" s="267"/>
      <c r="X34" s="267"/>
    </row>
    <row r="35" spans="1:24" ht="12">
      <c r="A35" s="197" t="s">
        <v>33</v>
      </c>
      <c r="B35" s="198">
        <v>39</v>
      </c>
      <c r="C35" s="199">
        <v>313524</v>
      </c>
      <c r="D35" s="200">
        <v>2500</v>
      </c>
      <c r="E35" s="199">
        <f>308192+F35</f>
        <v>310692</v>
      </c>
      <c r="F35" s="200">
        <v>2500</v>
      </c>
      <c r="G35" s="221">
        <f t="shared" si="0"/>
        <v>99.1</v>
      </c>
      <c r="H35" s="214">
        <v>196703</v>
      </c>
      <c r="I35" s="200">
        <v>14827</v>
      </c>
      <c r="J35" s="200">
        <v>38806</v>
      </c>
      <c r="K35" s="200">
        <v>5057</v>
      </c>
      <c r="L35" s="200">
        <v>2500</v>
      </c>
      <c r="M35" s="200">
        <v>37530</v>
      </c>
      <c r="N35" s="263">
        <f t="shared" si="1"/>
        <v>15269</v>
      </c>
      <c r="O35" s="208">
        <v>23646</v>
      </c>
      <c r="P35" s="200">
        <v>21046</v>
      </c>
      <c r="Q35" s="264">
        <v>23466</v>
      </c>
      <c r="R35" s="200">
        <v>21046</v>
      </c>
      <c r="S35" s="221">
        <f t="shared" si="2"/>
        <v>99.2</v>
      </c>
      <c r="T35" s="267"/>
      <c r="U35" s="267"/>
      <c r="V35" s="267"/>
      <c r="W35" s="267"/>
      <c r="X35" s="267"/>
    </row>
    <row r="36" spans="1:24" ht="12">
      <c r="A36" s="197" t="s">
        <v>34</v>
      </c>
      <c r="B36" s="198">
        <v>40</v>
      </c>
      <c r="C36" s="199">
        <v>261548</v>
      </c>
      <c r="D36" s="200">
        <v>3000</v>
      </c>
      <c r="E36" s="199">
        <f>258119+F36</f>
        <v>261108</v>
      </c>
      <c r="F36" s="200">
        <v>2989</v>
      </c>
      <c r="G36" s="221">
        <f t="shared" si="0"/>
        <v>99.8</v>
      </c>
      <c r="H36" s="214">
        <v>170928</v>
      </c>
      <c r="I36" s="200">
        <v>11999</v>
      </c>
      <c r="J36" s="200">
        <v>31062</v>
      </c>
      <c r="K36" s="200">
        <v>4250</v>
      </c>
      <c r="L36" s="200">
        <v>2989</v>
      </c>
      <c r="M36" s="200">
        <v>24700</v>
      </c>
      <c r="N36" s="263">
        <f t="shared" si="1"/>
        <v>15180</v>
      </c>
      <c r="O36" s="208">
        <v>29033</v>
      </c>
      <c r="P36" s="200">
        <v>26433</v>
      </c>
      <c r="Q36" s="264">
        <v>28713</v>
      </c>
      <c r="R36" s="200">
        <v>26394</v>
      </c>
      <c r="S36" s="221">
        <f t="shared" si="2"/>
        <v>98.9</v>
      </c>
      <c r="T36" s="267"/>
      <c r="U36" s="267"/>
      <c r="V36" s="267"/>
      <c r="W36" s="267"/>
      <c r="X36" s="267"/>
    </row>
    <row r="37" spans="1:24" ht="12">
      <c r="A37" s="197" t="s">
        <v>35</v>
      </c>
      <c r="B37" s="198">
        <v>41</v>
      </c>
      <c r="C37" s="199">
        <v>128474</v>
      </c>
      <c r="D37" s="200">
        <v>3000</v>
      </c>
      <c r="E37" s="199">
        <f>117925+F37</f>
        <v>120626</v>
      </c>
      <c r="F37" s="200">
        <v>2701</v>
      </c>
      <c r="G37" s="221">
        <f t="shared" si="0"/>
        <v>93.9</v>
      </c>
      <c r="H37" s="214">
        <v>88326</v>
      </c>
      <c r="I37" s="200">
        <v>6914</v>
      </c>
      <c r="J37" s="200">
        <v>15525</v>
      </c>
      <c r="K37" s="200">
        <v>2114</v>
      </c>
      <c r="L37" s="200">
        <v>2701</v>
      </c>
      <c r="M37" s="200">
        <v>2275</v>
      </c>
      <c r="N37" s="263">
        <f t="shared" si="1"/>
        <v>2771</v>
      </c>
      <c r="O37" s="208">
        <f>20402+5000</f>
        <v>25402</v>
      </c>
      <c r="P37" s="200">
        <v>19402</v>
      </c>
      <c r="Q37" s="264">
        <v>25398</v>
      </c>
      <c r="R37" s="200">
        <v>19400</v>
      </c>
      <c r="S37" s="221">
        <f t="shared" si="2"/>
        <v>100</v>
      </c>
      <c r="T37" s="267"/>
      <c r="U37" s="267"/>
      <c r="V37" s="267"/>
      <c r="W37" s="267"/>
      <c r="X37" s="267"/>
    </row>
    <row r="38" spans="1:24" ht="12">
      <c r="A38" s="197" t="s">
        <v>36</v>
      </c>
      <c r="B38" s="198">
        <v>42</v>
      </c>
      <c r="C38" s="199">
        <v>204261</v>
      </c>
      <c r="D38" s="200"/>
      <c r="E38" s="199">
        <v>201182</v>
      </c>
      <c r="F38" s="200"/>
      <c r="G38" s="221">
        <f t="shared" si="0"/>
        <v>98.5</v>
      </c>
      <c r="H38" s="214">
        <v>145998</v>
      </c>
      <c r="I38" s="200">
        <v>11189</v>
      </c>
      <c r="J38" s="200">
        <v>27636</v>
      </c>
      <c r="K38" s="200">
        <v>3764</v>
      </c>
      <c r="L38" s="200"/>
      <c r="M38" s="200">
        <v>2547</v>
      </c>
      <c r="N38" s="263">
        <f t="shared" si="1"/>
        <v>10048</v>
      </c>
      <c r="O38" s="208">
        <f>24574+5000</f>
        <v>29574</v>
      </c>
      <c r="P38" s="200">
        <v>21974</v>
      </c>
      <c r="Q38" s="264">
        <v>27111</v>
      </c>
      <c r="R38" s="200">
        <v>19587</v>
      </c>
      <c r="S38" s="221">
        <f t="shared" si="2"/>
        <v>91.7</v>
      </c>
      <c r="T38" s="267"/>
      <c r="U38" s="267"/>
      <c r="V38" s="267"/>
      <c r="W38" s="267"/>
      <c r="X38" s="267"/>
    </row>
    <row r="39" spans="1:24" ht="12">
      <c r="A39" s="197" t="s">
        <v>37</v>
      </c>
      <c r="B39" s="198">
        <v>43</v>
      </c>
      <c r="C39" s="199">
        <v>310436</v>
      </c>
      <c r="D39" s="200">
        <v>5000</v>
      </c>
      <c r="E39" s="199">
        <f>304611+F39</f>
        <v>309609</v>
      </c>
      <c r="F39" s="200">
        <v>4998</v>
      </c>
      <c r="G39" s="221">
        <f t="shared" si="0"/>
        <v>99.7</v>
      </c>
      <c r="H39" s="214">
        <v>208066</v>
      </c>
      <c r="I39" s="200">
        <v>15713</v>
      </c>
      <c r="J39" s="200">
        <v>36396</v>
      </c>
      <c r="K39" s="200">
        <v>4894</v>
      </c>
      <c r="L39" s="200">
        <v>4999</v>
      </c>
      <c r="M39" s="200">
        <v>20269</v>
      </c>
      <c r="N39" s="263">
        <f t="shared" si="1"/>
        <v>19272</v>
      </c>
      <c r="O39" s="208">
        <f>30296+5000</f>
        <v>35296</v>
      </c>
      <c r="P39" s="200">
        <v>27696</v>
      </c>
      <c r="Q39" s="264">
        <v>35270</v>
      </c>
      <c r="R39" s="200">
        <v>27670</v>
      </c>
      <c r="S39" s="221">
        <f t="shared" si="2"/>
        <v>99.9</v>
      </c>
      <c r="T39" s="267"/>
      <c r="U39" s="267"/>
      <c r="V39" s="267"/>
      <c r="W39" s="267"/>
      <c r="X39" s="267"/>
    </row>
    <row r="40" spans="1:24" ht="12">
      <c r="A40" s="197" t="s">
        <v>38</v>
      </c>
      <c r="B40" s="198">
        <v>44</v>
      </c>
      <c r="C40" s="199">
        <v>185962</v>
      </c>
      <c r="D40" s="200">
        <v>1500</v>
      </c>
      <c r="E40" s="199">
        <f>182433+F40</f>
        <v>183930</v>
      </c>
      <c r="F40" s="200">
        <v>1497</v>
      </c>
      <c r="G40" s="221">
        <f t="shared" si="0"/>
        <v>98.9</v>
      </c>
      <c r="H40" s="214">
        <v>128180</v>
      </c>
      <c r="I40" s="200">
        <v>9115</v>
      </c>
      <c r="J40" s="200">
        <v>24591</v>
      </c>
      <c r="K40" s="200">
        <v>3370</v>
      </c>
      <c r="L40" s="200">
        <v>1497</v>
      </c>
      <c r="M40" s="200">
        <v>6009</v>
      </c>
      <c r="N40" s="263">
        <f t="shared" si="1"/>
        <v>11168</v>
      </c>
      <c r="O40" s="208">
        <f>21297+5000</f>
        <v>26297</v>
      </c>
      <c r="P40" s="200">
        <v>19297</v>
      </c>
      <c r="Q40" s="264">
        <v>26293</v>
      </c>
      <c r="R40" s="200">
        <v>19293</v>
      </c>
      <c r="S40" s="221">
        <f t="shared" si="2"/>
        <v>100</v>
      </c>
      <c r="T40" s="267"/>
      <c r="U40" s="267"/>
      <c r="V40" s="267"/>
      <c r="W40" s="267"/>
      <c r="X40" s="267"/>
    </row>
    <row r="41" spans="1:24" ht="12">
      <c r="A41" s="197" t="s">
        <v>39</v>
      </c>
      <c r="B41" s="198">
        <v>45</v>
      </c>
      <c r="C41" s="199">
        <v>266155</v>
      </c>
      <c r="D41" s="200"/>
      <c r="E41" s="199">
        <v>264614</v>
      </c>
      <c r="F41" s="200"/>
      <c r="G41" s="221">
        <f t="shared" si="0"/>
        <v>99.4</v>
      </c>
      <c r="H41" s="214">
        <v>190595</v>
      </c>
      <c r="I41" s="200">
        <v>13578</v>
      </c>
      <c r="J41" s="200">
        <v>36740</v>
      </c>
      <c r="K41" s="200">
        <v>4849</v>
      </c>
      <c r="L41" s="200"/>
      <c r="M41" s="200">
        <v>7360</v>
      </c>
      <c r="N41" s="263">
        <f t="shared" si="1"/>
        <v>11492</v>
      </c>
      <c r="O41" s="208">
        <v>7614</v>
      </c>
      <c r="P41" s="200">
        <v>5614</v>
      </c>
      <c r="Q41" s="264">
        <v>7614</v>
      </c>
      <c r="R41" s="200">
        <v>5614</v>
      </c>
      <c r="S41" s="221">
        <f t="shared" si="2"/>
        <v>100</v>
      </c>
      <c r="T41" s="267"/>
      <c r="U41" s="267"/>
      <c r="V41" s="267"/>
      <c r="W41" s="267"/>
      <c r="X41" s="267"/>
    </row>
    <row r="42" spans="1:24" ht="12">
      <c r="A42" s="197" t="s">
        <v>40</v>
      </c>
      <c r="B42" s="198">
        <v>46</v>
      </c>
      <c r="C42" s="199">
        <v>294316</v>
      </c>
      <c r="D42" s="200"/>
      <c r="E42" s="199">
        <v>294182</v>
      </c>
      <c r="F42" s="200"/>
      <c r="G42" s="221"/>
      <c r="H42" s="214">
        <v>190750</v>
      </c>
      <c r="I42" s="200">
        <v>15400</v>
      </c>
      <c r="J42" s="200">
        <v>35474</v>
      </c>
      <c r="K42" s="200">
        <v>4848</v>
      </c>
      <c r="L42" s="200"/>
      <c r="M42" s="200">
        <v>32800</v>
      </c>
      <c r="N42" s="263">
        <f t="shared" si="1"/>
        <v>14910</v>
      </c>
      <c r="O42" s="208">
        <f>20629+4000</f>
        <v>24629</v>
      </c>
      <c r="P42" s="200">
        <v>18029</v>
      </c>
      <c r="Q42" s="264">
        <v>24629</v>
      </c>
      <c r="R42" s="200">
        <v>18029</v>
      </c>
      <c r="S42" s="221">
        <f t="shared" si="2"/>
        <v>100</v>
      </c>
      <c r="T42" s="267"/>
      <c r="U42" s="267"/>
      <c r="V42" s="267"/>
      <c r="W42" s="267"/>
      <c r="X42" s="267"/>
    </row>
    <row r="43" spans="1:24" ht="12">
      <c r="A43" s="197" t="s">
        <v>41</v>
      </c>
      <c r="B43" s="198">
        <v>47</v>
      </c>
      <c r="C43" s="199">
        <v>499133</v>
      </c>
      <c r="D43" s="200"/>
      <c r="E43" s="199">
        <v>490600</v>
      </c>
      <c r="F43" s="200"/>
      <c r="G43" s="221">
        <f t="shared" si="0"/>
        <v>98.3</v>
      </c>
      <c r="H43" s="214">
        <v>336833</v>
      </c>
      <c r="I43" s="200">
        <v>23052</v>
      </c>
      <c r="J43" s="200">
        <v>62821</v>
      </c>
      <c r="K43" s="200">
        <v>8654</v>
      </c>
      <c r="L43" s="200"/>
      <c r="M43" s="200">
        <v>32220</v>
      </c>
      <c r="N43" s="263">
        <f t="shared" si="1"/>
        <v>27020</v>
      </c>
      <c r="O43" s="208">
        <f>35174+5000</f>
        <v>40174</v>
      </c>
      <c r="P43" s="200">
        <v>32574</v>
      </c>
      <c r="Q43" s="264">
        <v>40162</v>
      </c>
      <c r="R43" s="200">
        <v>32573</v>
      </c>
      <c r="S43" s="221">
        <f t="shared" si="2"/>
        <v>100</v>
      </c>
      <c r="T43" s="267"/>
      <c r="U43" s="267"/>
      <c r="V43" s="267"/>
      <c r="W43" s="267"/>
      <c r="X43" s="267"/>
    </row>
    <row r="44" spans="1:24" ht="12">
      <c r="A44" s="197" t="s">
        <v>42</v>
      </c>
      <c r="B44" s="198">
        <v>48</v>
      </c>
      <c r="C44" s="199">
        <v>173805</v>
      </c>
      <c r="D44" s="200">
        <v>650</v>
      </c>
      <c r="E44" s="199">
        <f>172284+F44</f>
        <v>172934</v>
      </c>
      <c r="F44" s="200">
        <v>650</v>
      </c>
      <c r="G44" s="221">
        <f t="shared" si="0"/>
        <v>99.5</v>
      </c>
      <c r="H44" s="214">
        <v>125004</v>
      </c>
      <c r="I44" s="200">
        <v>10664</v>
      </c>
      <c r="J44" s="200">
        <v>23508</v>
      </c>
      <c r="K44" s="200">
        <v>3305</v>
      </c>
      <c r="L44" s="200">
        <v>650</v>
      </c>
      <c r="M44" s="200">
        <v>1640</v>
      </c>
      <c r="N44" s="263">
        <f t="shared" si="1"/>
        <v>8163</v>
      </c>
      <c r="O44" s="208">
        <f>19782+3500</f>
        <v>23282</v>
      </c>
      <c r="P44" s="200">
        <v>17182</v>
      </c>
      <c r="Q44" s="264">
        <v>23282</v>
      </c>
      <c r="R44" s="200">
        <v>17182</v>
      </c>
      <c r="S44" s="221">
        <f t="shared" si="2"/>
        <v>100</v>
      </c>
      <c r="T44" s="267"/>
      <c r="U44" s="267"/>
      <c r="V44" s="267"/>
      <c r="W44" s="267"/>
      <c r="X44" s="267"/>
    </row>
    <row r="45" spans="1:24" ht="12">
      <c r="A45" s="268" t="s">
        <v>101</v>
      </c>
      <c r="B45" s="198">
        <v>23</v>
      </c>
      <c r="C45" s="201"/>
      <c r="D45" s="269"/>
      <c r="E45" s="199"/>
      <c r="F45" s="199"/>
      <c r="G45" s="221"/>
      <c r="H45" s="208"/>
      <c r="I45" s="199"/>
      <c r="J45" s="199"/>
      <c r="K45" s="199"/>
      <c r="L45" s="199"/>
      <c r="M45" s="199"/>
      <c r="N45" s="270"/>
      <c r="O45" s="208">
        <v>3500</v>
      </c>
      <c r="P45" s="200"/>
      <c r="Q45" s="271">
        <v>3500</v>
      </c>
      <c r="R45" s="200"/>
      <c r="S45" s="221"/>
      <c r="T45" s="267"/>
      <c r="U45" s="267"/>
      <c r="V45" s="267"/>
      <c r="W45" s="267"/>
      <c r="X45" s="267"/>
    </row>
    <row r="46" spans="1:24" ht="12">
      <c r="A46" s="272" t="s">
        <v>102</v>
      </c>
      <c r="B46" s="204">
        <v>24</v>
      </c>
      <c r="C46" s="207"/>
      <c r="D46" s="273"/>
      <c r="E46" s="205"/>
      <c r="F46" s="205"/>
      <c r="G46" s="223"/>
      <c r="H46" s="209"/>
      <c r="I46" s="205"/>
      <c r="J46" s="205"/>
      <c r="K46" s="205"/>
      <c r="L46" s="205"/>
      <c r="M46" s="205"/>
      <c r="N46" s="274"/>
      <c r="O46" s="209">
        <v>3500</v>
      </c>
      <c r="P46" s="206"/>
      <c r="Q46" s="275">
        <v>1475</v>
      </c>
      <c r="R46" s="206"/>
      <c r="S46" s="223"/>
      <c r="T46" s="267"/>
      <c r="U46" s="267"/>
      <c r="V46" s="267"/>
      <c r="W46" s="267"/>
      <c r="X46" s="267"/>
    </row>
    <row r="47" spans="1:24" s="254" customFormat="1" ht="12">
      <c r="A47" s="533" t="s">
        <v>130</v>
      </c>
      <c r="B47" s="534"/>
      <c r="C47" s="286">
        <f>SUM(C6:C46)</f>
        <v>7355908</v>
      </c>
      <c r="D47" s="286">
        <f>SUM(D6:D46)</f>
        <v>61750</v>
      </c>
      <c r="E47" s="286">
        <f>SUM(E6:E46)</f>
        <v>7264105</v>
      </c>
      <c r="F47" s="286">
        <f>SUM(F6:F46)</f>
        <v>59421</v>
      </c>
      <c r="G47" s="287">
        <f t="shared" si="0"/>
        <v>98.8</v>
      </c>
      <c r="H47" s="276">
        <f>SUM(H6:H46)</f>
        <v>4935239</v>
      </c>
      <c r="I47" s="276">
        <f aca="true" t="shared" si="3" ref="I47:S47">SUM(I6:I46)</f>
        <v>371864</v>
      </c>
      <c r="J47" s="276">
        <f t="shared" si="3"/>
        <v>921885</v>
      </c>
      <c r="K47" s="276">
        <f t="shared" si="3"/>
        <v>125166</v>
      </c>
      <c r="L47" s="276">
        <f t="shared" si="3"/>
        <v>59422</v>
      </c>
      <c r="M47" s="276">
        <f t="shared" si="3"/>
        <v>458552</v>
      </c>
      <c r="N47" s="277">
        <f t="shared" si="3"/>
        <v>391977</v>
      </c>
      <c r="O47" s="276">
        <f t="shared" si="3"/>
        <v>804757</v>
      </c>
      <c r="P47" s="276">
        <f t="shared" si="3"/>
        <v>618357</v>
      </c>
      <c r="Q47" s="276">
        <f t="shared" si="3"/>
        <v>771225</v>
      </c>
      <c r="R47" s="276">
        <f t="shared" si="3"/>
        <v>592301</v>
      </c>
      <c r="S47" s="210">
        <f t="shared" si="3"/>
        <v>3727</v>
      </c>
      <c r="T47" s="285"/>
      <c r="U47" s="285"/>
      <c r="V47" s="285"/>
      <c r="W47" s="285"/>
      <c r="X47" s="285"/>
    </row>
    <row r="48" spans="1:24" ht="12">
      <c r="A48" s="193"/>
      <c r="B48" s="256"/>
      <c r="C48" s="278"/>
      <c r="D48" s="279"/>
      <c r="E48" s="280"/>
      <c r="F48" s="504"/>
      <c r="G48" s="281"/>
      <c r="H48" s="280"/>
      <c r="I48" s="280"/>
      <c r="J48" s="280"/>
      <c r="K48" s="280"/>
      <c r="L48" s="280"/>
      <c r="M48" s="280"/>
      <c r="N48" s="280"/>
      <c r="O48" s="282"/>
      <c r="P48" s="196"/>
      <c r="Q48" s="283"/>
      <c r="R48" s="267"/>
      <c r="S48" s="281"/>
      <c r="T48" s="267"/>
      <c r="U48" s="267"/>
      <c r="V48" s="267"/>
      <c r="W48" s="267"/>
      <c r="X48" s="267"/>
    </row>
    <row r="49" spans="5:6" ht="12">
      <c r="E49" s="503"/>
      <c r="F49" s="503"/>
    </row>
  </sheetData>
  <mergeCells count="14">
    <mergeCell ref="E4:E5"/>
    <mergeCell ref="D4:D5"/>
    <mergeCell ref="F4:F5"/>
    <mergeCell ref="G4:G5"/>
    <mergeCell ref="A47:B47"/>
    <mergeCell ref="A2:S2"/>
    <mergeCell ref="S4:S5"/>
    <mergeCell ref="O4:O5"/>
    <mergeCell ref="P4:P5"/>
    <mergeCell ref="Q4:Q5"/>
    <mergeCell ref="R4:R5"/>
    <mergeCell ref="A4:A5"/>
    <mergeCell ref="B4:B5"/>
    <mergeCell ref="C4:C5"/>
  </mergeCells>
  <printOptions/>
  <pageMargins left="0.66" right="0.1968503937007874" top="0.69" bottom="0.32" header="0.17" footer="0.17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7"/>
  <sheetViews>
    <sheetView showZeros="0" workbookViewId="0" topLeftCell="A1">
      <pane xSplit="1" ySplit="5" topLeftCell="L67" activePane="bottomRight" state="frozen"/>
      <selection pane="topLeft" activeCell="T44" sqref="T44"/>
      <selection pane="topRight" activeCell="T44" sqref="T44"/>
      <selection pane="bottomLeft" activeCell="T44" sqref="T44"/>
      <selection pane="bottomRight" activeCell="Q1" sqref="Q1"/>
    </sheetView>
  </sheetViews>
  <sheetFormatPr defaultColWidth="9.00390625" defaultRowHeight="12.75"/>
  <cols>
    <col min="1" max="1" width="27.25390625" style="1" customWidth="1"/>
    <col min="2" max="2" width="6.625" style="190" customWidth="1"/>
    <col min="3" max="3" width="9.375" style="291" customWidth="1"/>
    <col min="4" max="4" width="8.75390625" style="1" bestFit="1" customWidth="1"/>
    <col min="5" max="5" width="5.875" style="289" customWidth="1"/>
    <col min="6" max="6" width="9.75390625" style="1" customWidth="1"/>
    <col min="7" max="7" width="5.75390625" style="289" customWidth="1"/>
    <col min="8" max="8" width="5.625" style="303" customWidth="1"/>
    <col min="9" max="9" width="8.75390625" style="1" bestFit="1" customWidth="1"/>
    <col min="10" max="13" width="7.875" style="1" bestFit="1" customWidth="1"/>
    <col min="14" max="14" width="6.625" style="1" bestFit="1" customWidth="1"/>
    <col min="15" max="15" width="7.875" style="1" bestFit="1" customWidth="1"/>
    <col min="16" max="16" width="5.75390625" style="1" bestFit="1" customWidth="1"/>
    <col min="17" max="17" width="6.25390625" style="1" bestFit="1" customWidth="1"/>
    <col min="18" max="18" width="6.625" style="1" bestFit="1" customWidth="1"/>
    <col min="19" max="19" width="9.125" style="1" bestFit="1" customWidth="1"/>
    <col min="20" max="20" width="6.125" style="1" customWidth="1"/>
    <col min="21" max="21" width="6.25390625" style="1" bestFit="1" customWidth="1"/>
    <col min="22" max="25" width="6.625" style="1" bestFit="1" customWidth="1"/>
    <col min="26" max="26" width="7.125" style="1" customWidth="1"/>
    <col min="27" max="27" width="6.25390625" style="1" bestFit="1" customWidth="1"/>
    <col min="28" max="28" width="5.75390625" style="1" bestFit="1" customWidth="1"/>
    <col min="29" max="29" width="6.25390625" style="1" bestFit="1" customWidth="1"/>
    <col min="30" max="30" width="4.875" style="1" bestFit="1" customWidth="1"/>
    <col min="31" max="31" width="6.25390625" style="1" bestFit="1" customWidth="1"/>
    <col min="32" max="32" width="5.75390625" style="1" bestFit="1" customWidth="1"/>
    <col min="33" max="33" width="7.125" style="1" customWidth="1"/>
    <col min="34" max="34" width="6.75390625" style="1" customWidth="1"/>
    <col min="35" max="35" width="6.625" style="1" bestFit="1" customWidth="1"/>
    <col min="36" max="16384" width="9.125" style="1" customWidth="1"/>
  </cols>
  <sheetData>
    <row r="1" ht="21" customHeight="1">
      <c r="Q1" s="309" t="s">
        <v>276</v>
      </c>
    </row>
    <row r="2" spans="2:17" ht="36.75" customHeight="1">
      <c r="B2" s="669" t="s">
        <v>293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</row>
    <row r="3" ht="12">
      <c r="A3" s="2"/>
    </row>
    <row r="4" spans="1:35" s="89" customFormat="1" ht="11.25">
      <c r="A4" s="670" t="s">
        <v>133</v>
      </c>
      <c r="B4" s="672" t="s">
        <v>204</v>
      </c>
      <c r="C4" s="674" t="s">
        <v>195</v>
      </c>
      <c r="D4" s="676" t="s">
        <v>0</v>
      </c>
      <c r="E4" s="678" t="s">
        <v>194</v>
      </c>
      <c r="F4" s="680" t="s">
        <v>1</v>
      </c>
      <c r="G4" s="678" t="s">
        <v>194</v>
      </c>
      <c r="H4" s="682" t="s">
        <v>193</v>
      </c>
      <c r="I4" s="349" t="s">
        <v>115</v>
      </c>
      <c r="J4" s="350"/>
      <c r="K4" s="350"/>
      <c r="L4" s="350"/>
      <c r="M4" s="350"/>
      <c r="N4" s="351"/>
      <c r="O4" s="352"/>
      <c r="P4" s="664">
        <v>80195</v>
      </c>
      <c r="Q4" s="662"/>
      <c r="R4" s="663">
        <v>80146</v>
      </c>
      <c r="S4" s="665"/>
      <c r="T4" s="661">
        <v>85415</v>
      </c>
      <c r="U4" s="662"/>
      <c r="V4" s="667" t="s">
        <v>136</v>
      </c>
      <c r="W4" s="668"/>
      <c r="X4" s="661">
        <v>85154</v>
      </c>
      <c r="Y4" s="662"/>
      <c r="Z4" s="663">
        <v>85412</v>
      </c>
      <c r="AA4" s="665"/>
      <c r="AB4" s="661">
        <v>80113</v>
      </c>
      <c r="AC4" s="662"/>
      <c r="AD4" s="666">
        <v>85156</v>
      </c>
      <c r="AE4" s="666"/>
      <c r="AF4" s="661">
        <v>85446</v>
      </c>
      <c r="AG4" s="662"/>
      <c r="AH4" s="663">
        <v>92601</v>
      </c>
      <c r="AI4" s="664"/>
    </row>
    <row r="5" spans="1:35" s="89" customFormat="1" ht="18.75" customHeight="1">
      <c r="A5" s="671"/>
      <c r="B5" s="673"/>
      <c r="C5" s="675"/>
      <c r="D5" s="677"/>
      <c r="E5" s="679"/>
      <c r="F5" s="681"/>
      <c r="G5" s="679"/>
      <c r="H5" s="683"/>
      <c r="I5" s="354" t="s">
        <v>137</v>
      </c>
      <c r="J5" s="125" t="s">
        <v>138</v>
      </c>
      <c r="K5" s="125" t="s">
        <v>56</v>
      </c>
      <c r="L5" s="125" t="s">
        <v>57</v>
      </c>
      <c r="M5" s="125" t="s">
        <v>139</v>
      </c>
      <c r="N5" s="125" t="s">
        <v>113</v>
      </c>
      <c r="O5" s="125" t="s">
        <v>114</v>
      </c>
      <c r="P5" s="125" t="s">
        <v>134</v>
      </c>
      <c r="Q5" s="353" t="s">
        <v>203</v>
      </c>
      <c r="R5" s="352" t="s">
        <v>134</v>
      </c>
      <c r="S5" s="354" t="s">
        <v>135</v>
      </c>
      <c r="T5" s="355" t="s">
        <v>134</v>
      </c>
      <c r="U5" s="353" t="s">
        <v>203</v>
      </c>
      <c r="V5" s="352" t="s">
        <v>134</v>
      </c>
      <c r="W5" s="354" t="s">
        <v>203</v>
      </c>
      <c r="X5" s="355" t="s">
        <v>134</v>
      </c>
      <c r="Y5" s="353" t="s">
        <v>203</v>
      </c>
      <c r="Z5" s="352" t="s">
        <v>134</v>
      </c>
      <c r="AA5" s="354" t="s">
        <v>203</v>
      </c>
      <c r="AB5" s="355" t="s">
        <v>134</v>
      </c>
      <c r="AC5" s="353" t="s">
        <v>203</v>
      </c>
      <c r="AD5" s="352" t="s">
        <v>134</v>
      </c>
      <c r="AE5" s="354" t="s">
        <v>203</v>
      </c>
      <c r="AF5" s="355" t="s">
        <v>134</v>
      </c>
      <c r="AG5" s="353" t="s">
        <v>203</v>
      </c>
      <c r="AH5" s="352" t="s">
        <v>134</v>
      </c>
      <c r="AI5" s="125" t="s">
        <v>203</v>
      </c>
    </row>
    <row r="6" spans="1:35" s="89" customFormat="1" ht="11.25">
      <c r="A6" s="506" t="s">
        <v>140</v>
      </c>
      <c r="B6" s="356">
        <v>25</v>
      </c>
      <c r="C6" s="357">
        <f aca="true" t="shared" si="0" ref="C6:C37">F6/B6/6</f>
        <v>3073.6</v>
      </c>
      <c r="D6" s="358">
        <v>462799</v>
      </c>
      <c r="E6" s="359">
        <v>0</v>
      </c>
      <c r="F6" s="360">
        <v>461043</v>
      </c>
      <c r="G6" s="359">
        <v>0</v>
      </c>
      <c r="H6" s="361">
        <f aca="true" t="shared" si="1" ref="H6:H32">F6*100/D6</f>
        <v>99.6</v>
      </c>
      <c r="I6" s="358">
        <v>336704</v>
      </c>
      <c r="J6" s="358">
        <v>27644</v>
      </c>
      <c r="K6" s="358">
        <v>63916</v>
      </c>
      <c r="L6" s="358">
        <v>8780</v>
      </c>
      <c r="M6" s="358">
        <v>0</v>
      </c>
      <c r="N6" s="358">
        <v>0</v>
      </c>
      <c r="O6" s="358">
        <v>21886</v>
      </c>
      <c r="P6" s="358">
        <v>0</v>
      </c>
      <c r="Q6" s="362">
        <v>0</v>
      </c>
      <c r="R6" s="363">
        <v>0</v>
      </c>
      <c r="S6" s="364">
        <v>0</v>
      </c>
      <c r="T6" s="365">
        <v>0</v>
      </c>
      <c r="U6" s="362">
        <v>0</v>
      </c>
      <c r="V6" s="363">
        <v>0</v>
      </c>
      <c r="W6" s="364">
        <v>0</v>
      </c>
      <c r="X6" s="365">
        <v>0</v>
      </c>
      <c r="Y6" s="362">
        <v>0</v>
      </c>
      <c r="Z6" s="363">
        <v>0</v>
      </c>
      <c r="AA6" s="364"/>
      <c r="AB6" s="365">
        <v>25100</v>
      </c>
      <c r="AC6" s="362">
        <v>21448</v>
      </c>
      <c r="AD6" s="363"/>
      <c r="AE6" s="364"/>
      <c r="AF6" s="365">
        <v>0</v>
      </c>
      <c r="AG6" s="362">
        <v>0</v>
      </c>
      <c r="AH6" s="363">
        <v>0</v>
      </c>
      <c r="AI6" s="358">
        <v>0</v>
      </c>
    </row>
    <row r="7" spans="1:35" s="89" customFormat="1" ht="11.25">
      <c r="A7" s="506" t="s">
        <v>141</v>
      </c>
      <c r="B7" s="356">
        <v>125</v>
      </c>
      <c r="C7" s="357">
        <f t="shared" si="0"/>
        <v>2242.2</v>
      </c>
      <c r="D7" s="358">
        <v>1693734</v>
      </c>
      <c r="E7" s="359">
        <v>2000</v>
      </c>
      <c r="F7" s="360">
        <v>1681653</v>
      </c>
      <c r="G7" s="359">
        <v>1991</v>
      </c>
      <c r="H7" s="361">
        <f t="shared" si="1"/>
        <v>99.3</v>
      </c>
      <c r="I7" s="358">
        <v>1121705</v>
      </c>
      <c r="J7" s="358">
        <v>81452</v>
      </c>
      <c r="K7" s="358">
        <v>212347</v>
      </c>
      <c r="L7" s="358">
        <v>27865</v>
      </c>
      <c r="M7" s="358">
        <v>129741</v>
      </c>
      <c r="N7" s="358">
        <v>0</v>
      </c>
      <c r="O7" s="358">
        <v>65271</v>
      </c>
      <c r="P7" s="358">
        <v>5700</v>
      </c>
      <c r="Q7" s="362">
        <v>5700</v>
      </c>
      <c r="R7" s="363">
        <v>8700</v>
      </c>
      <c r="S7" s="364">
        <v>8692</v>
      </c>
      <c r="T7" s="365">
        <v>0</v>
      </c>
      <c r="U7" s="362">
        <v>0</v>
      </c>
      <c r="V7" s="363">
        <v>0</v>
      </c>
      <c r="W7" s="364">
        <v>0</v>
      </c>
      <c r="X7" s="365">
        <v>39833</v>
      </c>
      <c r="Y7" s="362">
        <v>39832</v>
      </c>
      <c r="Z7" s="363">
        <v>1000</v>
      </c>
      <c r="AA7" s="364">
        <v>1000</v>
      </c>
      <c r="AB7" s="365">
        <v>42000</v>
      </c>
      <c r="AC7" s="362">
        <v>38598</v>
      </c>
      <c r="AD7" s="363">
        <v>0</v>
      </c>
      <c r="AE7" s="364">
        <v>0</v>
      </c>
      <c r="AF7" s="365">
        <v>0</v>
      </c>
      <c r="AG7" s="362">
        <v>0</v>
      </c>
      <c r="AH7" s="363">
        <v>0</v>
      </c>
      <c r="AI7" s="358">
        <v>0</v>
      </c>
    </row>
    <row r="8" spans="1:35" s="89" customFormat="1" ht="11.25">
      <c r="A8" s="506" t="s">
        <v>142</v>
      </c>
      <c r="B8" s="356">
        <v>41</v>
      </c>
      <c r="C8" s="357">
        <f t="shared" si="0"/>
        <v>1359.1</v>
      </c>
      <c r="D8" s="358">
        <v>334342</v>
      </c>
      <c r="E8" s="359">
        <v>0</v>
      </c>
      <c r="F8" s="360">
        <v>334338</v>
      </c>
      <c r="G8" s="359">
        <v>0</v>
      </c>
      <c r="H8" s="361">
        <f t="shared" si="1"/>
        <v>100</v>
      </c>
      <c r="I8" s="358">
        <v>236898</v>
      </c>
      <c r="J8" s="358">
        <v>26971</v>
      </c>
      <c r="K8" s="358">
        <v>42801</v>
      </c>
      <c r="L8" s="358">
        <v>5983</v>
      </c>
      <c r="M8" s="358">
        <v>0</v>
      </c>
      <c r="N8" s="358">
        <v>0</v>
      </c>
      <c r="O8" s="358">
        <v>16590</v>
      </c>
      <c r="P8" s="358">
        <v>0</v>
      </c>
      <c r="Q8" s="362">
        <v>0</v>
      </c>
      <c r="R8" s="363">
        <v>0</v>
      </c>
      <c r="S8" s="364">
        <v>0</v>
      </c>
      <c r="T8" s="365"/>
      <c r="U8" s="362">
        <v>0</v>
      </c>
      <c r="V8" s="363">
        <v>0</v>
      </c>
      <c r="W8" s="364">
        <v>0</v>
      </c>
      <c r="X8" s="365">
        <v>0</v>
      </c>
      <c r="Y8" s="362">
        <v>0</v>
      </c>
      <c r="Z8" s="363">
        <v>0</v>
      </c>
      <c r="AA8" s="364">
        <v>0</v>
      </c>
      <c r="AB8" s="365">
        <v>0</v>
      </c>
      <c r="AC8" s="362">
        <v>0</v>
      </c>
      <c r="AD8" s="363">
        <v>0</v>
      </c>
      <c r="AE8" s="364">
        <v>0</v>
      </c>
      <c r="AF8" s="365">
        <v>0</v>
      </c>
      <c r="AG8" s="362">
        <v>0</v>
      </c>
      <c r="AH8" s="363">
        <v>0</v>
      </c>
      <c r="AI8" s="358">
        <v>0</v>
      </c>
    </row>
    <row r="9" spans="1:35" s="89" customFormat="1" ht="11.25">
      <c r="A9" s="506" t="s">
        <v>143</v>
      </c>
      <c r="B9" s="356">
        <v>102</v>
      </c>
      <c r="C9" s="357">
        <f t="shared" si="0"/>
        <v>3049.7</v>
      </c>
      <c r="D9" s="358">
        <v>1884776</v>
      </c>
      <c r="E9" s="359">
        <v>0</v>
      </c>
      <c r="F9" s="360">
        <v>1866408</v>
      </c>
      <c r="G9" s="359">
        <v>0</v>
      </c>
      <c r="H9" s="361">
        <f t="shared" si="1"/>
        <v>99</v>
      </c>
      <c r="I9" s="358">
        <v>1364505</v>
      </c>
      <c r="J9" s="358">
        <v>95731</v>
      </c>
      <c r="K9" s="358">
        <v>256626</v>
      </c>
      <c r="L9" s="358">
        <v>34703</v>
      </c>
      <c r="M9" s="358">
        <v>17170</v>
      </c>
      <c r="N9" s="358">
        <v>2000</v>
      </c>
      <c r="O9" s="358">
        <v>86378</v>
      </c>
      <c r="P9" s="358">
        <v>0</v>
      </c>
      <c r="Q9" s="362">
        <v>0</v>
      </c>
      <c r="R9" s="363">
        <v>4920</v>
      </c>
      <c r="S9" s="364">
        <v>4920</v>
      </c>
      <c r="T9" s="365">
        <v>0</v>
      </c>
      <c r="U9" s="362">
        <v>0</v>
      </c>
      <c r="V9" s="363">
        <v>0</v>
      </c>
      <c r="W9" s="364">
        <v>0</v>
      </c>
      <c r="X9" s="365">
        <v>0</v>
      </c>
      <c r="Y9" s="362">
        <v>0</v>
      </c>
      <c r="Z9" s="363">
        <v>6545</v>
      </c>
      <c r="AA9" s="364">
        <v>6545</v>
      </c>
      <c r="AB9" s="365">
        <v>1080</v>
      </c>
      <c r="AC9" s="362">
        <v>1040</v>
      </c>
      <c r="AD9" s="363">
        <v>0</v>
      </c>
      <c r="AE9" s="364">
        <v>0</v>
      </c>
      <c r="AF9" s="365">
        <v>0</v>
      </c>
      <c r="AG9" s="362">
        <v>0</v>
      </c>
      <c r="AH9" s="363">
        <v>0</v>
      </c>
      <c r="AI9" s="358">
        <v>0</v>
      </c>
    </row>
    <row r="10" spans="1:35" s="89" customFormat="1" ht="11.25">
      <c r="A10" s="507" t="s">
        <v>144</v>
      </c>
      <c r="B10" s="366">
        <f>SUM(B6:B9)</f>
        <v>293</v>
      </c>
      <c r="C10" s="367">
        <f t="shared" si="0"/>
        <v>2470.7</v>
      </c>
      <c r="D10" s="368">
        <f>SUM(D6:D9)</f>
        <v>4375651</v>
      </c>
      <c r="E10" s="368">
        <f>SUM(E6:E9)</f>
        <v>2000</v>
      </c>
      <c r="F10" s="368">
        <f>SUM(F6:F9)</f>
        <v>4343442</v>
      </c>
      <c r="G10" s="368">
        <f>SUM(G6:G9)</f>
        <v>1991</v>
      </c>
      <c r="H10" s="369">
        <f t="shared" si="1"/>
        <v>99.3</v>
      </c>
      <c r="I10" s="368">
        <f aca="true" t="shared" si="2" ref="I10:O10">SUM(I6:I9)</f>
        <v>3059812</v>
      </c>
      <c r="J10" s="368">
        <f t="shared" si="2"/>
        <v>231798</v>
      </c>
      <c r="K10" s="368">
        <f t="shared" si="2"/>
        <v>575690</v>
      </c>
      <c r="L10" s="368">
        <f t="shared" si="2"/>
        <v>77331</v>
      </c>
      <c r="M10" s="368">
        <f>SUM(M6:M9)</f>
        <v>146911</v>
      </c>
      <c r="N10" s="368">
        <f>SUM(N6:N9)</f>
        <v>2000</v>
      </c>
      <c r="O10" s="368">
        <f t="shared" si="2"/>
        <v>190125</v>
      </c>
      <c r="P10" s="368">
        <f aca="true" t="shared" si="3" ref="P10:U10">SUM(P6:P9)</f>
        <v>5700</v>
      </c>
      <c r="Q10" s="370">
        <f t="shared" si="3"/>
        <v>5700</v>
      </c>
      <c r="R10" s="371">
        <f t="shared" si="3"/>
        <v>13620</v>
      </c>
      <c r="S10" s="372">
        <f t="shared" si="3"/>
        <v>13612</v>
      </c>
      <c r="T10" s="373">
        <f t="shared" si="3"/>
        <v>0</v>
      </c>
      <c r="U10" s="370">
        <f t="shared" si="3"/>
        <v>0</v>
      </c>
      <c r="V10" s="371"/>
      <c r="W10" s="372"/>
      <c r="X10" s="373">
        <f aca="true" t="shared" si="4" ref="X10:AI10">SUM(X6:X9)</f>
        <v>39833</v>
      </c>
      <c r="Y10" s="370">
        <f t="shared" si="4"/>
        <v>39832</v>
      </c>
      <c r="Z10" s="371">
        <f t="shared" si="4"/>
        <v>7545</v>
      </c>
      <c r="AA10" s="372">
        <f t="shared" si="4"/>
        <v>7545</v>
      </c>
      <c r="AB10" s="373">
        <f t="shared" si="4"/>
        <v>68180</v>
      </c>
      <c r="AC10" s="370">
        <f t="shared" si="4"/>
        <v>61086</v>
      </c>
      <c r="AD10" s="371">
        <f t="shared" si="4"/>
        <v>0</v>
      </c>
      <c r="AE10" s="372">
        <f t="shared" si="4"/>
        <v>0</v>
      </c>
      <c r="AF10" s="373">
        <f t="shared" si="4"/>
        <v>0</v>
      </c>
      <c r="AG10" s="370">
        <f t="shared" si="4"/>
        <v>0</v>
      </c>
      <c r="AH10" s="371">
        <f t="shared" si="4"/>
        <v>0</v>
      </c>
      <c r="AI10" s="368">
        <f t="shared" si="4"/>
        <v>0</v>
      </c>
    </row>
    <row r="11" spans="1:35" s="89" customFormat="1" ht="11.25">
      <c r="A11" s="506" t="s">
        <v>140</v>
      </c>
      <c r="B11" s="356">
        <v>19</v>
      </c>
      <c r="C11" s="357">
        <f t="shared" si="0"/>
        <v>2987.7</v>
      </c>
      <c r="D11" s="358">
        <v>341105</v>
      </c>
      <c r="E11" s="359">
        <v>0</v>
      </c>
      <c r="F11" s="360">
        <v>340600</v>
      </c>
      <c r="G11" s="359">
        <v>0</v>
      </c>
      <c r="H11" s="361">
        <f t="shared" si="1"/>
        <v>99.9</v>
      </c>
      <c r="I11" s="358">
        <v>252353</v>
      </c>
      <c r="J11" s="358">
        <v>16371</v>
      </c>
      <c r="K11" s="358">
        <v>46460</v>
      </c>
      <c r="L11" s="358">
        <v>6336</v>
      </c>
      <c r="M11" s="358">
        <v>0</v>
      </c>
      <c r="N11" s="358">
        <v>0</v>
      </c>
      <c r="O11" s="358">
        <v>17160</v>
      </c>
      <c r="P11" s="358">
        <v>0</v>
      </c>
      <c r="Q11" s="362"/>
      <c r="R11" s="363">
        <v>0</v>
      </c>
      <c r="S11" s="364"/>
      <c r="T11" s="365">
        <v>0</v>
      </c>
      <c r="U11" s="362"/>
      <c r="V11" s="363">
        <v>0</v>
      </c>
      <c r="W11" s="364"/>
      <c r="X11" s="365">
        <v>0</v>
      </c>
      <c r="Y11" s="362"/>
      <c r="Z11" s="363">
        <v>0</v>
      </c>
      <c r="AA11" s="364"/>
      <c r="AB11" s="365">
        <v>0</v>
      </c>
      <c r="AC11" s="362"/>
      <c r="AD11" s="363">
        <v>0</v>
      </c>
      <c r="AE11" s="364"/>
      <c r="AF11" s="365">
        <v>0</v>
      </c>
      <c r="AG11" s="362">
        <v>0</v>
      </c>
      <c r="AH11" s="363">
        <v>0</v>
      </c>
      <c r="AI11" s="358">
        <v>0</v>
      </c>
    </row>
    <row r="12" spans="1:35" s="89" customFormat="1" ht="11.25">
      <c r="A12" s="506" t="s">
        <v>141</v>
      </c>
      <c r="B12" s="356">
        <v>98</v>
      </c>
      <c r="C12" s="357">
        <f t="shared" si="0"/>
        <v>2125</v>
      </c>
      <c r="D12" s="358">
        <v>1249960</v>
      </c>
      <c r="E12" s="359">
        <v>0</v>
      </c>
      <c r="F12" s="360">
        <v>1249475</v>
      </c>
      <c r="G12" s="359">
        <v>0</v>
      </c>
      <c r="H12" s="361">
        <f t="shared" si="1"/>
        <v>100</v>
      </c>
      <c r="I12" s="358">
        <v>924702</v>
      </c>
      <c r="J12" s="358">
        <v>61984</v>
      </c>
      <c r="K12" s="358">
        <v>171320</v>
      </c>
      <c r="L12" s="358">
        <v>24003</v>
      </c>
      <c r="M12" s="358">
        <v>0</v>
      </c>
      <c r="N12" s="358">
        <v>0</v>
      </c>
      <c r="O12" s="358">
        <v>57594</v>
      </c>
      <c r="P12" s="358">
        <v>0</v>
      </c>
      <c r="Q12" s="362">
        <v>0</v>
      </c>
      <c r="R12" s="363">
        <v>0</v>
      </c>
      <c r="S12" s="364">
        <v>0</v>
      </c>
      <c r="T12" s="365">
        <v>0</v>
      </c>
      <c r="U12" s="362">
        <v>0</v>
      </c>
      <c r="V12" s="363">
        <v>0</v>
      </c>
      <c r="W12" s="364">
        <v>0</v>
      </c>
      <c r="X12" s="365">
        <v>0</v>
      </c>
      <c r="Y12" s="362">
        <v>0</v>
      </c>
      <c r="Z12" s="363">
        <v>0</v>
      </c>
      <c r="AA12" s="364">
        <v>0</v>
      </c>
      <c r="AB12" s="365">
        <v>0</v>
      </c>
      <c r="AC12" s="362">
        <v>0</v>
      </c>
      <c r="AD12" s="363">
        <v>0</v>
      </c>
      <c r="AE12" s="364">
        <v>0</v>
      </c>
      <c r="AF12" s="365">
        <v>0</v>
      </c>
      <c r="AG12" s="362">
        <v>0</v>
      </c>
      <c r="AH12" s="363">
        <v>0</v>
      </c>
      <c r="AI12" s="358">
        <v>0</v>
      </c>
    </row>
    <row r="13" spans="1:35" s="89" customFormat="1" ht="11.25">
      <c r="A13" s="506" t="s">
        <v>142</v>
      </c>
      <c r="B13" s="356">
        <v>13</v>
      </c>
      <c r="C13" s="357">
        <f t="shared" si="0"/>
        <v>1691.8</v>
      </c>
      <c r="D13" s="358">
        <v>131966</v>
      </c>
      <c r="E13" s="359">
        <v>0</v>
      </c>
      <c r="F13" s="360">
        <v>131964</v>
      </c>
      <c r="G13" s="359">
        <v>0</v>
      </c>
      <c r="H13" s="361">
        <f t="shared" si="1"/>
        <v>100</v>
      </c>
      <c r="I13" s="358">
        <v>92057</v>
      </c>
      <c r="J13" s="358">
        <v>8685</v>
      </c>
      <c r="K13" s="358">
        <v>20640</v>
      </c>
      <c r="L13" s="358">
        <v>2508</v>
      </c>
      <c r="M13" s="358">
        <v>0</v>
      </c>
      <c r="N13" s="358">
        <v>0</v>
      </c>
      <c r="O13" s="358">
        <v>7196</v>
      </c>
      <c r="P13" s="358">
        <v>0</v>
      </c>
      <c r="Q13" s="362">
        <v>0</v>
      </c>
      <c r="R13" s="363">
        <v>0</v>
      </c>
      <c r="S13" s="364">
        <v>0</v>
      </c>
      <c r="T13" s="365">
        <v>0</v>
      </c>
      <c r="U13" s="362">
        <v>0</v>
      </c>
      <c r="V13" s="363">
        <v>0</v>
      </c>
      <c r="W13" s="364">
        <v>0</v>
      </c>
      <c r="X13" s="365">
        <v>0</v>
      </c>
      <c r="Y13" s="362">
        <v>0</v>
      </c>
      <c r="Z13" s="363">
        <v>0</v>
      </c>
      <c r="AA13" s="364">
        <v>0</v>
      </c>
      <c r="AB13" s="365">
        <v>0</v>
      </c>
      <c r="AC13" s="362">
        <v>0</v>
      </c>
      <c r="AD13" s="363">
        <v>0</v>
      </c>
      <c r="AE13" s="364">
        <v>0</v>
      </c>
      <c r="AF13" s="365">
        <v>0</v>
      </c>
      <c r="AG13" s="362">
        <v>0</v>
      </c>
      <c r="AH13" s="363">
        <v>0</v>
      </c>
      <c r="AI13" s="358">
        <v>0</v>
      </c>
    </row>
    <row r="14" spans="1:35" s="89" customFormat="1" ht="11.25">
      <c r="A14" s="506" t="s">
        <v>143</v>
      </c>
      <c r="B14" s="356">
        <v>34</v>
      </c>
      <c r="C14" s="357">
        <f t="shared" si="0"/>
        <v>2160.8</v>
      </c>
      <c r="D14" s="358">
        <v>447535</v>
      </c>
      <c r="E14" s="359">
        <v>0</v>
      </c>
      <c r="F14" s="360">
        <v>440795</v>
      </c>
      <c r="G14" s="359">
        <v>0</v>
      </c>
      <c r="H14" s="361">
        <f t="shared" si="1"/>
        <v>98.5</v>
      </c>
      <c r="I14" s="358">
        <v>322324</v>
      </c>
      <c r="J14" s="358">
        <v>25856</v>
      </c>
      <c r="K14" s="358">
        <v>60180</v>
      </c>
      <c r="L14" s="358">
        <v>8288</v>
      </c>
      <c r="M14" s="358">
        <v>511</v>
      </c>
      <c r="N14" s="358">
        <v>500</v>
      </c>
      <c r="O14" s="358">
        <v>20180</v>
      </c>
      <c r="P14" s="358">
        <v>0</v>
      </c>
      <c r="Q14" s="362">
        <v>0</v>
      </c>
      <c r="R14" s="363">
        <v>0</v>
      </c>
      <c r="S14" s="364">
        <v>0</v>
      </c>
      <c r="T14" s="365">
        <v>0</v>
      </c>
      <c r="U14" s="362">
        <v>0</v>
      </c>
      <c r="V14" s="363">
        <v>0</v>
      </c>
      <c r="W14" s="364">
        <v>0</v>
      </c>
      <c r="X14" s="365">
        <v>26194</v>
      </c>
      <c r="Y14" s="362">
        <v>19963</v>
      </c>
      <c r="Z14" s="363">
        <v>0</v>
      </c>
      <c r="AA14" s="364">
        <v>0</v>
      </c>
      <c r="AB14" s="365">
        <v>0</v>
      </c>
      <c r="AC14" s="362">
        <v>0</v>
      </c>
      <c r="AD14" s="363">
        <v>0</v>
      </c>
      <c r="AE14" s="364">
        <v>0</v>
      </c>
      <c r="AF14" s="365">
        <v>0</v>
      </c>
      <c r="AG14" s="362">
        <v>0</v>
      </c>
      <c r="AH14" s="363">
        <v>0</v>
      </c>
      <c r="AI14" s="358">
        <v>0</v>
      </c>
    </row>
    <row r="15" spans="1:35" s="89" customFormat="1" ht="11.25">
      <c r="A15" s="506" t="s">
        <v>145</v>
      </c>
      <c r="B15" s="356">
        <v>17</v>
      </c>
      <c r="C15" s="357">
        <f t="shared" si="0"/>
        <v>3933</v>
      </c>
      <c r="D15" s="358">
        <v>402364</v>
      </c>
      <c r="E15" s="359">
        <v>0</v>
      </c>
      <c r="F15" s="360">
        <v>401171</v>
      </c>
      <c r="G15" s="359">
        <v>0</v>
      </c>
      <c r="H15" s="361">
        <f t="shared" si="1"/>
        <v>99.7</v>
      </c>
      <c r="I15" s="358">
        <v>261238</v>
      </c>
      <c r="J15" s="358">
        <v>23568</v>
      </c>
      <c r="K15" s="358">
        <v>50666</v>
      </c>
      <c r="L15" s="358">
        <v>6900</v>
      </c>
      <c r="M15" s="358">
        <v>36792</v>
      </c>
      <c r="N15" s="358">
        <v>0</v>
      </c>
      <c r="O15" s="358">
        <v>18295</v>
      </c>
      <c r="P15" s="358">
        <v>0</v>
      </c>
      <c r="Q15" s="362">
        <v>0</v>
      </c>
      <c r="R15" s="363">
        <v>0</v>
      </c>
      <c r="S15" s="364">
        <v>0</v>
      </c>
      <c r="T15" s="365">
        <v>0</v>
      </c>
      <c r="U15" s="362">
        <v>0</v>
      </c>
      <c r="V15" s="363">
        <v>0</v>
      </c>
      <c r="W15" s="364">
        <v>0</v>
      </c>
      <c r="X15" s="365">
        <v>81594</v>
      </c>
      <c r="Y15" s="362">
        <v>65301</v>
      </c>
      <c r="Z15" s="363">
        <v>0</v>
      </c>
      <c r="AA15" s="364">
        <v>0</v>
      </c>
      <c r="AB15" s="365">
        <v>0</v>
      </c>
      <c r="AC15" s="362">
        <v>0</v>
      </c>
      <c r="AD15" s="363">
        <v>0</v>
      </c>
      <c r="AE15" s="364">
        <v>0</v>
      </c>
      <c r="AF15" s="365">
        <v>0</v>
      </c>
      <c r="AG15" s="362">
        <v>0</v>
      </c>
      <c r="AH15" s="363">
        <v>0</v>
      </c>
      <c r="AI15" s="358">
        <v>0</v>
      </c>
    </row>
    <row r="16" spans="1:35" s="89" customFormat="1" ht="11.25">
      <c r="A16" s="507" t="s">
        <v>146</v>
      </c>
      <c r="B16" s="366">
        <f>SUM(B11:B15)</f>
        <v>181</v>
      </c>
      <c r="C16" s="367">
        <f t="shared" si="0"/>
        <v>2361</v>
      </c>
      <c r="D16" s="368">
        <f>SUM(D11:D15)</f>
        <v>2572930</v>
      </c>
      <c r="E16" s="368">
        <f>SUM(E11:E15)</f>
        <v>0</v>
      </c>
      <c r="F16" s="495">
        <f>SUM(F11:F15)</f>
        <v>2564005</v>
      </c>
      <c r="G16" s="368">
        <f>SUM(G11:G15)</f>
        <v>0</v>
      </c>
      <c r="H16" s="369">
        <f t="shared" si="1"/>
        <v>99.7</v>
      </c>
      <c r="I16" s="368">
        <f aca="true" t="shared" si="5" ref="I16:O16">SUM(I11:I15)</f>
        <v>1852674</v>
      </c>
      <c r="J16" s="368">
        <f t="shared" si="5"/>
        <v>136464</v>
      </c>
      <c r="K16" s="368">
        <f t="shared" si="5"/>
        <v>349266</v>
      </c>
      <c r="L16" s="368">
        <f t="shared" si="5"/>
        <v>48035</v>
      </c>
      <c r="M16" s="368">
        <f>SUM(M11:M15)</f>
        <v>37303</v>
      </c>
      <c r="N16" s="368">
        <f>SUM(N11:N15)</f>
        <v>500</v>
      </c>
      <c r="O16" s="368">
        <f t="shared" si="5"/>
        <v>120425</v>
      </c>
      <c r="P16" s="368">
        <f aca="true" t="shared" si="6" ref="P16:AI16">SUM(P11:P15)</f>
        <v>0</v>
      </c>
      <c r="Q16" s="370">
        <f t="shared" si="6"/>
        <v>0</v>
      </c>
      <c r="R16" s="371">
        <f t="shared" si="6"/>
        <v>0</v>
      </c>
      <c r="S16" s="372">
        <f t="shared" si="6"/>
        <v>0</v>
      </c>
      <c r="T16" s="373">
        <f t="shared" si="6"/>
        <v>0</v>
      </c>
      <c r="U16" s="370">
        <f t="shared" si="6"/>
        <v>0</v>
      </c>
      <c r="V16" s="371">
        <f t="shared" si="6"/>
        <v>0</v>
      </c>
      <c r="W16" s="372">
        <f t="shared" si="6"/>
        <v>0</v>
      </c>
      <c r="X16" s="373">
        <f t="shared" si="6"/>
        <v>107788</v>
      </c>
      <c r="Y16" s="370">
        <f t="shared" si="6"/>
        <v>85264</v>
      </c>
      <c r="Z16" s="371">
        <f t="shared" si="6"/>
        <v>0</v>
      </c>
      <c r="AA16" s="372">
        <f t="shared" si="6"/>
        <v>0</v>
      </c>
      <c r="AB16" s="373">
        <f t="shared" si="6"/>
        <v>0</v>
      </c>
      <c r="AC16" s="370">
        <f t="shared" si="6"/>
        <v>0</v>
      </c>
      <c r="AD16" s="371">
        <f t="shared" si="6"/>
        <v>0</v>
      </c>
      <c r="AE16" s="372">
        <f t="shared" si="6"/>
        <v>0</v>
      </c>
      <c r="AF16" s="373">
        <f t="shared" si="6"/>
        <v>0</v>
      </c>
      <c r="AG16" s="370">
        <f t="shared" si="6"/>
        <v>0</v>
      </c>
      <c r="AH16" s="371">
        <f t="shared" si="6"/>
        <v>0</v>
      </c>
      <c r="AI16" s="368">
        <f t="shared" si="6"/>
        <v>0</v>
      </c>
    </row>
    <row r="17" spans="1:35" s="89" customFormat="1" ht="11.25">
      <c r="A17" s="506" t="s">
        <v>147</v>
      </c>
      <c r="B17" s="356">
        <v>578</v>
      </c>
      <c r="C17" s="357">
        <f t="shared" si="0"/>
        <v>608.6</v>
      </c>
      <c r="D17" s="358">
        <v>2112387</v>
      </c>
      <c r="E17" s="359"/>
      <c r="F17" s="505">
        <v>2110650</v>
      </c>
      <c r="G17" s="359"/>
      <c r="H17" s="361">
        <f t="shared" si="1"/>
        <v>99.9</v>
      </c>
      <c r="I17" s="358">
        <v>1395102</v>
      </c>
      <c r="J17" s="358">
        <v>102544</v>
      </c>
      <c r="K17" s="358">
        <v>267792</v>
      </c>
      <c r="L17" s="358">
        <v>35709</v>
      </c>
      <c r="M17" s="358">
        <v>19603</v>
      </c>
      <c r="N17" s="358">
        <v>0</v>
      </c>
      <c r="O17" s="358">
        <v>82285</v>
      </c>
      <c r="P17" s="374">
        <v>4000</v>
      </c>
      <c r="Q17" s="375">
        <v>3996</v>
      </c>
      <c r="R17" s="376">
        <v>4410</v>
      </c>
      <c r="S17" s="377">
        <v>4410</v>
      </c>
      <c r="T17" s="365">
        <v>827</v>
      </c>
      <c r="U17" s="362">
        <v>827</v>
      </c>
      <c r="V17" s="363">
        <v>2625</v>
      </c>
      <c r="W17" s="364">
        <v>2521</v>
      </c>
      <c r="X17" s="378">
        <v>6000</v>
      </c>
      <c r="Y17" s="375">
        <v>6000</v>
      </c>
      <c r="Z17" s="376">
        <v>2109</v>
      </c>
      <c r="AA17" s="377">
        <v>2108</v>
      </c>
      <c r="AB17" s="365">
        <v>0</v>
      </c>
      <c r="AC17" s="362">
        <v>0</v>
      </c>
      <c r="AD17" s="363">
        <v>0</v>
      </c>
      <c r="AE17" s="364">
        <v>0</v>
      </c>
      <c r="AF17" s="365">
        <v>0</v>
      </c>
      <c r="AG17" s="362">
        <v>0</v>
      </c>
      <c r="AH17" s="363">
        <v>0</v>
      </c>
      <c r="AI17" s="358">
        <v>0</v>
      </c>
    </row>
    <row r="18" spans="1:35" s="89" customFormat="1" ht="11.25">
      <c r="A18" s="506" t="s">
        <v>148</v>
      </c>
      <c r="B18" s="356">
        <v>683</v>
      </c>
      <c r="C18" s="357">
        <f t="shared" si="0"/>
        <v>671.1</v>
      </c>
      <c r="D18" s="358">
        <v>2752006</v>
      </c>
      <c r="E18" s="359"/>
      <c r="F18" s="505">
        <v>2750173</v>
      </c>
      <c r="G18" s="359"/>
      <c r="H18" s="361">
        <f t="shared" si="1"/>
        <v>99.9</v>
      </c>
      <c r="I18" s="358">
        <v>1881280</v>
      </c>
      <c r="J18" s="358">
        <v>148234</v>
      </c>
      <c r="K18" s="358">
        <v>356216</v>
      </c>
      <c r="L18" s="358">
        <v>48342</v>
      </c>
      <c r="M18" s="358">
        <v>107276</v>
      </c>
      <c r="N18" s="358">
        <v>3000</v>
      </c>
      <c r="O18" s="358">
        <v>110133</v>
      </c>
      <c r="P18" s="374">
        <v>5000</v>
      </c>
      <c r="Q18" s="375">
        <v>5000</v>
      </c>
      <c r="R18" s="376">
        <v>2100</v>
      </c>
      <c r="S18" s="377">
        <v>2100</v>
      </c>
      <c r="T18" s="365">
        <v>208</v>
      </c>
      <c r="U18" s="362">
        <v>208</v>
      </c>
      <c r="V18" s="363">
        <v>5211</v>
      </c>
      <c r="W18" s="364">
        <v>5099</v>
      </c>
      <c r="X18" s="365">
        <v>6000</v>
      </c>
      <c r="Y18" s="362">
        <v>6000</v>
      </c>
      <c r="Z18" s="363">
        <v>3400</v>
      </c>
      <c r="AA18" s="364">
        <v>3400</v>
      </c>
      <c r="AB18" s="365">
        <v>0</v>
      </c>
      <c r="AC18" s="362">
        <v>0</v>
      </c>
      <c r="AD18" s="363">
        <v>0</v>
      </c>
      <c r="AE18" s="364">
        <v>0</v>
      </c>
      <c r="AF18" s="365">
        <v>0</v>
      </c>
      <c r="AG18" s="362">
        <v>0</v>
      </c>
      <c r="AH18" s="363">
        <v>0</v>
      </c>
      <c r="AI18" s="358">
        <v>0</v>
      </c>
    </row>
    <row r="19" spans="1:35" s="122" customFormat="1" ht="11.25">
      <c r="A19" s="506" t="s">
        <v>149</v>
      </c>
      <c r="B19" s="356">
        <v>672</v>
      </c>
      <c r="C19" s="357">
        <f t="shared" si="0"/>
        <v>993.9</v>
      </c>
      <c r="D19" s="358">
        <v>4017054</v>
      </c>
      <c r="E19" s="359"/>
      <c r="F19" s="374">
        <v>4007538</v>
      </c>
      <c r="G19" s="359"/>
      <c r="H19" s="361">
        <f t="shared" si="1"/>
        <v>99.8</v>
      </c>
      <c r="I19" s="358">
        <v>2683204</v>
      </c>
      <c r="J19" s="358">
        <v>214239</v>
      </c>
      <c r="K19" s="358">
        <v>506176</v>
      </c>
      <c r="L19" s="358">
        <v>71484</v>
      </c>
      <c r="M19" s="358">
        <v>193197</v>
      </c>
      <c r="N19" s="358">
        <v>80000</v>
      </c>
      <c r="O19" s="358">
        <v>169565</v>
      </c>
      <c r="P19" s="374">
        <v>16510</v>
      </c>
      <c r="Q19" s="375">
        <v>16196</v>
      </c>
      <c r="R19" s="376">
        <v>5670</v>
      </c>
      <c r="S19" s="377">
        <v>5670</v>
      </c>
      <c r="T19" s="365">
        <v>1653</v>
      </c>
      <c r="U19" s="362">
        <v>1653</v>
      </c>
      <c r="V19" s="363">
        <v>4780</v>
      </c>
      <c r="W19" s="364">
        <v>2593</v>
      </c>
      <c r="X19" s="365">
        <v>6000</v>
      </c>
      <c r="Y19" s="362">
        <v>2299</v>
      </c>
      <c r="Z19" s="363">
        <v>6375</v>
      </c>
      <c r="AA19" s="364">
        <v>6375</v>
      </c>
      <c r="AB19" s="365">
        <v>0</v>
      </c>
      <c r="AC19" s="362">
        <v>0</v>
      </c>
      <c r="AD19" s="363">
        <v>0</v>
      </c>
      <c r="AE19" s="364">
        <v>0</v>
      </c>
      <c r="AF19" s="365">
        <v>0</v>
      </c>
      <c r="AG19" s="362">
        <v>0</v>
      </c>
      <c r="AH19" s="363">
        <v>0</v>
      </c>
      <c r="AI19" s="358">
        <v>0</v>
      </c>
    </row>
    <row r="20" spans="1:35" s="122" customFormat="1" ht="11.25">
      <c r="A20" s="506" t="s">
        <v>150</v>
      </c>
      <c r="B20" s="356">
        <v>620</v>
      </c>
      <c r="C20" s="357">
        <f t="shared" si="0"/>
        <v>664.8</v>
      </c>
      <c r="D20" s="358">
        <v>2503134</v>
      </c>
      <c r="E20" s="359"/>
      <c r="F20" s="505">
        <f>2471580+1500</f>
        <v>2473080</v>
      </c>
      <c r="G20" s="359">
        <v>1500</v>
      </c>
      <c r="H20" s="361">
        <f t="shared" si="1"/>
        <v>98.8</v>
      </c>
      <c r="I20" s="358">
        <v>1681314</v>
      </c>
      <c r="J20" s="358">
        <v>124079</v>
      </c>
      <c r="K20" s="358">
        <v>312431</v>
      </c>
      <c r="L20" s="358">
        <v>42381</v>
      </c>
      <c r="M20" s="358">
        <v>146747</v>
      </c>
      <c r="N20" s="358">
        <v>5000</v>
      </c>
      <c r="O20" s="358">
        <v>103090</v>
      </c>
      <c r="P20" s="374">
        <v>4800</v>
      </c>
      <c r="Q20" s="375">
        <v>4800</v>
      </c>
      <c r="R20" s="376">
        <v>4140</v>
      </c>
      <c r="S20" s="377">
        <v>4135</v>
      </c>
      <c r="T20" s="365">
        <v>620</v>
      </c>
      <c r="U20" s="362">
        <v>620</v>
      </c>
      <c r="V20" s="363">
        <v>3487</v>
      </c>
      <c r="W20" s="364">
        <v>2748</v>
      </c>
      <c r="X20" s="365">
        <v>6000</v>
      </c>
      <c r="Y20" s="362">
        <v>6000</v>
      </c>
      <c r="Z20" s="363">
        <v>2000</v>
      </c>
      <c r="AA20" s="364">
        <v>2000</v>
      </c>
      <c r="AB20" s="365">
        <v>0</v>
      </c>
      <c r="AC20" s="362">
        <v>0</v>
      </c>
      <c r="AD20" s="363">
        <v>0</v>
      </c>
      <c r="AE20" s="364">
        <v>0</v>
      </c>
      <c r="AF20" s="365">
        <v>0</v>
      </c>
      <c r="AG20" s="362">
        <v>0</v>
      </c>
      <c r="AH20" s="363">
        <v>0</v>
      </c>
      <c r="AI20" s="358">
        <v>0</v>
      </c>
    </row>
    <row r="21" spans="1:35" s="89" customFormat="1" ht="11.25">
      <c r="A21" s="506" t="s">
        <v>151</v>
      </c>
      <c r="B21" s="356">
        <v>416</v>
      </c>
      <c r="C21" s="357">
        <f t="shared" si="0"/>
        <v>796.4</v>
      </c>
      <c r="D21" s="358">
        <v>1998397</v>
      </c>
      <c r="E21" s="359">
        <v>0</v>
      </c>
      <c r="F21" s="505">
        <v>1987698</v>
      </c>
      <c r="G21" s="359">
        <v>0</v>
      </c>
      <c r="H21" s="361">
        <f t="shared" si="1"/>
        <v>99.5</v>
      </c>
      <c r="I21" s="358">
        <v>1381121</v>
      </c>
      <c r="J21" s="358">
        <v>100513</v>
      </c>
      <c r="K21" s="358">
        <v>255088</v>
      </c>
      <c r="L21" s="358">
        <v>34647</v>
      </c>
      <c r="M21" s="358">
        <v>45849</v>
      </c>
      <c r="N21" s="358">
        <v>1586</v>
      </c>
      <c r="O21" s="358">
        <v>86596</v>
      </c>
      <c r="P21" s="374">
        <v>0</v>
      </c>
      <c r="Q21" s="375">
        <v>0</v>
      </c>
      <c r="R21" s="376">
        <v>2220</v>
      </c>
      <c r="S21" s="377">
        <v>2220</v>
      </c>
      <c r="T21" s="365">
        <v>620</v>
      </c>
      <c r="U21" s="362">
        <v>620</v>
      </c>
      <c r="V21" s="363">
        <v>1764</v>
      </c>
      <c r="W21" s="364">
        <v>1128</v>
      </c>
      <c r="X21" s="365">
        <v>4500</v>
      </c>
      <c r="Y21" s="362">
        <v>4494</v>
      </c>
      <c r="Z21" s="363">
        <v>0</v>
      </c>
      <c r="AA21" s="364">
        <v>0</v>
      </c>
      <c r="AB21" s="365">
        <v>0</v>
      </c>
      <c r="AC21" s="362">
        <v>0</v>
      </c>
      <c r="AD21" s="363"/>
      <c r="AE21" s="364"/>
      <c r="AF21" s="365">
        <v>0</v>
      </c>
      <c r="AG21" s="362">
        <v>0</v>
      </c>
      <c r="AH21" s="363">
        <v>0</v>
      </c>
      <c r="AI21" s="358">
        <v>0</v>
      </c>
    </row>
    <row r="22" spans="1:35" s="89" customFormat="1" ht="11.25">
      <c r="A22" s="506" t="s">
        <v>152</v>
      </c>
      <c r="B22" s="356">
        <v>581</v>
      </c>
      <c r="C22" s="357">
        <f t="shared" si="0"/>
        <v>697.6</v>
      </c>
      <c r="D22" s="358">
        <v>2437094</v>
      </c>
      <c r="E22" s="359">
        <v>5000</v>
      </c>
      <c r="F22" s="505">
        <v>2431828</v>
      </c>
      <c r="G22" s="359">
        <v>5000</v>
      </c>
      <c r="H22" s="361">
        <f t="shared" si="1"/>
        <v>99.8</v>
      </c>
      <c r="I22" s="358">
        <v>1649760</v>
      </c>
      <c r="J22" s="358">
        <v>116728</v>
      </c>
      <c r="K22" s="358">
        <v>306949</v>
      </c>
      <c r="L22" s="358">
        <v>41898</v>
      </c>
      <c r="M22" s="358">
        <v>91125</v>
      </c>
      <c r="N22" s="358">
        <v>77484</v>
      </c>
      <c r="O22" s="358">
        <v>95415</v>
      </c>
      <c r="P22" s="379">
        <v>2000</v>
      </c>
      <c r="Q22" s="380">
        <v>2000</v>
      </c>
      <c r="R22" s="376">
        <v>2810</v>
      </c>
      <c r="S22" s="377">
        <v>2810</v>
      </c>
      <c r="T22" s="365">
        <v>413</v>
      </c>
      <c r="U22" s="362">
        <v>413</v>
      </c>
      <c r="V22" s="363">
        <v>1764</v>
      </c>
      <c r="W22" s="364">
        <v>1707</v>
      </c>
      <c r="X22" s="365">
        <v>6000</v>
      </c>
      <c r="Y22" s="362">
        <v>5898</v>
      </c>
      <c r="Z22" s="363">
        <v>3000</v>
      </c>
      <c r="AA22" s="364">
        <v>2999</v>
      </c>
      <c r="AB22" s="365">
        <v>0</v>
      </c>
      <c r="AC22" s="362">
        <v>0</v>
      </c>
      <c r="AD22" s="363">
        <v>0</v>
      </c>
      <c r="AE22" s="364">
        <v>0</v>
      </c>
      <c r="AF22" s="365">
        <v>0</v>
      </c>
      <c r="AG22" s="362">
        <v>0</v>
      </c>
      <c r="AH22" s="363">
        <v>0</v>
      </c>
      <c r="AI22" s="358">
        <v>0</v>
      </c>
    </row>
    <row r="23" spans="1:35" s="89" customFormat="1" ht="11.25">
      <c r="A23" s="506" t="s">
        <v>153</v>
      </c>
      <c r="B23" s="356">
        <v>179</v>
      </c>
      <c r="C23" s="357">
        <f t="shared" si="0"/>
        <v>776.2</v>
      </c>
      <c r="D23" s="358">
        <v>837301</v>
      </c>
      <c r="E23" s="359"/>
      <c r="F23" s="505">
        <v>833678</v>
      </c>
      <c r="G23" s="359"/>
      <c r="H23" s="361">
        <f t="shared" si="1"/>
        <v>99.6</v>
      </c>
      <c r="I23" s="358">
        <v>568544</v>
      </c>
      <c r="J23" s="358">
        <v>42130</v>
      </c>
      <c r="K23" s="358">
        <v>106276</v>
      </c>
      <c r="L23" s="358">
        <v>14472</v>
      </c>
      <c r="M23" s="358">
        <v>47877</v>
      </c>
      <c r="N23" s="358">
        <v>6000</v>
      </c>
      <c r="O23" s="358">
        <v>34449</v>
      </c>
      <c r="P23" s="358">
        <v>0</v>
      </c>
      <c r="Q23" s="362">
        <v>0</v>
      </c>
      <c r="R23" s="363">
        <v>0</v>
      </c>
      <c r="S23" s="364">
        <v>0</v>
      </c>
      <c r="T23" s="365">
        <v>0</v>
      </c>
      <c r="U23" s="362">
        <v>0</v>
      </c>
      <c r="V23" s="363">
        <v>1333</v>
      </c>
      <c r="W23" s="364">
        <v>779</v>
      </c>
      <c r="X23" s="365">
        <v>4500</v>
      </c>
      <c r="Y23" s="362">
        <v>3270</v>
      </c>
      <c r="Z23" s="363">
        <v>0</v>
      </c>
      <c r="AA23" s="364">
        <v>0</v>
      </c>
      <c r="AB23" s="365">
        <v>0</v>
      </c>
      <c r="AC23" s="362">
        <v>0</v>
      </c>
      <c r="AD23" s="363">
        <v>0</v>
      </c>
      <c r="AE23" s="364">
        <v>0</v>
      </c>
      <c r="AF23" s="365">
        <v>0</v>
      </c>
      <c r="AG23" s="362">
        <v>0</v>
      </c>
      <c r="AH23" s="363">
        <v>0</v>
      </c>
      <c r="AI23" s="358">
        <v>0</v>
      </c>
    </row>
    <row r="24" spans="1:35" s="89" customFormat="1" ht="11.25">
      <c r="A24" s="506" t="s">
        <v>154</v>
      </c>
      <c r="B24" s="356">
        <v>400</v>
      </c>
      <c r="C24" s="357">
        <f t="shared" si="0"/>
        <v>698.5</v>
      </c>
      <c r="D24" s="358">
        <v>1680627</v>
      </c>
      <c r="E24" s="359"/>
      <c r="F24" s="505">
        <v>1676329</v>
      </c>
      <c r="G24" s="359"/>
      <c r="H24" s="361">
        <f t="shared" si="1"/>
        <v>99.7</v>
      </c>
      <c r="I24" s="358">
        <v>1119340</v>
      </c>
      <c r="J24" s="358">
        <v>81434</v>
      </c>
      <c r="K24" s="358">
        <v>201708</v>
      </c>
      <c r="L24" s="358">
        <v>27427</v>
      </c>
      <c r="M24" s="358">
        <v>83479</v>
      </c>
      <c r="N24" s="358">
        <v>61613</v>
      </c>
      <c r="O24" s="358">
        <v>72587</v>
      </c>
      <c r="P24" s="358">
        <v>0</v>
      </c>
      <c r="Q24" s="362">
        <v>0</v>
      </c>
      <c r="R24" s="363">
        <v>0</v>
      </c>
      <c r="S24" s="364">
        <v>0</v>
      </c>
      <c r="T24" s="365">
        <v>0</v>
      </c>
      <c r="U24" s="362">
        <v>0</v>
      </c>
      <c r="V24" s="363">
        <v>0</v>
      </c>
      <c r="W24" s="364">
        <v>0</v>
      </c>
      <c r="X24" s="365">
        <v>4500</v>
      </c>
      <c r="Y24" s="362">
        <v>3003</v>
      </c>
      <c r="Z24" s="363">
        <v>0</v>
      </c>
      <c r="AA24" s="364">
        <v>0</v>
      </c>
      <c r="AB24" s="365">
        <v>13800</v>
      </c>
      <c r="AC24" s="362">
        <v>13341</v>
      </c>
      <c r="AD24" s="363">
        <v>0</v>
      </c>
      <c r="AE24" s="364">
        <v>0</v>
      </c>
      <c r="AF24" s="365">
        <v>0</v>
      </c>
      <c r="AG24" s="362">
        <v>0</v>
      </c>
      <c r="AH24" s="363">
        <v>0</v>
      </c>
      <c r="AI24" s="358">
        <v>0</v>
      </c>
    </row>
    <row r="25" spans="1:35" s="89" customFormat="1" ht="11.25">
      <c r="A25" s="506" t="s">
        <v>155</v>
      </c>
      <c r="B25" s="356">
        <v>563</v>
      </c>
      <c r="C25" s="357">
        <f t="shared" si="0"/>
        <v>600.9</v>
      </c>
      <c r="D25" s="358">
        <v>2052101</v>
      </c>
      <c r="E25" s="359">
        <v>5000</v>
      </c>
      <c r="F25" s="505">
        <v>2030001</v>
      </c>
      <c r="G25" s="359">
        <v>5000</v>
      </c>
      <c r="H25" s="361">
        <f t="shared" si="1"/>
        <v>98.9</v>
      </c>
      <c r="I25" s="358">
        <v>1373260</v>
      </c>
      <c r="J25" s="358">
        <v>99952</v>
      </c>
      <c r="K25" s="358">
        <v>254658</v>
      </c>
      <c r="L25" s="358">
        <v>34711</v>
      </c>
      <c r="M25" s="358">
        <v>53140</v>
      </c>
      <c r="N25" s="358">
        <v>18964</v>
      </c>
      <c r="O25" s="358">
        <v>85476</v>
      </c>
      <c r="P25" s="374">
        <v>10000</v>
      </c>
      <c r="Q25" s="375">
        <v>9998</v>
      </c>
      <c r="R25" s="376">
        <v>3600</v>
      </c>
      <c r="S25" s="377">
        <v>3600</v>
      </c>
      <c r="T25" s="365">
        <v>0</v>
      </c>
      <c r="U25" s="362">
        <v>0</v>
      </c>
      <c r="V25" s="363">
        <v>5642</v>
      </c>
      <c r="W25" s="364">
        <v>5524</v>
      </c>
      <c r="X25" s="365">
        <v>6000</v>
      </c>
      <c r="Y25" s="362">
        <v>6000</v>
      </c>
      <c r="Z25" s="363">
        <v>1627</v>
      </c>
      <c r="AA25" s="364">
        <v>1626</v>
      </c>
      <c r="AB25" s="365">
        <v>0</v>
      </c>
      <c r="AC25" s="362">
        <v>0</v>
      </c>
      <c r="AD25" s="363">
        <v>0</v>
      </c>
      <c r="AE25" s="364">
        <v>0</v>
      </c>
      <c r="AF25" s="365">
        <v>0</v>
      </c>
      <c r="AG25" s="362">
        <v>0</v>
      </c>
      <c r="AH25" s="363">
        <v>0</v>
      </c>
      <c r="AI25" s="358">
        <v>0</v>
      </c>
    </row>
    <row r="26" spans="1:35" s="122" customFormat="1" ht="11.25">
      <c r="A26" s="506" t="s">
        <v>156</v>
      </c>
      <c r="B26" s="356">
        <v>421</v>
      </c>
      <c r="C26" s="357">
        <f t="shared" si="0"/>
        <v>672</v>
      </c>
      <c r="D26" s="358">
        <v>1701415</v>
      </c>
      <c r="E26" s="359"/>
      <c r="F26" s="374">
        <v>1697513</v>
      </c>
      <c r="G26" s="359"/>
      <c r="H26" s="361">
        <f t="shared" si="1"/>
        <v>99.8</v>
      </c>
      <c r="I26" s="358">
        <v>1140796</v>
      </c>
      <c r="J26" s="358">
        <v>84138</v>
      </c>
      <c r="K26" s="358">
        <v>213395</v>
      </c>
      <c r="L26" s="358">
        <v>28994</v>
      </c>
      <c r="M26" s="358">
        <v>94449</v>
      </c>
      <c r="N26" s="358">
        <v>13273</v>
      </c>
      <c r="O26" s="358">
        <v>66892</v>
      </c>
      <c r="P26" s="374">
        <v>0</v>
      </c>
      <c r="Q26" s="375">
        <v>0</v>
      </c>
      <c r="R26" s="376">
        <v>6090</v>
      </c>
      <c r="S26" s="377">
        <v>5670</v>
      </c>
      <c r="T26" s="365">
        <v>0</v>
      </c>
      <c r="U26" s="362">
        <v>0</v>
      </c>
      <c r="V26" s="363">
        <v>4349</v>
      </c>
      <c r="W26" s="364">
        <v>4264</v>
      </c>
      <c r="X26" s="365">
        <v>4500</v>
      </c>
      <c r="Y26" s="362">
        <v>4499</v>
      </c>
      <c r="Z26" s="363">
        <v>1500</v>
      </c>
      <c r="AA26" s="364">
        <v>1475</v>
      </c>
      <c r="AB26" s="365">
        <v>0</v>
      </c>
      <c r="AC26" s="362">
        <v>0</v>
      </c>
      <c r="AD26" s="363">
        <v>0</v>
      </c>
      <c r="AE26" s="364">
        <v>0</v>
      </c>
      <c r="AF26" s="365">
        <v>0</v>
      </c>
      <c r="AG26" s="362">
        <v>0</v>
      </c>
      <c r="AH26" s="363">
        <v>0</v>
      </c>
      <c r="AI26" s="358">
        <v>0</v>
      </c>
    </row>
    <row r="27" spans="1:35" s="89" customFormat="1" ht="11.25">
      <c r="A27" s="506" t="s">
        <v>157</v>
      </c>
      <c r="B27" s="356">
        <v>315</v>
      </c>
      <c r="C27" s="357">
        <f t="shared" si="0"/>
        <v>624.4</v>
      </c>
      <c r="D27" s="358">
        <v>1185509</v>
      </c>
      <c r="E27" s="359"/>
      <c r="F27" s="505">
        <v>1180086</v>
      </c>
      <c r="G27" s="359"/>
      <c r="H27" s="361">
        <f t="shared" si="1"/>
        <v>99.5</v>
      </c>
      <c r="I27" s="358">
        <v>841440</v>
      </c>
      <c r="J27" s="358">
        <v>67264</v>
      </c>
      <c r="K27" s="358">
        <v>159865</v>
      </c>
      <c r="L27" s="358">
        <v>21644</v>
      </c>
      <c r="M27" s="358">
        <v>13286</v>
      </c>
      <c r="N27" s="358">
        <v>584</v>
      </c>
      <c r="O27" s="358">
        <v>51994</v>
      </c>
      <c r="P27" s="374">
        <v>3200</v>
      </c>
      <c r="Q27" s="375">
        <v>3200</v>
      </c>
      <c r="R27" s="376">
        <v>3780</v>
      </c>
      <c r="S27" s="377">
        <v>3780</v>
      </c>
      <c r="T27" s="365">
        <v>413</v>
      </c>
      <c r="U27" s="362">
        <v>413</v>
      </c>
      <c r="V27" s="363">
        <v>0</v>
      </c>
      <c r="W27" s="364">
        <v>0</v>
      </c>
      <c r="X27" s="365">
        <v>4500</v>
      </c>
      <c r="Y27" s="362">
        <v>4500</v>
      </c>
      <c r="Z27" s="363">
        <v>0</v>
      </c>
      <c r="AA27" s="364">
        <v>0</v>
      </c>
      <c r="AB27" s="365">
        <v>0</v>
      </c>
      <c r="AC27" s="362">
        <v>0</v>
      </c>
      <c r="AD27" s="363">
        <v>0</v>
      </c>
      <c r="AE27" s="364">
        <v>0</v>
      </c>
      <c r="AF27" s="365">
        <v>0</v>
      </c>
      <c r="AG27" s="362">
        <v>0</v>
      </c>
      <c r="AH27" s="363">
        <v>0</v>
      </c>
      <c r="AI27" s="358">
        <v>0</v>
      </c>
    </row>
    <row r="28" spans="1:35" s="89" customFormat="1" ht="11.25">
      <c r="A28" s="506" t="s">
        <v>158</v>
      </c>
      <c r="B28" s="356">
        <v>370</v>
      </c>
      <c r="C28" s="357">
        <f t="shared" si="0"/>
        <v>902.2</v>
      </c>
      <c r="D28" s="358">
        <v>2019041</v>
      </c>
      <c r="E28" s="359"/>
      <c r="F28" s="505">
        <v>2002890</v>
      </c>
      <c r="G28" s="359"/>
      <c r="H28" s="361">
        <f t="shared" si="1"/>
        <v>99.2</v>
      </c>
      <c r="I28" s="358">
        <v>1346916</v>
      </c>
      <c r="J28" s="358">
        <v>101169</v>
      </c>
      <c r="K28" s="358">
        <v>244163</v>
      </c>
      <c r="L28" s="358">
        <v>33280</v>
      </c>
      <c r="M28" s="358">
        <v>163999</v>
      </c>
      <c r="N28" s="358">
        <v>0</v>
      </c>
      <c r="O28" s="358">
        <v>80015</v>
      </c>
      <c r="P28" s="374">
        <v>0</v>
      </c>
      <c r="Q28" s="375">
        <v>0</v>
      </c>
      <c r="R28" s="376">
        <v>0</v>
      </c>
      <c r="S28" s="377">
        <v>0</v>
      </c>
      <c r="T28" s="365">
        <v>0</v>
      </c>
      <c r="U28" s="362">
        <v>0</v>
      </c>
      <c r="V28" s="363">
        <v>471</v>
      </c>
      <c r="W28" s="364">
        <v>423</v>
      </c>
      <c r="X28" s="365">
        <v>4500</v>
      </c>
      <c r="Y28" s="362">
        <v>4500</v>
      </c>
      <c r="Z28" s="363">
        <v>0</v>
      </c>
      <c r="AA28" s="364">
        <v>0</v>
      </c>
      <c r="AB28" s="365">
        <v>0</v>
      </c>
      <c r="AC28" s="362">
        <v>0</v>
      </c>
      <c r="AD28" s="363">
        <v>0</v>
      </c>
      <c r="AE28" s="364">
        <v>0</v>
      </c>
      <c r="AF28" s="365">
        <v>0</v>
      </c>
      <c r="AG28" s="362">
        <v>0</v>
      </c>
      <c r="AH28" s="363">
        <v>0</v>
      </c>
      <c r="AI28" s="358">
        <v>0</v>
      </c>
    </row>
    <row r="29" spans="1:35" s="89" customFormat="1" ht="11.25">
      <c r="A29" s="506" t="s">
        <v>159</v>
      </c>
      <c r="B29" s="356">
        <v>585</v>
      </c>
      <c r="C29" s="357">
        <f t="shared" si="0"/>
        <v>611.7</v>
      </c>
      <c r="D29" s="358">
        <v>2169274</v>
      </c>
      <c r="E29" s="359">
        <v>16800</v>
      </c>
      <c r="F29" s="505">
        <f>2130451+16631</f>
        <v>2147082</v>
      </c>
      <c r="G29" s="359">
        <v>16631</v>
      </c>
      <c r="H29" s="361">
        <f t="shared" si="1"/>
        <v>99</v>
      </c>
      <c r="I29" s="358">
        <v>1419769</v>
      </c>
      <c r="J29" s="358">
        <v>112543</v>
      </c>
      <c r="K29" s="358">
        <v>265317</v>
      </c>
      <c r="L29" s="358">
        <v>36814</v>
      </c>
      <c r="M29" s="358">
        <v>112348</v>
      </c>
      <c r="N29" s="358">
        <v>60000</v>
      </c>
      <c r="O29" s="358">
        <v>86043</v>
      </c>
      <c r="P29" s="374">
        <v>0</v>
      </c>
      <c r="Q29" s="375">
        <v>0</v>
      </c>
      <c r="R29" s="376">
        <v>0</v>
      </c>
      <c r="S29" s="377">
        <v>0</v>
      </c>
      <c r="T29" s="365">
        <v>0</v>
      </c>
      <c r="U29" s="362">
        <v>0</v>
      </c>
      <c r="V29" s="363">
        <v>1333</v>
      </c>
      <c r="W29" s="364">
        <v>1237</v>
      </c>
      <c r="X29" s="365">
        <v>5000</v>
      </c>
      <c r="Y29" s="362">
        <v>2781</v>
      </c>
      <c r="Z29" s="363">
        <v>1770</v>
      </c>
      <c r="AA29" s="364">
        <v>1770</v>
      </c>
      <c r="AB29" s="365">
        <v>0</v>
      </c>
      <c r="AC29" s="362">
        <v>0</v>
      </c>
      <c r="AD29" s="363">
        <v>0</v>
      </c>
      <c r="AE29" s="364">
        <v>0</v>
      </c>
      <c r="AF29" s="365">
        <v>0</v>
      </c>
      <c r="AG29" s="362">
        <v>0</v>
      </c>
      <c r="AH29" s="363">
        <v>0</v>
      </c>
      <c r="AI29" s="358">
        <v>0</v>
      </c>
    </row>
    <row r="30" spans="1:35" s="122" customFormat="1" ht="11.25">
      <c r="A30" s="506" t="s">
        <v>160</v>
      </c>
      <c r="B30" s="356">
        <v>349</v>
      </c>
      <c r="C30" s="357">
        <f t="shared" si="0"/>
        <v>299.1</v>
      </c>
      <c r="D30" s="358">
        <v>632983</v>
      </c>
      <c r="E30" s="359"/>
      <c r="F30" s="374">
        <v>626368</v>
      </c>
      <c r="G30" s="359"/>
      <c r="H30" s="361">
        <f t="shared" si="1"/>
        <v>99</v>
      </c>
      <c r="I30" s="358">
        <v>435995</v>
      </c>
      <c r="J30" s="358">
        <v>32405</v>
      </c>
      <c r="K30" s="358">
        <v>71432</v>
      </c>
      <c r="L30" s="358">
        <v>9927</v>
      </c>
      <c r="M30" s="358">
        <v>17374</v>
      </c>
      <c r="N30" s="358">
        <v>0</v>
      </c>
      <c r="O30" s="358">
        <v>27024</v>
      </c>
      <c r="P30" s="358">
        <v>0</v>
      </c>
      <c r="Q30" s="362">
        <v>0</v>
      </c>
      <c r="R30" s="363">
        <v>2340</v>
      </c>
      <c r="S30" s="364">
        <v>2320</v>
      </c>
      <c r="T30" s="365">
        <v>0</v>
      </c>
      <c r="U30" s="362">
        <v>0</v>
      </c>
      <c r="V30" s="363">
        <v>0</v>
      </c>
      <c r="W30" s="364">
        <v>0</v>
      </c>
      <c r="X30" s="365">
        <v>0</v>
      </c>
      <c r="Y30" s="362">
        <v>0</v>
      </c>
      <c r="Z30" s="363">
        <v>0</v>
      </c>
      <c r="AA30" s="364">
        <v>0</v>
      </c>
      <c r="AB30" s="365">
        <v>0</v>
      </c>
      <c r="AC30" s="362">
        <v>0</v>
      </c>
      <c r="AD30" s="363">
        <v>0</v>
      </c>
      <c r="AE30" s="364">
        <v>0</v>
      </c>
      <c r="AF30" s="365">
        <v>0</v>
      </c>
      <c r="AG30" s="362">
        <v>0</v>
      </c>
      <c r="AH30" s="363">
        <v>0</v>
      </c>
      <c r="AI30" s="358">
        <v>0</v>
      </c>
    </row>
    <row r="31" spans="1:35" s="122" customFormat="1" ht="11.25">
      <c r="A31" s="507" t="s">
        <v>161</v>
      </c>
      <c r="B31" s="366">
        <f>SUM(B17:B30)</f>
        <v>6732</v>
      </c>
      <c r="C31" s="367">
        <f t="shared" si="0"/>
        <v>692.1</v>
      </c>
      <c r="D31" s="368">
        <f>SUM(D17:D30)</f>
        <v>28098323</v>
      </c>
      <c r="E31" s="368">
        <f>SUM(E17:E30)</f>
        <v>26800</v>
      </c>
      <c r="F31" s="495">
        <f>SUM(F17:F30)</f>
        <v>27954914</v>
      </c>
      <c r="G31" s="368">
        <f>SUM(G17:G30)</f>
        <v>28131</v>
      </c>
      <c r="H31" s="369">
        <f t="shared" si="1"/>
        <v>99.5</v>
      </c>
      <c r="I31" s="368">
        <f aca="true" t="shared" si="7" ref="I31:O31">SUM(I17:I30)</f>
        <v>18917841</v>
      </c>
      <c r="J31" s="368">
        <f t="shared" si="7"/>
        <v>1427372</v>
      </c>
      <c r="K31" s="368">
        <f t="shared" si="7"/>
        <v>3521466</v>
      </c>
      <c r="L31" s="368">
        <f t="shared" si="7"/>
        <v>481730</v>
      </c>
      <c r="M31" s="368">
        <f>SUM(M17:M30)</f>
        <v>1189749</v>
      </c>
      <c r="N31" s="368">
        <f>SUM(N17:N30)</f>
        <v>327504</v>
      </c>
      <c r="O31" s="368">
        <f t="shared" si="7"/>
        <v>1151564</v>
      </c>
      <c r="P31" s="368">
        <f aca="true" t="shared" si="8" ref="P31:AI31">SUM(P17:P30)</f>
        <v>45510</v>
      </c>
      <c r="Q31" s="370">
        <f t="shared" si="8"/>
        <v>45190</v>
      </c>
      <c r="R31" s="371">
        <f t="shared" si="8"/>
        <v>37160</v>
      </c>
      <c r="S31" s="372">
        <f t="shared" si="8"/>
        <v>36715</v>
      </c>
      <c r="T31" s="373">
        <f t="shared" si="8"/>
        <v>4754</v>
      </c>
      <c r="U31" s="370">
        <f t="shared" si="8"/>
        <v>4754</v>
      </c>
      <c r="V31" s="371">
        <f t="shared" si="8"/>
        <v>32759</v>
      </c>
      <c r="W31" s="372">
        <f t="shared" si="8"/>
        <v>28023</v>
      </c>
      <c r="X31" s="373">
        <f t="shared" si="8"/>
        <v>68000</v>
      </c>
      <c r="Y31" s="370">
        <f t="shared" si="8"/>
        <v>59244</v>
      </c>
      <c r="Z31" s="371">
        <f t="shared" si="8"/>
        <v>21781</v>
      </c>
      <c r="AA31" s="372">
        <f t="shared" si="8"/>
        <v>21753</v>
      </c>
      <c r="AB31" s="373">
        <f t="shared" si="8"/>
        <v>13800</v>
      </c>
      <c r="AC31" s="370">
        <f t="shared" si="8"/>
        <v>13341</v>
      </c>
      <c r="AD31" s="371">
        <f t="shared" si="8"/>
        <v>0</v>
      </c>
      <c r="AE31" s="372">
        <f t="shared" si="8"/>
        <v>0</v>
      </c>
      <c r="AF31" s="373">
        <f t="shared" si="8"/>
        <v>0</v>
      </c>
      <c r="AG31" s="370">
        <f t="shared" si="8"/>
        <v>0</v>
      </c>
      <c r="AH31" s="371">
        <f t="shared" si="8"/>
        <v>0</v>
      </c>
      <c r="AI31" s="368">
        <f t="shared" si="8"/>
        <v>0</v>
      </c>
    </row>
    <row r="32" spans="1:35" s="89" customFormat="1" ht="11.25">
      <c r="A32" s="506" t="s">
        <v>140</v>
      </c>
      <c r="B32" s="356">
        <v>2</v>
      </c>
      <c r="C32" s="357">
        <f t="shared" si="0"/>
        <v>1442.7</v>
      </c>
      <c r="D32" s="358">
        <v>18255</v>
      </c>
      <c r="E32" s="359">
        <v>0</v>
      </c>
      <c r="F32" s="358">
        <v>17312</v>
      </c>
      <c r="G32" s="359">
        <v>0</v>
      </c>
      <c r="H32" s="361">
        <f t="shared" si="1"/>
        <v>94.8</v>
      </c>
      <c r="I32" s="358">
        <v>14944</v>
      </c>
      <c r="J32" s="358">
        <v>0</v>
      </c>
      <c r="K32" s="358">
        <v>2084</v>
      </c>
      <c r="L32" s="358">
        <v>284</v>
      </c>
      <c r="M32" s="358">
        <v>0</v>
      </c>
      <c r="N32" s="358">
        <v>0</v>
      </c>
      <c r="O32" s="358">
        <v>0</v>
      </c>
      <c r="P32" s="358">
        <v>0</v>
      </c>
      <c r="Q32" s="362">
        <v>0</v>
      </c>
      <c r="R32" s="363">
        <v>0</v>
      </c>
      <c r="S32" s="364">
        <v>0</v>
      </c>
      <c r="T32" s="365">
        <v>0</v>
      </c>
      <c r="U32" s="362">
        <v>0</v>
      </c>
      <c r="V32" s="363">
        <v>0</v>
      </c>
      <c r="W32" s="364">
        <v>0</v>
      </c>
      <c r="X32" s="365">
        <v>0</v>
      </c>
      <c r="Y32" s="362">
        <v>0</v>
      </c>
      <c r="Z32" s="363">
        <v>0</v>
      </c>
      <c r="AA32" s="364">
        <v>0</v>
      </c>
      <c r="AB32" s="365">
        <v>0</v>
      </c>
      <c r="AC32" s="362">
        <v>0</v>
      </c>
      <c r="AD32" s="363">
        <v>0</v>
      </c>
      <c r="AE32" s="364">
        <v>0</v>
      </c>
      <c r="AF32" s="365">
        <v>0</v>
      </c>
      <c r="AG32" s="362">
        <v>0</v>
      </c>
      <c r="AH32" s="363">
        <v>0</v>
      </c>
      <c r="AI32" s="358">
        <v>0</v>
      </c>
    </row>
    <row r="33" spans="1:35" s="89" customFormat="1" ht="21">
      <c r="A33" s="508" t="s">
        <v>162</v>
      </c>
      <c r="B33" s="366">
        <f>B32</f>
        <v>2</v>
      </c>
      <c r="C33" s="367">
        <f t="shared" si="0"/>
        <v>1442.7</v>
      </c>
      <c r="D33" s="368">
        <f aca="true" t="shared" si="9" ref="D33:O33">D32</f>
        <v>18255</v>
      </c>
      <c r="E33" s="368">
        <f>E32</f>
        <v>0</v>
      </c>
      <c r="F33" s="368">
        <f t="shared" si="9"/>
        <v>17312</v>
      </c>
      <c r="G33" s="368">
        <f>G32</f>
        <v>0</v>
      </c>
      <c r="H33" s="369">
        <f t="shared" si="9"/>
        <v>94.8</v>
      </c>
      <c r="I33" s="368">
        <f t="shared" si="9"/>
        <v>14944</v>
      </c>
      <c r="J33" s="368">
        <f t="shared" si="9"/>
        <v>0</v>
      </c>
      <c r="K33" s="368">
        <f t="shared" si="9"/>
        <v>2084</v>
      </c>
      <c r="L33" s="368">
        <f t="shared" si="9"/>
        <v>284</v>
      </c>
      <c r="M33" s="368">
        <f>M32</f>
        <v>0</v>
      </c>
      <c r="N33" s="368">
        <f>N32</f>
        <v>0</v>
      </c>
      <c r="O33" s="368">
        <f t="shared" si="9"/>
        <v>0</v>
      </c>
      <c r="P33" s="368">
        <f aca="true" t="shared" si="10" ref="P33:AI33">P32</f>
        <v>0</v>
      </c>
      <c r="Q33" s="370">
        <f t="shared" si="10"/>
        <v>0</v>
      </c>
      <c r="R33" s="371">
        <f t="shared" si="10"/>
        <v>0</v>
      </c>
      <c r="S33" s="372">
        <f t="shared" si="10"/>
        <v>0</v>
      </c>
      <c r="T33" s="373">
        <f t="shared" si="10"/>
        <v>0</v>
      </c>
      <c r="U33" s="370">
        <f t="shared" si="10"/>
        <v>0</v>
      </c>
      <c r="V33" s="371">
        <f t="shared" si="10"/>
        <v>0</v>
      </c>
      <c r="W33" s="372">
        <f t="shared" si="10"/>
        <v>0</v>
      </c>
      <c r="X33" s="373">
        <f t="shared" si="10"/>
        <v>0</v>
      </c>
      <c r="Y33" s="370">
        <f t="shared" si="10"/>
        <v>0</v>
      </c>
      <c r="Z33" s="371">
        <f t="shared" si="10"/>
        <v>0</v>
      </c>
      <c r="AA33" s="372">
        <f t="shared" si="10"/>
        <v>0</v>
      </c>
      <c r="AB33" s="373">
        <f t="shared" si="10"/>
        <v>0</v>
      </c>
      <c r="AC33" s="370">
        <f t="shared" si="10"/>
        <v>0</v>
      </c>
      <c r="AD33" s="371">
        <f t="shared" si="10"/>
        <v>0</v>
      </c>
      <c r="AE33" s="372">
        <f t="shared" si="10"/>
        <v>0</v>
      </c>
      <c r="AF33" s="373">
        <f t="shared" si="10"/>
        <v>0</v>
      </c>
      <c r="AG33" s="370">
        <f t="shared" si="10"/>
        <v>0</v>
      </c>
      <c r="AH33" s="371">
        <f t="shared" si="10"/>
        <v>0</v>
      </c>
      <c r="AI33" s="368">
        <f t="shared" si="10"/>
        <v>0</v>
      </c>
    </row>
    <row r="34" spans="1:35" s="89" customFormat="1" ht="11.25">
      <c r="A34" s="509" t="s">
        <v>163</v>
      </c>
      <c r="B34" s="356">
        <v>132</v>
      </c>
      <c r="C34" s="357">
        <f t="shared" si="0"/>
        <v>753.6</v>
      </c>
      <c r="D34" s="358">
        <v>608380</v>
      </c>
      <c r="E34" s="359"/>
      <c r="F34" s="360">
        <v>596874</v>
      </c>
      <c r="G34" s="359"/>
      <c r="H34" s="361">
        <f aca="true" t="shared" si="11" ref="H34:H80">F34*100/D34</f>
        <v>98.1</v>
      </c>
      <c r="I34" s="358">
        <v>422123</v>
      </c>
      <c r="J34" s="358">
        <v>29007</v>
      </c>
      <c r="K34" s="358">
        <v>75968</v>
      </c>
      <c r="L34" s="358">
        <v>10536</v>
      </c>
      <c r="M34" s="358">
        <v>24320</v>
      </c>
      <c r="N34" s="358">
        <v>134</v>
      </c>
      <c r="O34" s="358">
        <v>25358</v>
      </c>
      <c r="P34" s="374">
        <v>0</v>
      </c>
      <c r="Q34" s="375">
        <v>0</v>
      </c>
      <c r="R34" s="376">
        <v>0</v>
      </c>
      <c r="S34" s="377">
        <v>0</v>
      </c>
      <c r="T34" s="365">
        <v>0</v>
      </c>
      <c r="U34" s="362">
        <v>0</v>
      </c>
      <c r="V34" s="363">
        <v>0</v>
      </c>
      <c r="W34" s="364">
        <v>0</v>
      </c>
      <c r="X34" s="365">
        <v>0</v>
      </c>
      <c r="Y34" s="362">
        <v>0</v>
      </c>
      <c r="Z34" s="363">
        <v>0</v>
      </c>
      <c r="AA34" s="364">
        <v>0</v>
      </c>
      <c r="AB34" s="365">
        <v>0</v>
      </c>
      <c r="AC34" s="362">
        <v>0</v>
      </c>
      <c r="AD34" s="363">
        <v>0</v>
      </c>
      <c r="AE34" s="364">
        <v>0</v>
      </c>
      <c r="AF34" s="365">
        <v>0</v>
      </c>
      <c r="AG34" s="362">
        <v>0</v>
      </c>
      <c r="AH34" s="363">
        <v>0</v>
      </c>
      <c r="AI34" s="358">
        <v>0</v>
      </c>
    </row>
    <row r="35" spans="1:35" s="89" customFormat="1" ht="11.25">
      <c r="A35" s="506" t="s">
        <v>164</v>
      </c>
      <c r="B35" s="356">
        <v>279</v>
      </c>
      <c r="C35" s="357">
        <f t="shared" si="0"/>
        <v>745.1</v>
      </c>
      <c r="D35" s="358">
        <v>1253821</v>
      </c>
      <c r="E35" s="359"/>
      <c r="F35" s="360">
        <v>1247351</v>
      </c>
      <c r="G35" s="359"/>
      <c r="H35" s="361">
        <f t="shared" si="11"/>
        <v>99.5</v>
      </c>
      <c r="I35" s="358">
        <v>927891</v>
      </c>
      <c r="J35" s="358">
        <v>29370</v>
      </c>
      <c r="K35" s="358">
        <v>154980</v>
      </c>
      <c r="L35" s="358">
        <v>22072</v>
      </c>
      <c r="M35" s="358">
        <v>37200</v>
      </c>
      <c r="N35" s="358">
        <v>0</v>
      </c>
      <c r="O35" s="358">
        <v>54450</v>
      </c>
      <c r="P35" s="374">
        <v>0</v>
      </c>
      <c r="Q35" s="375">
        <v>0</v>
      </c>
      <c r="R35" s="376">
        <v>0</v>
      </c>
      <c r="S35" s="377">
        <v>0</v>
      </c>
      <c r="T35" s="365">
        <v>0</v>
      </c>
      <c r="U35" s="362">
        <v>0</v>
      </c>
      <c r="V35" s="363">
        <v>0</v>
      </c>
      <c r="W35" s="364">
        <v>0</v>
      </c>
      <c r="X35" s="365">
        <v>0</v>
      </c>
      <c r="Y35" s="362">
        <v>0</v>
      </c>
      <c r="Z35" s="363">
        <v>0</v>
      </c>
      <c r="AA35" s="364">
        <v>0</v>
      </c>
      <c r="AB35" s="365">
        <v>0</v>
      </c>
      <c r="AC35" s="362">
        <v>0</v>
      </c>
      <c r="AD35" s="363">
        <v>0</v>
      </c>
      <c r="AE35" s="364">
        <v>0</v>
      </c>
      <c r="AF35" s="365">
        <v>0</v>
      </c>
      <c r="AG35" s="362">
        <v>0</v>
      </c>
      <c r="AH35" s="363">
        <v>0</v>
      </c>
      <c r="AI35" s="358">
        <v>0</v>
      </c>
    </row>
    <row r="36" spans="1:35" s="89" customFormat="1" ht="11.25">
      <c r="A36" s="506" t="s">
        <v>165</v>
      </c>
      <c r="B36" s="356">
        <v>131</v>
      </c>
      <c r="C36" s="357">
        <f t="shared" si="0"/>
        <v>638</v>
      </c>
      <c r="D36" s="358">
        <v>501482</v>
      </c>
      <c r="E36" s="359">
        <v>0</v>
      </c>
      <c r="F36" s="360">
        <v>501482</v>
      </c>
      <c r="G36" s="359">
        <v>0</v>
      </c>
      <c r="H36" s="361">
        <f t="shared" si="11"/>
        <v>100</v>
      </c>
      <c r="I36" s="358">
        <v>364292</v>
      </c>
      <c r="J36" s="358">
        <v>15800</v>
      </c>
      <c r="K36" s="358">
        <v>68236</v>
      </c>
      <c r="L36" s="358">
        <v>9178</v>
      </c>
      <c r="M36" s="358">
        <v>12270</v>
      </c>
      <c r="N36" s="358">
        <v>0</v>
      </c>
      <c r="O36" s="358">
        <v>22312</v>
      </c>
      <c r="P36" s="374">
        <v>0</v>
      </c>
      <c r="Q36" s="375">
        <v>0</v>
      </c>
      <c r="R36" s="376">
        <v>0</v>
      </c>
      <c r="S36" s="377">
        <v>0</v>
      </c>
      <c r="T36" s="365">
        <v>0</v>
      </c>
      <c r="U36" s="362">
        <v>0</v>
      </c>
      <c r="V36" s="363">
        <v>0</v>
      </c>
      <c r="W36" s="364">
        <v>0</v>
      </c>
      <c r="X36" s="365">
        <v>0</v>
      </c>
      <c r="Y36" s="362">
        <v>0</v>
      </c>
      <c r="Z36" s="363">
        <v>0</v>
      </c>
      <c r="AA36" s="364">
        <v>0</v>
      </c>
      <c r="AB36" s="365">
        <v>0</v>
      </c>
      <c r="AC36" s="362">
        <v>0</v>
      </c>
      <c r="AD36" s="363">
        <v>0</v>
      </c>
      <c r="AE36" s="364">
        <v>0</v>
      </c>
      <c r="AF36" s="365">
        <v>0</v>
      </c>
      <c r="AG36" s="362">
        <v>0</v>
      </c>
      <c r="AH36" s="363">
        <v>0</v>
      </c>
      <c r="AI36" s="358">
        <v>0</v>
      </c>
    </row>
    <row r="37" spans="1:35" s="89" customFormat="1" ht="11.25">
      <c r="A37" s="506" t="s">
        <v>166</v>
      </c>
      <c r="B37" s="356">
        <v>115</v>
      </c>
      <c r="C37" s="357">
        <f t="shared" si="0"/>
        <v>350.3</v>
      </c>
      <c r="D37" s="358">
        <v>243403</v>
      </c>
      <c r="E37" s="359"/>
      <c r="F37" s="360">
        <v>241736</v>
      </c>
      <c r="G37" s="359"/>
      <c r="H37" s="361">
        <f t="shared" si="11"/>
        <v>99.3</v>
      </c>
      <c r="I37" s="358">
        <v>170630</v>
      </c>
      <c r="J37" s="358">
        <v>12469</v>
      </c>
      <c r="K37" s="358">
        <v>32457</v>
      </c>
      <c r="L37" s="358">
        <v>4418</v>
      </c>
      <c r="M37" s="358">
        <v>3100</v>
      </c>
      <c r="N37" s="358">
        <v>0</v>
      </c>
      <c r="O37" s="358">
        <v>11322</v>
      </c>
      <c r="P37" s="374">
        <v>0</v>
      </c>
      <c r="Q37" s="375">
        <v>0</v>
      </c>
      <c r="R37" s="376">
        <v>0</v>
      </c>
      <c r="S37" s="377">
        <v>0</v>
      </c>
      <c r="T37" s="365">
        <v>0</v>
      </c>
      <c r="U37" s="362">
        <v>0</v>
      </c>
      <c r="V37" s="363">
        <v>0</v>
      </c>
      <c r="W37" s="364">
        <v>0</v>
      </c>
      <c r="X37" s="365">
        <v>0</v>
      </c>
      <c r="Y37" s="362">
        <v>0</v>
      </c>
      <c r="Z37" s="363">
        <v>0</v>
      </c>
      <c r="AA37" s="364">
        <v>0</v>
      </c>
      <c r="AB37" s="365">
        <v>0</v>
      </c>
      <c r="AC37" s="362">
        <v>0</v>
      </c>
      <c r="AD37" s="363">
        <v>0</v>
      </c>
      <c r="AE37" s="364">
        <v>0</v>
      </c>
      <c r="AF37" s="365">
        <v>0</v>
      </c>
      <c r="AG37" s="362">
        <v>0</v>
      </c>
      <c r="AH37" s="363">
        <v>0</v>
      </c>
      <c r="AI37" s="358">
        <v>0</v>
      </c>
    </row>
    <row r="38" spans="1:35" s="89" customFormat="1" ht="11.25">
      <c r="A38" s="506" t="s">
        <v>167</v>
      </c>
      <c r="B38" s="356">
        <v>70</v>
      </c>
      <c r="C38" s="357">
        <f aca="true" t="shared" si="12" ref="C38:C59">F38/B38/6</f>
        <v>468.5</v>
      </c>
      <c r="D38" s="358">
        <v>198717</v>
      </c>
      <c r="E38" s="359"/>
      <c r="F38" s="360">
        <v>196758</v>
      </c>
      <c r="G38" s="359"/>
      <c r="H38" s="361">
        <f t="shared" si="11"/>
        <v>99</v>
      </c>
      <c r="I38" s="358">
        <v>135855</v>
      </c>
      <c r="J38" s="358">
        <v>4728</v>
      </c>
      <c r="K38" s="358">
        <v>24143</v>
      </c>
      <c r="L38" s="358">
        <v>3269</v>
      </c>
      <c r="M38" s="358">
        <v>14228</v>
      </c>
      <c r="N38" s="358">
        <v>0</v>
      </c>
      <c r="O38" s="358">
        <v>8998</v>
      </c>
      <c r="P38" s="374">
        <v>0</v>
      </c>
      <c r="Q38" s="375">
        <v>0</v>
      </c>
      <c r="R38" s="376">
        <v>0</v>
      </c>
      <c r="S38" s="377">
        <v>0</v>
      </c>
      <c r="T38" s="365">
        <v>0</v>
      </c>
      <c r="U38" s="362">
        <v>0</v>
      </c>
      <c r="V38" s="363">
        <v>0</v>
      </c>
      <c r="W38" s="364">
        <v>0</v>
      </c>
      <c r="X38" s="365">
        <v>0</v>
      </c>
      <c r="Y38" s="362">
        <v>0</v>
      </c>
      <c r="Z38" s="363">
        <v>0</v>
      </c>
      <c r="AA38" s="364">
        <v>0</v>
      </c>
      <c r="AB38" s="365">
        <v>0</v>
      </c>
      <c r="AC38" s="362">
        <v>0</v>
      </c>
      <c r="AD38" s="363">
        <v>0</v>
      </c>
      <c r="AE38" s="364">
        <v>0</v>
      </c>
      <c r="AF38" s="365">
        <v>0</v>
      </c>
      <c r="AG38" s="362">
        <v>0</v>
      </c>
      <c r="AH38" s="363">
        <v>0</v>
      </c>
      <c r="AI38" s="358">
        <v>0</v>
      </c>
    </row>
    <row r="39" spans="1:35" s="89" customFormat="1" ht="11.25">
      <c r="A39" s="506" t="s">
        <v>168</v>
      </c>
      <c r="B39" s="356">
        <v>100</v>
      </c>
      <c r="C39" s="357">
        <f t="shared" si="12"/>
        <v>346.7</v>
      </c>
      <c r="D39" s="358">
        <v>208035</v>
      </c>
      <c r="E39" s="359"/>
      <c r="F39" s="360">
        <v>208030</v>
      </c>
      <c r="G39" s="359"/>
      <c r="H39" s="361">
        <f t="shared" si="11"/>
        <v>100</v>
      </c>
      <c r="I39" s="358">
        <v>143570</v>
      </c>
      <c r="J39" s="358">
        <v>11047</v>
      </c>
      <c r="K39" s="358">
        <v>26527</v>
      </c>
      <c r="L39" s="358">
        <v>3638</v>
      </c>
      <c r="M39" s="358">
        <v>9200</v>
      </c>
      <c r="N39" s="358">
        <v>0</v>
      </c>
      <c r="O39" s="358">
        <v>8830</v>
      </c>
      <c r="P39" s="374">
        <v>0</v>
      </c>
      <c r="Q39" s="375">
        <v>0</v>
      </c>
      <c r="R39" s="376">
        <v>0</v>
      </c>
      <c r="S39" s="377">
        <v>0</v>
      </c>
      <c r="T39" s="365">
        <v>0</v>
      </c>
      <c r="U39" s="362">
        <v>0</v>
      </c>
      <c r="V39" s="363">
        <v>0</v>
      </c>
      <c r="W39" s="364">
        <v>0</v>
      </c>
      <c r="X39" s="365">
        <v>0</v>
      </c>
      <c r="Y39" s="362">
        <v>0</v>
      </c>
      <c r="Z39" s="363">
        <v>0</v>
      </c>
      <c r="AA39" s="364">
        <v>0</v>
      </c>
      <c r="AB39" s="365">
        <v>0</v>
      </c>
      <c r="AC39" s="362">
        <v>0</v>
      </c>
      <c r="AD39" s="363">
        <v>0</v>
      </c>
      <c r="AE39" s="364">
        <v>0</v>
      </c>
      <c r="AF39" s="365">
        <v>0</v>
      </c>
      <c r="AG39" s="362">
        <v>0</v>
      </c>
      <c r="AH39" s="363">
        <v>0</v>
      </c>
      <c r="AI39" s="358">
        <v>0</v>
      </c>
    </row>
    <row r="40" spans="1:35" s="89" customFormat="1" ht="11.25">
      <c r="A40" s="506" t="s">
        <v>169</v>
      </c>
      <c r="B40" s="356">
        <v>66</v>
      </c>
      <c r="C40" s="357">
        <f t="shared" si="12"/>
        <v>327.4</v>
      </c>
      <c r="D40" s="358">
        <v>136246</v>
      </c>
      <c r="E40" s="359"/>
      <c r="F40" s="360">
        <v>129654</v>
      </c>
      <c r="G40" s="359"/>
      <c r="H40" s="361">
        <f t="shared" si="11"/>
        <v>95.2</v>
      </c>
      <c r="I40" s="358">
        <v>82786</v>
      </c>
      <c r="J40" s="358">
        <v>7046</v>
      </c>
      <c r="K40" s="358">
        <v>16540</v>
      </c>
      <c r="L40" s="358">
        <v>2127</v>
      </c>
      <c r="M40" s="358">
        <v>10184</v>
      </c>
      <c r="N40" s="358">
        <v>0</v>
      </c>
      <c r="O40" s="358">
        <v>6037</v>
      </c>
      <c r="P40" s="374">
        <v>0</v>
      </c>
      <c r="Q40" s="375">
        <v>0</v>
      </c>
      <c r="R40" s="376">
        <v>0</v>
      </c>
      <c r="S40" s="377">
        <v>0</v>
      </c>
      <c r="T40" s="365">
        <v>0</v>
      </c>
      <c r="U40" s="362">
        <v>0</v>
      </c>
      <c r="V40" s="363">
        <v>0</v>
      </c>
      <c r="W40" s="364">
        <v>0</v>
      </c>
      <c r="X40" s="365">
        <v>0</v>
      </c>
      <c r="Y40" s="362">
        <v>0</v>
      </c>
      <c r="Z40" s="363">
        <v>0</v>
      </c>
      <c r="AA40" s="364">
        <v>0</v>
      </c>
      <c r="AB40" s="365">
        <v>0</v>
      </c>
      <c r="AC40" s="362">
        <v>0</v>
      </c>
      <c r="AD40" s="363">
        <v>0</v>
      </c>
      <c r="AE40" s="364">
        <v>0</v>
      </c>
      <c r="AF40" s="365">
        <v>0</v>
      </c>
      <c r="AG40" s="362">
        <v>0</v>
      </c>
      <c r="AH40" s="363">
        <v>0</v>
      </c>
      <c r="AI40" s="358">
        <v>0</v>
      </c>
    </row>
    <row r="41" spans="1:35" s="122" customFormat="1" ht="11.25">
      <c r="A41" s="507" t="s">
        <v>170</v>
      </c>
      <c r="B41" s="366">
        <f>SUM(B34:B40)</f>
        <v>893</v>
      </c>
      <c r="C41" s="367">
        <f t="shared" si="12"/>
        <v>582.7</v>
      </c>
      <c r="D41" s="368">
        <f>SUM(D34:D40)</f>
        <v>3150084</v>
      </c>
      <c r="E41" s="368"/>
      <c r="F41" s="368">
        <f>SUM(F34:F40)</f>
        <v>3121885</v>
      </c>
      <c r="G41" s="368"/>
      <c r="H41" s="369">
        <f t="shared" si="11"/>
        <v>99.1</v>
      </c>
      <c r="I41" s="368">
        <f aca="true" t="shared" si="13" ref="I41:O41">SUM(I34:I40)</f>
        <v>2247147</v>
      </c>
      <c r="J41" s="368">
        <f t="shared" si="13"/>
        <v>109467</v>
      </c>
      <c r="K41" s="368">
        <f t="shared" si="13"/>
        <v>398851</v>
      </c>
      <c r="L41" s="368">
        <f t="shared" si="13"/>
        <v>55238</v>
      </c>
      <c r="M41" s="368">
        <f>SUM(M34:M40)</f>
        <v>110502</v>
      </c>
      <c r="N41" s="368">
        <f>SUM(N34:N40)</f>
        <v>134</v>
      </c>
      <c r="O41" s="368">
        <f t="shared" si="13"/>
        <v>137307</v>
      </c>
      <c r="P41" s="368">
        <f aca="true" t="shared" si="14" ref="P41:AC41">SUM(P34:P40)</f>
        <v>0</v>
      </c>
      <c r="Q41" s="370">
        <f t="shared" si="14"/>
        <v>0</v>
      </c>
      <c r="R41" s="371">
        <f t="shared" si="14"/>
        <v>0</v>
      </c>
      <c r="S41" s="372">
        <f t="shared" si="14"/>
        <v>0</v>
      </c>
      <c r="T41" s="373">
        <f t="shared" si="14"/>
        <v>0</v>
      </c>
      <c r="U41" s="370">
        <f t="shared" si="14"/>
        <v>0</v>
      </c>
      <c r="V41" s="371">
        <f t="shared" si="14"/>
        <v>0</v>
      </c>
      <c r="W41" s="372">
        <f t="shared" si="14"/>
        <v>0</v>
      </c>
      <c r="X41" s="373">
        <f t="shared" si="14"/>
        <v>0</v>
      </c>
      <c r="Y41" s="370">
        <f t="shared" si="14"/>
        <v>0</v>
      </c>
      <c r="Z41" s="363">
        <f t="shared" si="14"/>
        <v>0</v>
      </c>
      <c r="AA41" s="364">
        <f t="shared" si="14"/>
        <v>0</v>
      </c>
      <c r="AB41" s="365">
        <f t="shared" si="14"/>
        <v>0</v>
      </c>
      <c r="AC41" s="362">
        <f t="shared" si="14"/>
        <v>0</v>
      </c>
      <c r="AD41" s="363"/>
      <c r="AE41" s="364"/>
      <c r="AF41" s="365">
        <f>SUM(AF34:AF40)</f>
        <v>0</v>
      </c>
      <c r="AG41" s="362">
        <f>SUM(AG34:AG40)</f>
        <v>0</v>
      </c>
      <c r="AH41" s="363">
        <f>SUM(AH34:AH40)</f>
        <v>0</v>
      </c>
      <c r="AI41" s="358">
        <f>SUM(AI34:AI40)</f>
        <v>0</v>
      </c>
    </row>
    <row r="42" spans="1:35" s="122" customFormat="1" ht="11.25">
      <c r="A42" s="509" t="s">
        <v>171</v>
      </c>
      <c r="B42" s="356">
        <v>261</v>
      </c>
      <c r="C42" s="357">
        <f t="shared" si="12"/>
        <v>1087.5</v>
      </c>
      <c r="D42" s="358">
        <v>1716138</v>
      </c>
      <c r="E42" s="359">
        <v>0</v>
      </c>
      <c r="F42" s="360">
        <v>1702951</v>
      </c>
      <c r="G42" s="359">
        <v>0</v>
      </c>
      <c r="H42" s="361">
        <f t="shared" si="11"/>
        <v>99.2</v>
      </c>
      <c r="I42" s="358">
        <v>1161647</v>
      </c>
      <c r="J42" s="358">
        <v>89425</v>
      </c>
      <c r="K42" s="358">
        <v>220193</v>
      </c>
      <c r="L42" s="358">
        <v>29926</v>
      </c>
      <c r="M42" s="358">
        <v>48113</v>
      </c>
      <c r="N42" s="358">
        <v>12004</v>
      </c>
      <c r="O42" s="358">
        <v>72052</v>
      </c>
      <c r="P42" s="358">
        <v>7500</v>
      </c>
      <c r="Q42" s="362">
        <v>7387</v>
      </c>
      <c r="R42" s="363">
        <v>1530</v>
      </c>
      <c r="S42" s="364">
        <v>1530</v>
      </c>
      <c r="T42" s="365">
        <v>0</v>
      </c>
      <c r="U42" s="362">
        <v>0</v>
      </c>
      <c r="V42" s="363">
        <v>0</v>
      </c>
      <c r="W42" s="364">
        <v>0</v>
      </c>
      <c r="X42" s="365">
        <v>0</v>
      </c>
      <c r="Y42" s="362">
        <v>0</v>
      </c>
      <c r="Z42" s="363">
        <v>2000</v>
      </c>
      <c r="AA42" s="364">
        <v>1999</v>
      </c>
      <c r="AB42" s="365">
        <v>0</v>
      </c>
      <c r="AC42" s="362">
        <v>0</v>
      </c>
      <c r="AD42" s="363">
        <v>0</v>
      </c>
      <c r="AE42" s="364">
        <v>0</v>
      </c>
      <c r="AF42" s="365">
        <v>0</v>
      </c>
      <c r="AG42" s="362">
        <v>0</v>
      </c>
      <c r="AH42" s="363">
        <v>0</v>
      </c>
      <c r="AI42" s="358">
        <v>0</v>
      </c>
    </row>
    <row r="43" spans="1:35" s="122" customFormat="1" ht="11.25">
      <c r="A43" s="507" t="s">
        <v>172</v>
      </c>
      <c r="B43" s="366">
        <f>B42</f>
        <v>261</v>
      </c>
      <c r="C43" s="367">
        <f t="shared" si="12"/>
        <v>1087.5</v>
      </c>
      <c r="D43" s="368">
        <f>D42</f>
        <v>1716138</v>
      </c>
      <c r="E43" s="368"/>
      <c r="F43" s="368">
        <f>F42</f>
        <v>1702951</v>
      </c>
      <c r="G43" s="368"/>
      <c r="H43" s="369">
        <f t="shared" si="11"/>
        <v>99.2</v>
      </c>
      <c r="I43" s="368">
        <f aca="true" t="shared" si="15" ref="I43:O43">I42</f>
        <v>1161647</v>
      </c>
      <c r="J43" s="368">
        <f t="shared" si="15"/>
        <v>89425</v>
      </c>
      <c r="K43" s="368">
        <f t="shared" si="15"/>
        <v>220193</v>
      </c>
      <c r="L43" s="368">
        <f t="shared" si="15"/>
        <v>29926</v>
      </c>
      <c r="M43" s="368">
        <f>M42</f>
        <v>48113</v>
      </c>
      <c r="N43" s="368">
        <f>N42</f>
        <v>12004</v>
      </c>
      <c r="O43" s="368">
        <f t="shared" si="15"/>
        <v>72052</v>
      </c>
      <c r="P43" s="368">
        <f aca="true" t="shared" si="16" ref="P43:AC43">P42</f>
        <v>7500</v>
      </c>
      <c r="Q43" s="370">
        <f t="shared" si="16"/>
        <v>7387</v>
      </c>
      <c r="R43" s="371">
        <f t="shared" si="16"/>
        <v>1530</v>
      </c>
      <c r="S43" s="372">
        <f t="shared" si="16"/>
        <v>1530</v>
      </c>
      <c r="T43" s="373">
        <f t="shared" si="16"/>
        <v>0</v>
      </c>
      <c r="U43" s="370">
        <f t="shared" si="16"/>
        <v>0</v>
      </c>
      <c r="V43" s="371">
        <f t="shared" si="16"/>
        <v>0</v>
      </c>
      <c r="W43" s="372">
        <f t="shared" si="16"/>
        <v>0</v>
      </c>
      <c r="X43" s="373">
        <f t="shared" si="16"/>
        <v>0</v>
      </c>
      <c r="Y43" s="370">
        <f t="shared" si="16"/>
        <v>0</v>
      </c>
      <c r="Z43" s="371">
        <f t="shared" si="16"/>
        <v>2000</v>
      </c>
      <c r="AA43" s="372">
        <f t="shared" si="16"/>
        <v>1999</v>
      </c>
      <c r="AB43" s="373">
        <f t="shared" si="16"/>
        <v>0</v>
      </c>
      <c r="AC43" s="370">
        <f t="shared" si="16"/>
        <v>0</v>
      </c>
      <c r="AD43" s="371"/>
      <c r="AE43" s="372"/>
      <c r="AF43" s="373">
        <f>AF42</f>
        <v>0</v>
      </c>
      <c r="AG43" s="370">
        <f>AG42</f>
        <v>0</v>
      </c>
      <c r="AH43" s="371">
        <f>AH42</f>
        <v>0</v>
      </c>
      <c r="AI43" s="368">
        <f>AI42</f>
        <v>0</v>
      </c>
    </row>
    <row r="44" spans="1:35" s="124" customFormat="1" ht="11.25">
      <c r="A44" s="506" t="s">
        <v>173</v>
      </c>
      <c r="B44" s="356">
        <v>830</v>
      </c>
      <c r="C44" s="357">
        <f t="shared" si="12"/>
        <v>568.5</v>
      </c>
      <c r="D44" s="358">
        <v>2855742</v>
      </c>
      <c r="E44" s="359"/>
      <c r="F44" s="360">
        <v>2830935</v>
      </c>
      <c r="G44" s="359"/>
      <c r="H44" s="361">
        <f t="shared" si="11"/>
        <v>99.1</v>
      </c>
      <c r="I44" s="358">
        <v>1954018</v>
      </c>
      <c r="J44" s="358">
        <v>137013</v>
      </c>
      <c r="K44" s="358">
        <v>360058</v>
      </c>
      <c r="L44" s="358">
        <v>49360</v>
      </c>
      <c r="M44" s="358">
        <v>146158</v>
      </c>
      <c r="N44" s="358">
        <v>2450</v>
      </c>
      <c r="O44" s="358">
        <v>120057</v>
      </c>
      <c r="P44" s="358">
        <v>1100</v>
      </c>
      <c r="Q44" s="362">
        <v>963</v>
      </c>
      <c r="R44" s="363">
        <v>8910</v>
      </c>
      <c r="S44" s="364">
        <v>8910</v>
      </c>
      <c r="T44" s="365">
        <f>SUM(J44:S44)</f>
        <v>834979</v>
      </c>
      <c r="U44" s="362">
        <v>2893</v>
      </c>
      <c r="V44" s="363">
        <v>21155</v>
      </c>
      <c r="W44" s="364">
        <v>18871</v>
      </c>
      <c r="X44" s="365">
        <v>6000</v>
      </c>
      <c r="Y44" s="381">
        <v>5999</v>
      </c>
      <c r="Z44" s="363">
        <v>2000</v>
      </c>
      <c r="AA44" s="364">
        <v>1999</v>
      </c>
      <c r="AB44" s="382">
        <v>0</v>
      </c>
      <c r="AC44" s="381">
        <v>0</v>
      </c>
      <c r="AD44" s="383">
        <v>0</v>
      </c>
      <c r="AE44" s="384">
        <v>0</v>
      </c>
      <c r="AF44" s="382">
        <v>0</v>
      </c>
      <c r="AG44" s="381">
        <v>0</v>
      </c>
      <c r="AH44" s="383">
        <v>0</v>
      </c>
      <c r="AI44" s="359">
        <v>0</v>
      </c>
    </row>
    <row r="45" spans="1:35" s="122" customFormat="1" ht="11.25">
      <c r="A45" s="506" t="s">
        <v>174</v>
      </c>
      <c r="B45" s="356">
        <v>423</v>
      </c>
      <c r="C45" s="357">
        <f t="shared" si="12"/>
        <v>576.5</v>
      </c>
      <c r="D45" s="358">
        <v>1466376</v>
      </c>
      <c r="E45" s="359"/>
      <c r="F45" s="360">
        <v>1463081</v>
      </c>
      <c r="G45" s="359"/>
      <c r="H45" s="361">
        <f t="shared" si="11"/>
        <v>99.8</v>
      </c>
      <c r="I45" s="358">
        <v>1010766</v>
      </c>
      <c r="J45" s="358">
        <v>73869</v>
      </c>
      <c r="K45" s="358">
        <v>186533</v>
      </c>
      <c r="L45" s="358">
        <v>25491</v>
      </c>
      <c r="M45" s="358">
        <v>44167</v>
      </c>
      <c r="N45" s="358">
        <v>0</v>
      </c>
      <c r="O45" s="358">
        <v>57543</v>
      </c>
      <c r="P45" s="358">
        <v>2600</v>
      </c>
      <c r="Q45" s="362">
        <v>2595</v>
      </c>
      <c r="R45" s="363">
        <v>2190</v>
      </c>
      <c r="S45" s="364">
        <v>2155</v>
      </c>
      <c r="T45" s="365">
        <v>1653</v>
      </c>
      <c r="U45" s="362">
        <v>1653</v>
      </c>
      <c r="V45" s="363">
        <v>6934</v>
      </c>
      <c r="W45" s="364">
        <v>6214</v>
      </c>
      <c r="X45" s="365">
        <v>4500</v>
      </c>
      <c r="Y45" s="362">
        <v>4500</v>
      </c>
      <c r="Z45" s="363">
        <v>0</v>
      </c>
      <c r="AA45" s="364">
        <v>0</v>
      </c>
      <c r="AB45" s="365">
        <v>0</v>
      </c>
      <c r="AC45" s="362">
        <v>0</v>
      </c>
      <c r="AD45" s="363">
        <v>0</v>
      </c>
      <c r="AE45" s="364">
        <v>0</v>
      </c>
      <c r="AF45" s="365">
        <v>0</v>
      </c>
      <c r="AG45" s="362">
        <v>0</v>
      </c>
      <c r="AH45" s="363">
        <v>0</v>
      </c>
      <c r="AI45" s="358">
        <v>0</v>
      </c>
    </row>
    <row r="46" spans="1:35" s="122" customFormat="1" ht="11.25">
      <c r="A46" s="506" t="s">
        <v>165</v>
      </c>
      <c r="B46" s="356">
        <v>612</v>
      </c>
      <c r="C46" s="357">
        <f t="shared" si="12"/>
        <v>764.7</v>
      </c>
      <c r="D46" s="358">
        <v>2826638</v>
      </c>
      <c r="E46" s="359"/>
      <c r="F46" s="360">
        <v>2807931</v>
      </c>
      <c r="G46" s="359"/>
      <c r="H46" s="361">
        <f t="shared" si="11"/>
        <v>99.3</v>
      </c>
      <c r="I46" s="358">
        <v>1828663</v>
      </c>
      <c r="J46" s="358">
        <v>145260</v>
      </c>
      <c r="K46" s="358">
        <v>338540</v>
      </c>
      <c r="L46" s="358">
        <v>46580</v>
      </c>
      <c r="M46" s="358">
        <v>238390</v>
      </c>
      <c r="N46" s="358">
        <v>7000</v>
      </c>
      <c r="O46" s="358">
        <v>107931</v>
      </c>
      <c r="P46" s="358">
        <v>10100</v>
      </c>
      <c r="Q46" s="362">
        <v>10100</v>
      </c>
      <c r="R46" s="363">
        <v>4470</v>
      </c>
      <c r="S46" s="364">
        <v>4470</v>
      </c>
      <c r="T46" s="365">
        <v>2893</v>
      </c>
      <c r="U46" s="362">
        <v>2893</v>
      </c>
      <c r="V46" s="363">
        <v>13398</v>
      </c>
      <c r="W46" s="364">
        <v>11040</v>
      </c>
      <c r="X46" s="365">
        <v>6000</v>
      </c>
      <c r="Y46" s="362">
        <v>5997</v>
      </c>
      <c r="Z46" s="363">
        <v>2000</v>
      </c>
      <c r="AA46" s="364">
        <v>1999</v>
      </c>
      <c r="AB46" s="365">
        <v>0</v>
      </c>
      <c r="AC46" s="362">
        <v>0</v>
      </c>
      <c r="AD46" s="363">
        <v>0</v>
      </c>
      <c r="AE46" s="364">
        <v>0</v>
      </c>
      <c r="AF46" s="365">
        <v>0</v>
      </c>
      <c r="AG46" s="362">
        <v>0</v>
      </c>
      <c r="AH46" s="363">
        <v>0</v>
      </c>
      <c r="AI46" s="358">
        <v>0</v>
      </c>
    </row>
    <row r="47" spans="1:35" s="122" customFormat="1" ht="11.25">
      <c r="A47" s="506" t="s">
        <v>166</v>
      </c>
      <c r="B47" s="356">
        <v>737</v>
      </c>
      <c r="C47" s="357">
        <f t="shared" si="12"/>
        <v>759.2</v>
      </c>
      <c r="D47" s="358">
        <v>3370967</v>
      </c>
      <c r="E47" s="359"/>
      <c r="F47" s="360">
        <v>3357052</v>
      </c>
      <c r="G47" s="359"/>
      <c r="H47" s="361">
        <f t="shared" si="11"/>
        <v>99.6</v>
      </c>
      <c r="I47" s="358">
        <v>2194917</v>
      </c>
      <c r="J47" s="358">
        <v>157824</v>
      </c>
      <c r="K47" s="358">
        <v>408729</v>
      </c>
      <c r="L47" s="358">
        <v>55813</v>
      </c>
      <c r="M47" s="358">
        <v>109766</v>
      </c>
      <c r="N47" s="358">
        <v>199999</v>
      </c>
      <c r="O47" s="358">
        <v>132004</v>
      </c>
      <c r="P47" s="358">
        <v>3600</v>
      </c>
      <c r="Q47" s="362">
        <v>3600</v>
      </c>
      <c r="R47" s="363">
        <v>10590</v>
      </c>
      <c r="S47" s="364">
        <v>10590</v>
      </c>
      <c r="T47" s="365">
        <v>7027</v>
      </c>
      <c r="U47" s="362">
        <v>7027</v>
      </c>
      <c r="V47" s="363">
        <v>18570</v>
      </c>
      <c r="W47" s="364">
        <v>16846</v>
      </c>
      <c r="X47" s="365">
        <v>6000</v>
      </c>
      <c r="Y47" s="362">
        <v>6000</v>
      </c>
      <c r="Z47" s="363">
        <v>0</v>
      </c>
      <c r="AA47" s="364">
        <v>0</v>
      </c>
      <c r="AB47" s="365">
        <v>0</v>
      </c>
      <c r="AC47" s="362">
        <v>0</v>
      </c>
      <c r="AD47" s="363">
        <v>0</v>
      </c>
      <c r="AE47" s="364">
        <v>0</v>
      </c>
      <c r="AF47" s="365">
        <v>0</v>
      </c>
      <c r="AG47" s="362">
        <v>0</v>
      </c>
      <c r="AH47" s="363">
        <v>0</v>
      </c>
      <c r="AI47" s="358">
        <v>0</v>
      </c>
    </row>
    <row r="48" spans="1:35" s="124" customFormat="1" ht="11.25">
      <c r="A48" s="506" t="s">
        <v>167</v>
      </c>
      <c r="B48" s="385">
        <v>430</v>
      </c>
      <c r="C48" s="357">
        <f t="shared" si="12"/>
        <v>830.5</v>
      </c>
      <c r="D48" s="358">
        <v>2152179</v>
      </c>
      <c r="E48" s="359"/>
      <c r="F48" s="358">
        <v>2142623</v>
      </c>
      <c r="G48" s="359"/>
      <c r="H48" s="361">
        <f t="shared" si="11"/>
        <v>99.6</v>
      </c>
      <c r="I48" s="358">
        <v>1361107</v>
      </c>
      <c r="J48" s="358">
        <v>95369</v>
      </c>
      <c r="K48" s="358">
        <v>246435</v>
      </c>
      <c r="L48" s="358">
        <v>34168</v>
      </c>
      <c r="M48" s="358">
        <v>227911</v>
      </c>
      <c r="N48" s="358">
        <v>2000</v>
      </c>
      <c r="O48" s="358">
        <v>75368</v>
      </c>
      <c r="P48" s="358">
        <v>4700</v>
      </c>
      <c r="Q48" s="362">
        <v>4455</v>
      </c>
      <c r="R48" s="363">
        <v>5100</v>
      </c>
      <c r="S48" s="364">
        <v>5100</v>
      </c>
      <c r="T48" s="365">
        <v>827</v>
      </c>
      <c r="U48" s="362">
        <v>827</v>
      </c>
      <c r="V48" s="363">
        <v>4780</v>
      </c>
      <c r="W48" s="364">
        <v>3956</v>
      </c>
      <c r="X48" s="365">
        <v>6000</v>
      </c>
      <c r="Y48" s="362">
        <v>5979</v>
      </c>
      <c r="Z48" s="363">
        <v>4000</v>
      </c>
      <c r="AA48" s="364">
        <v>3999</v>
      </c>
      <c r="AB48" s="382">
        <v>0</v>
      </c>
      <c r="AC48" s="381">
        <v>0</v>
      </c>
      <c r="AD48" s="383">
        <v>0</v>
      </c>
      <c r="AE48" s="384">
        <v>0</v>
      </c>
      <c r="AF48" s="382">
        <v>0</v>
      </c>
      <c r="AG48" s="381">
        <v>0</v>
      </c>
      <c r="AH48" s="383">
        <v>0</v>
      </c>
      <c r="AI48" s="359">
        <v>0</v>
      </c>
    </row>
    <row r="49" spans="1:35" s="122" customFormat="1" ht="11.25">
      <c r="A49" s="506" t="s">
        <v>164</v>
      </c>
      <c r="B49" s="356">
        <v>506</v>
      </c>
      <c r="C49" s="357">
        <f t="shared" si="12"/>
        <v>899.3</v>
      </c>
      <c r="D49" s="358">
        <v>2740031</v>
      </c>
      <c r="E49" s="359"/>
      <c r="F49" s="360">
        <v>2730168</v>
      </c>
      <c r="G49" s="359"/>
      <c r="H49" s="361">
        <f t="shared" si="11"/>
        <v>99.6</v>
      </c>
      <c r="I49" s="358">
        <v>1804041</v>
      </c>
      <c r="J49" s="358">
        <v>181630</v>
      </c>
      <c r="K49" s="358">
        <v>348279</v>
      </c>
      <c r="L49" s="358">
        <v>47120</v>
      </c>
      <c r="M49" s="358">
        <v>184000</v>
      </c>
      <c r="N49" s="358">
        <v>0</v>
      </c>
      <c r="O49" s="358">
        <v>113657</v>
      </c>
      <c r="P49" s="358">
        <v>2000</v>
      </c>
      <c r="Q49" s="362">
        <v>2000</v>
      </c>
      <c r="R49" s="363">
        <v>7410</v>
      </c>
      <c r="S49" s="364">
        <v>6570</v>
      </c>
      <c r="T49" s="365">
        <v>8473</v>
      </c>
      <c r="U49" s="362">
        <v>8473</v>
      </c>
      <c r="V49" s="363">
        <v>19431</v>
      </c>
      <c r="W49" s="364">
        <v>15129</v>
      </c>
      <c r="X49" s="365">
        <v>6000</v>
      </c>
      <c r="Y49" s="362">
        <v>6000</v>
      </c>
      <c r="Z49" s="363">
        <v>0</v>
      </c>
      <c r="AA49" s="364">
        <v>0</v>
      </c>
      <c r="AB49" s="365">
        <v>0</v>
      </c>
      <c r="AC49" s="362">
        <v>0</v>
      </c>
      <c r="AD49" s="363">
        <v>0</v>
      </c>
      <c r="AE49" s="364">
        <v>0</v>
      </c>
      <c r="AF49" s="365">
        <v>0</v>
      </c>
      <c r="AG49" s="362">
        <v>0</v>
      </c>
      <c r="AH49" s="363">
        <v>0</v>
      </c>
      <c r="AI49" s="358">
        <v>0</v>
      </c>
    </row>
    <row r="50" spans="1:35" s="122" customFormat="1" ht="11.25">
      <c r="A50" s="506" t="s">
        <v>168</v>
      </c>
      <c r="B50" s="356">
        <v>775</v>
      </c>
      <c r="C50" s="357">
        <f t="shared" si="12"/>
        <v>462.3</v>
      </c>
      <c r="D50" s="358">
        <v>2150081</v>
      </c>
      <c r="E50" s="359"/>
      <c r="F50" s="360">
        <v>2149478</v>
      </c>
      <c r="G50" s="359"/>
      <c r="H50" s="361">
        <f t="shared" si="11"/>
        <v>100</v>
      </c>
      <c r="I50" s="358">
        <v>1461996</v>
      </c>
      <c r="J50" s="358">
        <v>114490</v>
      </c>
      <c r="K50" s="358">
        <v>274447</v>
      </c>
      <c r="L50" s="358">
        <v>37653</v>
      </c>
      <c r="M50" s="358">
        <v>95793</v>
      </c>
      <c r="N50" s="358">
        <v>18800</v>
      </c>
      <c r="O50" s="358">
        <v>69177</v>
      </c>
      <c r="P50" s="358">
        <v>0</v>
      </c>
      <c r="Q50" s="362">
        <v>0</v>
      </c>
      <c r="R50" s="363">
        <v>5810</v>
      </c>
      <c r="S50" s="364">
        <v>5810</v>
      </c>
      <c r="T50" s="365">
        <v>1860</v>
      </c>
      <c r="U50" s="362">
        <v>1860</v>
      </c>
      <c r="V50" s="363">
        <v>12536</v>
      </c>
      <c r="W50" s="364">
        <v>4173</v>
      </c>
      <c r="X50" s="365">
        <v>6000</v>
      </c>
      <c r="Y50" s="362">
        <v>5682</v>
      </c>
      <c r="Z50" s="363">
        <v>2300</v>
      </c>
      <c r="AA50" s="364">
        <v>2284</v>
      </c>
      <c r="AB50" s="365">
        <v>0</v>
      </c>
      <c r="AC50" s="362">
        <v>0</v>
      </c>
      <c r="AD50" s="363">
        <v>0</v>
      </c>
      <c r="AE50" s="364">
        <v>0</v>
      </c>
      <c r="AF50" s="365">
        <v>0</v>
      </c>
      <c r="AG50" s="362">
        <v>0</v>
      </c>
      <c r="AH50" s="363">
        <v>0</v>
      </c>
      <c r="AI50" s="358">
        <v>0</v>
      </c>
    </row>
    <row r="51" spans="1:35" s="122" customFormat="1" ht="11.25">
      <c r="A51" s="506" t="s">
        <v>169</v>
      </c>
      <c r="B51" s="356">
        <v>436</v>
      </c>
      <c r="C51" s="357">
        <f t="shared" si="12"/>
        <v>642.1</v>
      </c>
      <c r="D51" s="358">
        <v>1701068</v>
      </c>
      <c r="E51" s="359"/>
      <c r="F51" s="360">
        <v>1679625</v>
      </c>
      <c r="G51" s="359"/>
      <c r="H51" s="361">
        <f t="shared" si="11"/>
        <v>98.7</v>
      </c>
      <c r="I51" s="358">
        <v>1166262</v>
      </c>
      <c r="J51" s="358">
        <v>89861</v>
      </c>
      <c r="K51" s="358">
        <v>209474</v>
      </c>
      <c r="L51" s="358">
        <v>28808</v>
      </c>
      <c r="M51" s="358">
        <v>77492</v>
      </c>
      <c r="N51" s="358">
        <v>5000</v>
      </c>
      <c r="O51" s="358">
        <v>65738</v>
      </c>
      <c r="P51" s="358">
        <v>500</v>
      </c>
      <c r="Q51" s="362">
        <v>500</v>
      </c>
      <c r="R51" s="363">
        <v>3240</v>
      </c>
      <c r="S51" s="364">
        <v>3240</v>
      </c>
      <c r="T51" s="365">
        <v>1033</v>
      </c>
      <c r="U51" s="362">
        <v>1033</v>
      </c>
      <c r="V51" s="363">
        <v>902</v>
      </c>
      <c r="W51" s="364">
        <v>879</v>
      </c>
      <c r="X51" s="365">
        <v>5000</v>
      </c>
      <c r="Y51" s="362">
        <v>5000</v>
      </c>
      <c r="Z51" s="363">
        <v>0</v>
      </c>
      <c r="AA51" s="364">
        <v>0</v>
      </c>
      <c r="AB51" s="365">
        <v>0</v>
      </c>
      <c r="AC51" s="362">
        <v>0</v>
      </c>
      <c r="AD51" s="363">
        <v>0</v>
      </c>
      <c r="AE51" s="364">
        <v>0</v>
      </c>
      <c r="AF51" s="365">
        <v>0</v>
      </c>
      <c r="AG51" s="362">
        <v>0</v>
      </c>
      <c r="AH51" s="363">
        <v>0</v>
      </c>
      <c r="AI51" s="358">
        <v>0</v>
      </c>
    </row>
    <row r="52" spans="1:35" s="122" customFormat="1" ht="11.25">
      <c r="A52" s="506" t="s">
        <v>175</v>
      </c>
      <c r="B52" s="356">
        <v>570</v>
      </c>
      <c r="C52" s="357">
        <f t="shared" si="12"/>
        <v>728.2</v>
      </c>
      <c r="D52" s="358">
        <v>2545544</v>
      </c>
      <c r="E52" s="359">
        <v>18500</v>
      </c>
      <c r="F52" s="360">
        <f>2471970+18500</f>
        <v>2490470</v>
      </c>
      <c r="G52" s="359">
        <v>18500</v>
      </c>
      <c r="H52" s="361">
        <f t="shared" si="11"/>
        <v>97.8</v>
      </c>
      <c r="I52" s="358">
        <v>1688372</v>
      </c>
      <c r="J52" s="358">
        <v>135167</v>
      </c>
      <c r="K52" s="358">
        <v>314119</v>
      </c>
      <c r="L52" s="358">
        <v>42670</v>
      </c>
      <c r="M52" s="358">
        <v>142362</v>
      </c>
      <c r="N52" s="358">
        <v>0</v>
      </c>
      <c r="O52" s="358">
        <v>102908</v>
      </c>
      <c r="P52" s="358">
        <v>300</v>
      </c>
      <c r="Q52" s="362">
        <v>300</v>
      </c>
      <c r="R52" s="363">
        <v>4020</v>
      </c>
      <c r="S52" s="364">
        <v>4020</v>
      </c>
      <c r="T52" s="365">
        <v>3307</v>
      </c>
      <c r="U52" s="362">
        <v>3307</v>
      </c>
      <c r="V52" s="363">
        <v>5642</v>
      </c>
      <c r="W52" s="364">
        <v>4508</v>
      </c>
      <c r="X52" s="365">
        <v>5000</v>
      </c>
      <c r="Y52" s="362">
        <v>4079</v>
      </c>
      <c r="Z52" s="363">
        <v>0</v>
      </c>
      <c r="AA52" s="364">
        <v>0</v>
      </c>
      <c r="AB52" s="365">
        <v>0</v>
      </c>
      <c r="AC52" s="362">
        <v>0</v>
      </c>
      <c r="AD52" s="363">
        <v>0</v>
      </c>
      <c r="AE52" s="364">
        <v>0</v>
      </c>
      <c r="AF52" s="365">
        <v>0</v>
      </c>
      <c r="AG52" s="362">
        <v>0</v>
      </c>
      <c r="AH52" s="363">
        <v>0</v>
      </c>
      <c r="AI52" s="358">
        <v>0</v>
      </c>
    </row>
    <row r="53" spans="1:35" s="122" customFormat="1" ht="11.25">
      <c r="A53" s="506" t="s">
        <v>160</v>
      </c>
      <c r="B53" s="356">
        <v>198</v>
      </c>
      <c r="C53" s="357">
        <f t="shared" si="12"/>
        <v>471.7</v>
      </c>
      <c r="D53" s="358">
        <v>569310</v>
      </c>
      <c r="E53" s="359">
        <v>0</v>
      </c>
      <c r="F53" s="360">
        <v>560432</v>
      </c>
      <c r="G53" s="359">
        <v>0</v>
      </c>
      <c r="H53" s="361">
        <f t="shared" si="11"/>
        <v>98.4</v>
      </c>
      <c r="I53" s="358">
        <v>399542</v>
      </c>
      <c r="J53" s="358">
        <v>26380</v>
      </c>
      <c r="K53" s="358">
        <v>74725</v>
      </c>
      <c r="L53" s="358">
        <v>10007</v>
      </c>
      <c r="M53" s="358">
        <v>17374</v>
      </c>
      <c r="N53" s="358">
        <v>0</v>
      </c>
      <c r="O53" s="358">
        <v>21765</v>
      </c>
      <c r="P53" s="358">
        <v>0</v>
      </c>
      <c r="Q53" s="362">
        <v>0</v>
      </c>
      <c r="R53" s="363">
        <v>0</v>
      </c>
      <c r="S53" s="364">
        <v>0</v>
      </c>
      <c r="T53" s="365">
        <v>0</v>
      </c>
      <c r="U53" s="362">
        <v>0</v>
      </c>
      <c r="V53" s="363">
        <v>0</v>
      </c>
      <c r="W53" s="364">
        <v>0</v>
      </c>
      <c r="X53" s="365">
        <v>0</v>
      </c>
      <c r="Y53" s="362">
        <v>0</v>
      </c>
      <c r="Z53" s="363">
        <v>0</v>
      </c>
      <c r="AA53" s="364">
        <v>0</v>
      </c>
      <c r="AB53" s="365">
        <v>0</v>
      </c>
      <c r="AC53" s="362">
        <v>0</v>
      </c>
      <c r="AD53" s="363">
        <v>0</v>
      </c>
      <c r="AE53" s="364">
        <v>0</v>
      </c>
      <c r="AF53" s="365">
        <v>0</v>
      </c>
      <c r="AG53" s="362">
        <v>0</v>
      </c>
      <c r="AH53" s="363">
        <v>0</v>
      </c>
      <c r="AI53" s="358">
        <v>0</v>
      </c>
    </row>
    <row r="54" spans="1:35" s="122" customFormat="1" ht="11.25">
      <c r="A54" s="506" t="s">
        <v>176</v>
      </c>
      <c r="B54" s="356">
        <v>418</v>
      </c>
      <c r="C54" s="357">
        <f t="shared" si="12"/>
        <v>723.1</v>
      </c>
      <c r="D54" s="358">
        <v>1824167</v>
      </c>
      <c r="E54" s="359"/>
      <c r="F54" s="360">
        <v>1813509</v>
      </c>
      <c r="G54" s="359"/>
      <c r="H54" s="361">
        <f t="shared" si="11"/>
        <v>99.4</v>
      </c>
      <c r="I54" s="358">
        <v>1262390</v>
      </c>
      <c r="J54" s="358">
        <v>92749</v>
      </c>
      <c r="K54" s="358">
        <v>233561</v>
      </c>
      <c r="L54" s="358">
        <v>31075</v>
      </c>
      <c r="M54" s="358">
        <v>62649</v>
      </c>
      <c r="N54" s="358">
        <v>0</v>
      </c>
      <c r="O54" s="358">
        <v>69977</v>
      </c>
      <c r="P54" s="358">
        <v>0</v>
      </c>
      <c r="Q54" s="362">
        <v>0</v>
      </c>
      <c r="R54" s="363">
        <v>5000</v>
      </c>
      <c r="S54" s="364">
        <v>5000</v>
      </c>
      <c r="T54" s="365">
        <v>6613</v>
      </c>
      <c r="U54" s="362">
        <v>6613</v>
      </c>
      <c r="V54" s="363">
        <v>8227</v>
      </c>
      <c r="W54" s="364">
        <v>7722</v>
      </c>
      <c r="X54" s="365">
        <v>4500</v>
      </c>
      <c r="Y54" s="362">
        <v>4500</v>
      </c>
      <c r="Z54" s="363">
        <v>2000</v>
      </c>
      <c r="AA54" s="364">
        <v>1999</v>
      </c>
      <c r="AB54" s="365">
        <v>0</v>
      </c>
      <c r="AC54" s="362">
        <v>0</v>
      </c>
      <c r="AD54" s="363">
        <v>0</v>
      </c>
      <c r="AE54" s="364">
        <v>0</v>
      </c>
      <c r="AF54" s="365">
        <v>0</v>
      </c>
      <c r="AG54" s="362">
        <v>0</v>
      </c>
      <c r="AH54" s="363">
        <v>0</v>
      </c>
      <c r="AI54" s="358">
        <v>0</v>
      </c>
    </row>
    <row r="55" spans="1:35" s="122" customFormat="1" ht="11.25">
      <c r="A55" s="507" t="s">
        <v>177</v>
      </c>
      <c r="B55" s="366">
        <f>SUM(B44:B54)</f>
        <v>5935</v>
      </c>
      <c r="C55" s="367">
        <f t="shared" si="12"/>
        <v>674.7</v>
      </c>
      <c r="D55" s="368">
        <f>SUM(D44:D54)</f>
        <v>24202103</v>
      </c>
      <c r="E55" s="368">
        <f>SUM(E44:E54)</f>
        <v>18500</v>
      </c>
      <c r="F55" s="368">
        <f>SUM(F44:F54)</f>
        <v>24025304</v>
      </c>
      <c r="G55" s="368">
        <f>SUM(G44:G54)</f>
        <v>18500</v>
      </c>
      <c r="H55" s="369">
        <f t="shared" si="11"/>
        <v>99.3</v>
      </c>
      <c r="I55" s="368">
        <f aca="true" t="shared" si="17" ref="I55:O55">SUM(I44:I54)</f>
        <v>16132074</v>
      </c>
      <c r="J55" s="368">
        <f t="shared" si="17"/>
        <v>1249612</v>
      </c>
      <c r="K55" s="368">
        <f t="shared" si="17"/>
        <v>2994900</v>
      </c>
      <c r="L55" s="368">
        <f t="shared" si="17"/>
        <v>408745</v>
      </c>
      <c r="M55" s="368">
        <f>SUM(M44:M54)</f>
        <v>1346062</v>
      </c>
      <c r="N55" s="368">
        <f>SUM(N44:N54)</f>
        <v>235249</v>
      </c>
      <c r="O55" s="368">
        <f t="shared" si="17"/>
        <v>936125</v>
      </c>
      <c r="P55" s="368">
        <f aca="true" t="shared" si="18" ref="P55:AI55">SUM(P44:P54)</f>
        <v>24900</v>
      </c>
      <c r="Q55" s="370">
        <f t="shared" si="18"/>
        <v>24513</v>
      </c>
      <c r="R55" s="371">
        <f t="shared" si="18"/>
        <v>56740</v>
      </c>
      <c r="S55" s="372">
        <f t="shared" si="18"/>
        <v>55865</v>
      </c>
      <c r="T55" s="373">
        <f t="shared" si="18"/>
        <v>868665</v>
      </c>
      <c r="U55" s="370">
        <f t="shared" si="18"/>
        <v>36579</v>
      </c>
      <c r="V55" s="371">
        <f t="shared" si="18"/>
        <v>111575</v>
      </c>
      <c r="W55" s="372">
        <f t="shared" si="18"/>
        <v>89338</v>
      </c>
      <c r="X55" s="373">
        <f t="shared" si="18"/>
        <v>55000</v>
      </c>
      <c r="Y55" s="370">
        <f t="shared" si="18"/>
        <v>53736</v>
      </c>
      <c r="Z55" s="371">
        <f t="shared" si="18"/>
        <v>12300</v>
      </c>
      <c r="AA55" s="372">
        <f t="shared" si="18"/>
        <v>12280</v>
      </c>
      <c r="AB55" s="373">
        <f t="shared" si="18"/>
        <v>0</v>
      </c>
      <c r="AC55" s="370">
        <f t="shared" si="18"/>
        <v>0</v>
      </c>
      <c r="AD55" s="371">
        <f t="shared" si="18"/>
        <v>0</v>
      </c>
      <c r="AE55" s="372">
        <f t="shared" si="18"/>
        <v>0</v>
      </c>
      <c r="AF55" s="373">
        <f t="shared" si="18"/>
        <v>0</v>
      </c>
      <c r="AG55" s="370">
        <f t="shared" si="18"/>
        <v>0</v>
      </c>
      <c r="AH55" s="371">
        <f t="shared" si="18"/>
        <v>0</v>
      </c>
      <c r="AI55" s="368">
        <f t="shared" si="18"/>
        <v>0</v>
      </c>
    </row>
    <row r="56" spans="1:35" s="124" customFormat="1" ht="11.25">
      <c r="A56" s="510" t="s">
        <v>197</v>
      </c>
      <c r="B56" s="385">
        <v>70</v>
      </c>
      <c r="C56" s="357">
        <f t="shared" si="12"/>
        <v>2146.6</v>
      </c>
      <c r="D56" s="358">
        <v>903358</v>
      </c>
      <c r="E56" s="359">
        <v>0</v>
      </c>
      <c r="F56" s="358">
        <v>901587</v>
      </c>
      <c r="G56" s="359">
        <v>0</v>
      </c>
      <c r="H56" s="361">
        <f t="shared" si="11"/>
        <v>99.8</v>
      </c>
      <c r="I56" s="358">
        <v>620023</v>
      </c>
      <c r="J56" s="358">
        <v>47105</v>
      </c>
      <c r="K56" s="358">
        <v>115622</v>
      </c>
      <c r="L56" s="358">
        <v>15692</v>
      </c>
      <c r="M56" s="358">
        <v>63364</v>
      </c>
      <c r="N56" s="358">
        <v>1000</v>
      </c>
      <c r="O56" s="358">
        <v>34172</v>
      </c>
      <c r="P56" s="358">
        <v>0</v>
      </c>
      <c r="Q56" s="362">
        <v>0</v>
      </c>
      <c r="R56" s="363">
        <v>0</v>
      </c>
      <c r="S56" s="364">
        <v>0</v>
      </c>
      <c r="T56" s="365">
        <v>0</v>
      </c>
      <c r="U56" s="362">
        <v>0</v>
      </c>
      <c r="V56" s="363">
        <v>0</v>
      </c>
      <c r="W56" s="364">
        <v>0</v>
      </c>
      <c r="X56" s="365">
        <v>0</v>
      </c>
      <c r="Y56" s="362">
        <v>0</v>
      </c>
      <c r="Z56" s="363">
        <v>0</v>
      </c>
      <c r="AA56" s="364">
        <v>0</v>
      </c>
      <c r="AB56" s="365">
        <v>0</v>
      </c>
      <c r="AC56" s="362">
        <v>0</v>
      </c>
      <c r="AD56" s="363">
        <v>0</v>
      </c>
      <c r="AE56" s="364">
        <v>0</v>
      </c>
      <c r="AF56" s="365">
        <v>0</v>
      </c>
      <c r="AG56" s="362">
        <v>0</v>
      </c>
      <c r="AH56" s="363">
        <v>0</v>
      </c>
      <c r="AI56" s="358">
        <v>0</v>
      </c>
    </row>
    <row r="57" spans="1:35" s="124" customFormat="1" ht="11.25">
      <c r="A57" s="507" t="s">
        <v>196</v>
      </c>
      <c r="B57" s="366">
        <v>70</v>
      </c>
      <c r="C57" s="367">
        <f t="shared" si="12"/>
        <v>2146.6</v>
      </c>
      <c r="D57" s="368">
        <f>D56</f>
        <v>903358</v>
      </c>
      <c r="E57" s="386">
        <f>E56</f>
        <v>0</v>
      </c>
      <c r="F57" s="368">
        <f>F56</f>
        <v>901587</v>
      </c>
      <c r="G57" s="386">
        <f>G56</f>
        <v>0</v>
      </c>
      <c r="H57" s="369">
        <f t="shared" si="11"/>
        <v>99.8</v>
      </c>
      <c r="I57" s="368">
        <f aca="true" t="shared" si="19" ref="I57:O57">I56</f>
        <v>620023</v>
      </c>
      <c r="J57" s="368">
        <f t="shared" si="19"/>
        <v>47105</v>
      </c>
      <c r="K57" s="368">
        <f t="shared" si="19"/>
        <v>115622</v>
      </c>
      <c r="L57" s="368">
        <f t="shared" si="19"/>
        <v>15692</v>
      </c>
      <c r="M57" s="368">
        <f>M56</f>
        <v>63364</v>
      </c>
      <c r="N57" s="368">
        <f>N56</f>
        <v>1000</v>
      </c>
      <c r="O57" s="368">
        <f t="shared" si="19"/>
        <v>34172</v>
      </c>
      <c r="P57" s="368">
        <f aca="true" t="shared" si="20" ref="P57:AI57">P56</f>
        <v>0</v>
      </c>
      <c r="Q57" s="370">
        <f t="shared" si="20"/>
        <v>0</v>
      </c>
      <c r="R57" s="371">
        <f t="shared" si="20"/>
        <v>0</v>
      </c>
      <c r="S57" s="372">
        <f t="shared" si="20"/>
        <v>0</v>
      </c>
      <c r="T57" s="373">
        <f t="shared" si="20"/>
        <v>0</v>
      </c>
      <c r="U57" s="370">
        <f t="shared" si="20"/>
        <v>0</v>
      </c>
      <c r="V57" s="371">
        <f t="shared" si="20"/>
        <v>0</v>
      </c>
      <c r="W57" s="372">
        <f t="shared" si="20"/>
        <v>0</v>
      </c>
      <c r="X57" s="373">
        <f t="shared" si="20"/>
        <v>0</v>
      </c>
      <c r="Y57" s="370">
        <f t="shared" si="20"/>
        <v>0</v>
      </c>
      <c r="Z57" s="371">
        <f t="shared" si="20"/>
        <v>0</v>
      </c>
      <c r="AA57" s="372">
        <f t="shared" si="20"/>
        <v>0</v>
      </c>
      <c r="AB57" s="373">
        <f t="shared" si="20"/>
        <v>0</v>
      </c>
      <c r="AC57" s="370">
        <f t="shared" si="20"/>
        <v>0</v>
      </c>
      <c r="AD57" s="371">
        <f t="shared" si="20"/>
        <v>0</v>
      </c>
      <c r="AE57" s="372">
        <f t="shared" si="20"/>
        <v>0</v>
      </c>
      <c r="AF57" s="373">
        <f t="shared" si="20"/>
        <v>0</v>
      </c>
      <c r="AG57" s="370">
        <f t="shared" si="20"/>
        <v>0</v>
      </c>
      <c r="AH57" s="371">
        <f t="shared" si="20"/>
        <v>0</v>
      </c>
      <c r="AI57" s="368">
        <f t="shared" si="20"/>
        <v>0</v>
      </c>
    </row>
    <row r="58" spans="1:35" s="89" customFormat="1" ht="11.25">
      <c r="A58" s="506" t="s">
        <v>168</v>
      </c>
      <c r="B58" s="356">
        <v>243</v>
      </c>
      <c r="C58" s="357">
        <f t="shared" si="12"/>
        <v>59.3</v>
      </c>
      <c r="D58" s="358">
        <v>86654</v>
      </c>
      <c r="E58" s="359">
        <v>0</v>
      </c>
      <c r="F58" s="358">
        <v>86530</v>
      </c>
      <c r="G58" s="359">
        <v>0</v>
      </c>
      <c r="H58" s="361">
        <f t="shared" si="11"/>
        <v>99.9</v>
      </c>
      <c r="I58" s="358">
        <v>61144</v>
      </c>
      <c r="J58" s="358">
        <v>0</v>
      </c>
      <c r="K58" s="358">
        <v>7712</v>
      </c>
      <c r="L58" s="358">
        <v>1040</v>
      </c>
      <c r="M58" s="358">
        <v>10000</v>
      </c>
      <c r="N58" s="358">
        <v>0</v>
      </c>
      <c r="O58" s="358">
        <v>0</v>
      </c>
      <c r="P58" s="358">
        <v>0</v>
      </c>
      <c r="Q58" s="362">
        <v>0</v>
      </c>
      <c r="R58" s="363">
        <v>70</v>
      </c>
      <c r="S58" s="364">
        <v>65</v>
      </c>
      <c r="T58" s="365">
        <v>0</v>
      </c>
      <c r="U58" s="362">
        <v>0</v>
      </c>
      <c r="V58" s="363">
        <v>0</v>
      </c>
      <c r="W58" s="364">
        <v>0</v>
      </c>
      <c r="X58" s="365">
        <v>0</v>
      </c>
      <c r="Y58" s="362">
        <v>0</v>
      </c>
      <c r="Z58" s="363">
        <v>0</v>
      </c>
      <c r="AA58" s="364">
        <v>0</v>
      </c>
      <c r="AB58" s="365">
        <v>0</v>
      </c>
      <c r="AC58" s="362">
        <v>0</v>
      </c>
      <c r="AD58" s="363">
        <v>0</v>
      </c>
      <c r="AE58" s="364">
        <v>0</v>
      </c>
      <c r="AF58" s="365">
        <v>0</v>
      </c>
      <c r="AG58" s="362">
        <v>0</v>
      </c>
      <c r="AH58" s="363">
        <v>0</v>
      </c>
      <c r="AI58" s="358">
        <v>0</v>
      </c>
    </row>
    <row r="59" spans="1:35" s="89" customFormat="1" ht="11.25">
      <c r="A59" s="509" t="s">
        <v>178</v>
      </c>
      <c r="B59" s="356">
        <v>55</v>
      </c>
      <c r="C59" s="357">
        <f t="shared" si="12"/>
        <v>2388.5</v>
      </c>
      <c r="D59" s="358">
        <v>788225</v>
      </c>
      <c r="E59" s="359"/>
      <c r="F59" s="360">
        <v>788221</v>
      </c>
      <c r="G59" s="359"/>
      <c r="H59" s="361">
        <f t="shared" si="11"/>
        <v>100</v>
      </c>
      <c r="I59" s="358">
        <v>510209</v>
      </c>
      <c r="J59" s="358">
        <v>66406</v>
      </c>
      <c r="K59" s="358">
        <v>100563</v>
      </c>
      <c r="L59" s="358">
        <v>14012</v>
      </c>
      <c r="M59" s="358">
        <v>26945</v>
      </c>
      <c r="N59" s="358">
        <v>0</v>
      </c>
      <c r="O59" s="358">
        <v>48480</v>
      </c>
      <c r="P59" s="358">
        <v>0</v>
      </c>
      <c r="Q59" s="362">
        <v>0</v>
      </c>
      <c r="R59" s="363">
        <v>2780</v>
      </c>
      <c r="S59" s="364">
        <v>2780</v>
      </c>
      <c r="T59" s="365">
        <v>0</v>
      </c>
      <c r="U59" s="362">
        <v>0</v>
      </c>
      <c r="V59" s="363">
        <v>0</v>
      </c>
      <c r="W59" s="364">
        <v>0</v>
      </c>
      <c r="X59" s="365">
        <v>0</v>
      </c>
      <c r="Y59" s="362">
        <v>0</v>
      </c>
      <c r="Z59" s="363">
        <v>0</v>
      </c>
      <c r="AA59" s="364">
        <v>0</v>
      </c>
      <c r="AB59" s="365">
        <v>0</v>
      </c>
      <c r="AC59" s="362">
        <v>0</v>
      </c>
      <c r="AD59" s="363">
        <v>0</v>
      </c>
      <c r="AE59" s="364">
        <v>0</v>
      </c>
      <c r="AF59" s="365">
        <v>0</v>
      </c>
      <c r="AG59" s="362">
        <v>0</v>
      </c>
      <c r="AH59" s="363">
        <v>0</v>
      </c>
      <c r="AI59" s="358">
        <v>0</v>
      </c>
    </row>
    <row r="60" spans="1:35" s="124" customFormat="1" ht="11.25">
      <c r="A60" s="507" t="s">
        <v>198</v>
      </c>
      <c r="B60" s="387">
        <f>B59+B58</f>
        <v>298</v>
      </c>
      <c r="C60" s="369">
        <f>C59+C58</f>
        <v>2447.8</v>
      </c>
      <c r="D60" s="386">
        <f>D59+D58</f>
        <v>874879</v>
      </c>
      <c r="E60" s="386"/>
      <c r="F60" s="386">
        <f>F59+F58</f>
        <v>874751</v>
      </c>
      <c r="G60" s="386"/>
      <c r="H60" s="369">
        <f t="shared" si="11"/>
        <v>100</v>
      </c>
      <c r="I60" s="386">
        <f aca="true" t="shared" si="21" ref="I60:AI60">I59+I58</f>
        <v>571353</v>
      </c>
      <c r="J60" s="386">
        <f t="shared" si="21"/>
        <v>66406</v>
      </c>
      <c r="K60" s="386">
        <f t="shared" si="21"/>
        <v>108275</v>
      </c>
      <c r="L60" s="386">
        <f t="shared" si="21"/>
        <v>15052</v>
      </c>
      <c r="M60" s="386">
        <f>M59+M58</f>
        <v>36945</v>
      </c>
      <c r="N60" s="386">
        <f>N59+N58</f>
        <v>0</v>
      </c>
      <c r="O60" s="386">
        <f t="shared" si="21"/>
        <v>48480</v>
      </c>
      <c r="P60" s="386">
        <f t="shared" si="21"/>
        <v>0</v>
      </c>
      <c r="Q60" s="388">
        <f t="shared" si="21"/>
        <v>0</v>
      </c>
      <c r="R60" s="389">
        <f t="shared" si="21"/>
        <v>2850</v>
      </c>
      <c r="S60" s="390">
        <f t="shared" si="21"/>
        <v>2845</v>
      </c>
      <c r="T60" s="391">
        <f t="shared" si="21"/>
        <v>0</v>
      </c>
      <c r="U60" s="388">
        <f t="shared" si="21"/>
        <v>0</v>
      </c>
      <c r="V60" s="389">
        <f t="shared" si="21"/>
        <v>0</v>
      </c>
      <c r="W60" s="390">
        <f t="shared" si="21"/>
        <v>0</v>
      </c>
      <c r="X60" s="391">
        <f t="shared" si="21"/>
        <v>0</v>
      </c>
      <c r="Y60" s="388">
        <f t="shared" si="21"/>
        <v>0</v>
      </c>
      <c r="Z60" s="389">
        <f t="shared" si="21"/>
        <v>0</v>
      </c>
      <c r="AA60" s="390">
        <f t="shared" si="21"/>
        <v>0</v>
      </c>
      <c r="AB60" s="391">
        <f t="shared" si="21"/>
        <v>0</v>
      </c>
      <c r="AC60" s="388">
        <f t="shared" si="21"/>
        <v>0</v>
      </c>
      <c r="AD60" s="389">
        <f t="shared" si="21"/>
        <v>0</v>
      </c>
      <c r="AE60" s="390">
        <f t="shared" si="21"/>
        <v>0</v>
      </c>
      <c r="AF60" s="391">
        <f t="shared" si="21"/>
        <v>0</v>
      </c>
      <c r="AG60" s="388">
        <f t="shared" si="21"/>
        <v>0</v>
      </c>
      <c r="AH60" s="389">
        <f t="shared" si="21"/>
        <v>0</v>
      </c>
      <c r="AI60" s="386">
        <f t="shared" si="21"/>
        <v>0</v>
      </c>
    </row>
    <row r="61" spans="1:35" s="124" customFormat="1" ht="11.25">
      <c r="A61" s="510" t="s">
        <v>200</v>
      </c>
      <c r="B61" s="356">
        <v>0</v>
      </c>
      <c r="C61" s="367">
        <f>C60+C59</f>
        <v>4836.3</v>
      </c>
      <c r="D61" s="358">
        <v>425142</v>
      </c>
      <c r="E61" s="359">
        <v>0</v>
      </c>
      <c r="F61" s="358">
        <v>413044</v>
      </c>
      <c r="G61" s="359">
        <v>0</v>
      </c>
      <c r="H61" s="361">
        <f t="shared" si="11"/>
        <v>97.2</v>
      </c>
      <c r="I61" s="358">
        <v>263063</v>
      </c>
      <c r="J61" s="358">
        <v>8055</v>
      </c>
      <c r="K61" s="358">
        <v>47008</v>
      </c>
      <c r="L61" s="358">
        <v>6332</v>
      </c>
      <c r="M61" s="358">
        <v>3576</v>
      </c>
      <c r="N61" s="358">
        <v>1654</v>
      </c>
      <c r="O61" s="358">
        <v>16428</v>
      </c>
      <c r="P61" s="358">
        <v>0</v>
      </c>
      <c r="Q61" s="362">
        <v>0</v>
      </c>
      <c r="R61" s="363">
        <v>19954</v>
      </c>
      <c r="S61" s="364">
        <v>19644</v>
      </c>
      <c r="T61" s="365">
        <v>0</v>
      </c>
      <c r="U61" s="362">
        <v>0</v>
      </c>
      <c r="V61" s="363">
        <v>0</v>
      </c>
      <c r="W61" s="364">
        <v>0</v>
      </c>
      <c r="X61" s="365">
        <v>32600</v>
      </c>
      <c r="Y61" s="362">
        <v>17024</v>
      </c>
      <c r="Z61" s="383">
        <v>0</v>
      </c>
      <c r="AA61" s="384">
        <v>0</v>
      </c>
      <c r="AB61" s="382">
        <v>0</v>
      </c>
      <c r="AC61" s="381">
        <v>0</v>
      </c>
      <c r="AD61" s="383">
        <v>0</v>
      </c>
      <c r="AE61" s="384">
        <v>0</v>
      </c>
      <c r="AF61" s="382">
        <v>0</v>
      </c>
      <c r="AG61" s="381">
        <v>0</v>
      </c>
      <c r="AH61" s="383">
        <v>0</v>
      </c>
      <c r="AI61" s="359">
        <v>0</v>
      </c>
    </row>
    <row r="62" spans="1:35" s="122" customFormat="1" ht="11.25">
      <c r="A62" s="507" t="s">
        <v>199</v>
      </c>
      <c r="B62" s="366">
        <f>B61</f>
        <v>0</v>
      </c>
      <c r="C62" s="367">
        <f>C61+C60</f>
        <v>7284.1</v>
      </c>
      <c r="D62" s="368">
        <f>D61</f>
        <v>425142</v>
      </c>
      <c r="E62" s="368">
        <f>E61</f>
        <v>0</v>
      </c>
      <c r="F62" s="368">
        <f>F61</f>
        <v>413044</v>
      </c>
      <c r="G62" s="368">
        <f>G61</f>
        <v>0</v>
      </c>
      <c r="H62" s="369">
        <f t="shared" si="11"/>
        <v>97.2</v>
      </c>
      <c r="I62" s="368">
        <f aca="true" t="shared" si="22" ref="I62:O62">I61</f>
        <v>263063</v>
      </c>
      <c r="J62" s="368">
        <f t="shared" si="22"/>
        <v>8055</v>
      </c>
      <c r="K62" s="368">
        <f t="shared" si="22"/>
        <v>47008</v>
      </c>
      <c r="L62" s="368">
        <f t="shared" si="22"/>
        <v>6332</v>
      </c>
      <c r="M62" s="368">
        <f>M61</f>
        <v>3576</v>
      </c>
      <c r="N62" s="368">
        <f>N61</f>
        <v>1654</v>
      </c>
      <c r="O62" s="368">
        <f t="shared" si="22"/>
        <v>16428</v>
      </c>
      <c r="P62" s="368">
        <f aca="true" t="shared" si="23" ref="P62:AC62">P61</f>
        <v>0</v>
      </c>
      <c r="Q62" s="370">
        <f t="shared" si="23"/>
        <v>0</v>
      </c>
      <c r="R62" s="371">
        <f t="shared" si="23"/>
        <v>19954</v>
      </c>
      <c r="S62" s="372">
        <f t="shared" si="23"/>
        <v>19644</v>
      </c>
      <c r="T62" s="373">
        <f t="shared" si="23"/>
        <v>0</v>
      </c>
      <c r="U62" s="370">
        <f t="shared" si="23"/>
        <v>0</v>
      </c>
      <c r="V62" s="371">
        <f t="shared" si="23"/>
        <v>0</v>
      </c>
      <c r="W62" s="372">
        <f t="shared" si="23"/>
        <v>0</v>
      </c>
      <c r="X62" s="373">
        <f t="shared" si="23"/>
        <v>32600</v>
      </c>
      <c r="Y62" s="370">
        <f t="shared" si="23"/>
        <v>17024</v>
      </c>
      <c r="Z62" s="371">
        <f t="shared" si="23"/>
        <v>0</v>
      </c>
      <c r="AA62" s="372">
        <f t="shared" si="23"/>
        <v>0</v>
      </c>
      <c r="AB62" s="373">
        <f t="shared" si="23"/>
        <v>0</v>
      </c>
      <c r="AC62" s="370">
        <f t="shared" si="23"/>
        <v>0</v>
      </c>
      <c r="AD62" s="371"/>
      <c r="AE62" s="372"/>
      <c r="AF62" s="373">
        <f>AF61</f>
        <v>0</v>
      </c>
      <c r="AG62" s="370">
        <f>AG61</f>
        <v>0</v>
      </c>
      <c r="AH62" s="371">
        <f>AH61</f>
        <v>0</v>
      </c>
      <c r="AI62" s="368">
        <f>AI61</f>
        <v>0</v>
      </c>
    </row>
    <row r="63" spans="1:35" s="122" customFormat="1" ht="11.25">
      <c r="A63" s="506" t="s">
        <v>141</v>
      </c>
      <c r="B63" s="356">
        <v>100</v>
      </c>
      <c r="C63" s="357">
        <f aca="true" t="shared" si="24" ref="C63:C77">F63/B63/6</f>
        <v>299.6</v>
      </c>
      <c r="D63" s="358">
        <v>179998</v>
      </c>
      <c r="E63" s="359">
        <v>1000</v>
      </c>
      <c r="F63" s="360">
        <v>179751</v>
      </c>
      <c r="G63" s="359">
        <v>1000</v>
      </c>
      <c r="H63" s="361">
        <f t="shared" si="11"/>
        <v>99.9</v>
      </c>
      <c r="I63" s="358">
        <v>131463</v>
      </c>
      <c r="J63" s="358">
        <v>9649</v>
      </c>
      <c r="K63" s="358">
        <v>25395</v>
      </c>
      <c r="L63" s="358">
        <v>2918</v>
      </c>
      <c r="M63" s="358">
        <v>0</v>
      </c>
      <c r="N63" s="358">
        <v>0</v>
      </c>
      <c r="O63" s="358">
        <v>9327</v>
      </c>
      <c r="P63" s="358">
        <v>0</v>
      </c>
      <c r="Q63" s="362">
        <v>0</v>
      </c>
      <c r="R63" s="363">
        <v>0</v>
      </c>
      <c r="S63" s="364">
        <v>0</v>
      </c>
      <c r="T63" s="365">
        <v>0</v>
      </c>
      <c r="U63" s="362">
        <v>0</v>
      </c>
      <c r="V63" s="363">
        <v>0</v>
      </c>
      <c r="W63" s="364">
        <v>0</v>
      </c>
      <c r="X63" s="365">
        <v>0</v>
      </c>
      <c r="Y63" s="362">
        <v>0</v>
      </c>
      <c r="Z63" s="363">
        <v>0</v>
      </c>
      <c r="AA63" s="364">
        <v>0</v>
      </c>
      <c r="AB63" s="365">
        <v>0</v>
      </c>
      <c r="AC63" s="362">
        <v>0</v>
      </c>
      <c r="AD63" s="363">
        <v>0</v>
      </c>
      <c r="AE63" s="364">
        <v>0</v>
      </c>
      <c r="AF63" s="365">
        <v>0</v>
      </c>
      <c r="AG63" s="362">
        <v>0</v>
      </c>
      <c r="AH63" s="363">
        <v>0</v>
      </c>
      <c r="AI63" s="358">
        <v>0</v>
      </c>
    </row>
    <row r="64" spans="1:35" s="122" customFormat="1" ht="11.25">
      <c r="A64" s="507" t="s">
        <v>201</v>
      </c>
      <c r="B64" s="366">
        <f>B63</f>
        <v>100</v>
      </c>
      <c r="C64" s="367">
        <f t="shared" si="24"/>
        <v>299.6</v>
      </c>
      <c r="D64" s="368">
        <f>D63</f>
        <v>179998</v>
      </c>
      <c r="E64" s="368"/>
      <c r="F64" s="368">
        <f>F63</f>
        <v>179751</v>
      </c>
      <c r="G64" s="368"/>
      <c r="H64" s="369">
        <f t="shared" si="11"/>
        <v>99.9</v>
      </c>
      <c r="I64" s="368">
        <f aca="true" t="shared" si="25" ref="I64:O64">I63</f>
        <v>131463</v>
      </c>
      <c r="J64" s="368">
        <f t="shared" si="25"/>
        <v>9649</v>
      </c>
      <c r="K64" s="368">
        <f t="shared" si="25"/>
        <v>25395</v>
      </c>
      <c r="L64" s="368">
        <f t="shared" si="25"/>
        <v>2918</v>
      </c>
      <c r="M64" s="368">
        <f>M63</f>
        <v>0</v>
      </c>
      <c r="N64" s="368">
        <f>N63</f>
        <v>0</v>
      </c>
      <c r="O64" s="368">
        <f t="shared" si="25"/>
        <v>9327</v>
      </c>
      <c r="P64" s="368">
        <f aca="true" t="shared" si="26" ref="P64:U64">P63</f>
        <v>0</v>
      </c>
      <c r="Q64" s="370">
        <f t="shared" si="26"/>
        <v>0</v>
      </c>
      <c r="R64" s="371">
        <f t="shared" si="26"/>
        <v>0</v>
      </c>
      <c r="S64" s="372">
        <f t="shared" si="26"/>
        <v>0</v>
      </c>
      <c r="T64" s="373">
        <f t="shared" si="26"/>
        <v>0</v>
      </c>
      <c r="U64" s="370">
        <f t="shared" si="26"/>
        <v>0</v>
      </c>
      <c r="V64" s="371"/>
      <c r="W64" s="372"/>
      <c r="X64" s="373">
        <f aca="true" t="shared" si="27" ref="X64:AC64">X63</f>
        <v>0</v>
      </c>
      <c r="Y64" s="370">
        <f t="shared" si="27"/>
        <v>0</v>
      </c>
      <c r="Z64" s="371">
        <f t="shared" si="27"/>
        <v>0</v>
      </c>
      <c r="AA64" s="372">
        <f t="shared" si="27"/>
        <v>0</v>
      </c>
      <c r="AB64" s="373">
        <f t="shared" si="27"/>
        <v>0</v>
      </c>
      <c r="AC64" s="370">
        <f t="shared" si="27"/>
        <v>0</v>
      </c>
      <c r="AD64" s="371"/>
      <c r="AE64" s="372"/>
      <c r="AF64" s="373">
        <f>AF63</f>
        <v>0</v>
      </c>
      <c r="AG64" s="370">
        <f>AG63</f>
        <v>0</v>
      </c>
      <c r="AH64" s="371">
        <f>AH63</f>
        <v>0</v>
      </c>
      <c r="AI64" s="368">
        <f>AI63</f>
        <v>0</v>
      </c>
    </row>
    <row r="65" spans="1:35" s="124" customFormat="1" ht="11.25">
      <c r="A65" s="509" t="s">
        <v>179</v>
      </c>
      <c r="B65" s="356">
        <v>27</v>
      </c>
      <c r="C65" s="357">
        <f t="shared" si="24"/>
        <v>5187.2</v>
      </c>
      <c r="D65" s="358">
        <v>851494</v>
      </c>
      <c r="E65" s="359">
        <v>3000</v>
      </c>
      <c r="F65" s="358">
        <v>840331</v>
      </c>
      <c r="G65" s="359">
        <v>2999</v>
      </c>
      <c r="H65" s="361">
        <f t="shared" si="11"/>
        <v>98.7</v>
      </c>
      <c r="I65" s="358">
        <v>471553</v>
      </c>
      <c r="J65" s="358">
        <v>35779</v>
      </c>
      <c r="K65" s="358">
        <v>86238</v>
      </c>
      <c r="L65" s="358">
        <v>11722</v>
      </c>
      <c r="M65" s="358">
        <v>56030</v>
      </c>
      <c r="N65" s="358">
        <v>67278</v>
      </c>
      <c r="O65" s="358">
        <v>28091</v>
      </c>
      <c r="P65" s="358">
        <v>1300</v>
      </c>
      <c r="Q65" s="362">
        <v>1300</v>
      </c>
      <c r="R65" s="363">
        <v>0</v>
      </c>
      <c r="S65" s="364">
        <v>0</v>
      </c>
      <c r="T65" s="365">
        <v>0</v>
      </c>
      <c r="U65" s="362">
        <v>0</v>
      </c>
      <c r="V65" s="363">
        <v>0</v>
      </c>
      <c r="W65" s="364">
        <v>0</v>
      </c>
      <c r="X65" s="382">
        <v>0</v>
      </c>
      <c r="Y65" s="381">
        <v>0</v>
      </c>
      <c r="Z65" s="363">
        <v>0</v>
      </c>
      <c r="AA65" s="364">
        <v>0</v>
      </c>
      <c r="AB65" s="365">
        <v>0</v>
      </c>
      <c r="AC65" s="362">
        <v>0</v>
      </c>
      <c r="AD65" s="363">
        <v>0</v>
      </c>
      <c r="AE65" s="364">
        <v>0</v>
      </c>
      <c r="AF65" s="365">
        <v>3360</v>
      </c>
      <c r="AG65" s="362">
        <v>3360</v>
      </c>
      <c r="AH65" s="363">
        <v>0</v>
      </c>
      <c r="AI65" s="359">
        <v>0</v>
      </c>
    </row>
    <row r="66" spans="1:35" s="89" customFormat="1" ht="11.25">
      <c r="A66" s="509" t="s">
        <v>180</v>
      </c>
      <c r="B66" s="356">
        <v>31</v>
      </c>
      <c r="C66" s="357">
        <f t="shared" si="24"/>
        <v>4432.9</v>
      </c>
      <c r="D66" s="358">
        <v>865542</v>
      </c>
      <c r="E66" s="359">
        <v>1000</v>
      </c>
      <c r="F66" s="358">
        <v>824525</v>
      </c>
      <c r="G66" s="359">
        <v>1000</v>
      </c>
      <c r="H66" s="361">
        <f t="shared" si="11"/>
        <v>95.3</v>
      </c>
      <c r="I66" s="358">
        <v>504989</v>
      </c>
      <c r="J66" s="358">
        <v>40722</v>
      </c>
      <c r="K66" s="358">
        <v>95105</v>
      </c>
      <c r="L66" s="358">
        <v>13046</v>
      </c>
      <c r="M66" s="358">
        <v>59886</v>
      </c>
      <c r="N66" s="358">
        <v>9913</v>
      </c>
      <c r="O66" s="358">
        <v>28963</v>
      </c>
      <c r="P66" s="358">
        <v>800</v>
      </c>
      <c r="Q66" s="362">
        <v>797</v>
      </c>
      <c r="R66" s="363">
        <v>0</v>
      </c>
      <c r="S66" s="364">
        <v>0</v>
      </c>
      <c r="T66" s="365">
        <v>0</v>
      </c>
      <c r="U66" s="362">
        <v>0</v>
      </c>
      <c r="V66" s="363">
        <v>0</v>
      </c>
      <c r="W66" s="364">
        <v>0</v>
      </c>
      <c r="X66" s="365">
        <v>0</v>
      </c>
      <c r="Y66" s="362">
        <v>0</v>
      </c>
      <c r="Z66" s="376">
        <v>0</v>
      </c>
      <c r="AA66" s="377">
        <v>0</v>
      </c>
      <c r="AB66" s="365">
        <v>0</v>
      </c>
      <c r="AC66" s="362">
        <v>0</v>
      </c>
      <c r="AD66" s="363">
        <v>1660</v>
      </c>
      <c r="AE66" s="364">
        <v>1652</v>
      </c>
      <c r="AF66" s="365">
        <v>1350</v>
      </c>
      <c r="AG66" s="362">
        <v>925</v>
      </c>
      <c r="AH66" s="363">
        <v>0</v>
      </c>
      <c r="AI66" s="358">
        <v>0</v>
      </c>
    </row>
    <row r="67" spans="1:35" s="89" customFormat="1" ht="11.25">
      <c r="A67" s="510" t="s">
        <v>181</v>
      </c>
      <c r="B67" s="366">
        <f>B65+B66</f>
        <v>58</v>
      </c>
      <c r="C67" s="367">
        <f t="shared" si="24"/>
        <v>4784.1</v>
      </c>
      <c r="D67" s="368">
        <f>D65+D66</f>
        <v>1717036</v>
      </c>
      <c r="E67" s="386"/>
      <c r="F67" s="368">
        <f>F65+F66</f>
        <v>1664856</v>
      </c>
      <c r="G67" s="386"/>
      <c r="H67" s="369">
        <f t="shared" si="11"/>
        <v>97</v>
      </c>
      <c r="I67" s="368">
        <f aca="true" t="shared" si="28" ref="I67:O67">I65+I66</f>
        <v>976542</v>
      </c>
      <c r="J67" s="368">
        <f t="shared" si="28"/>
        <v>76501</v>
      </c>
      <c r="K67" s="368">
        <f t="shared" si="28"/>
        <v>181343</v>
      </c>
      <c r="L67" s="368">
        <f t="shared" si="28"/>
        <v>24768</v>
      </c>
      <c r="M67" s="368">
        <f>M65+M66</f>
        <v>115916</v>
      </c>
      <c r="N67" s="368">
        <f>N65+N66</f>
        <v>77191</v>
      </c>
      <c r="O67" s="368">
        <f t="shared" si="28"/>
        <v>57054</v>
      </c>
      <c r="P67" s="368">
        <f aca="true" t="shared" si="29" ref="P67:AI67">P65+P66</f>
        <v>2100</v>
      </c>
      <c r="Q67" s="370">
        <f t="shared" si="29"/>
        <v>2097</v>
      </c>
      <c r="R67" s="371">
        <f t="shared" si="29"/>
        <v>0</v>
      </c>
      <c r="S67" s="372">
        <f t="shared" si="29"/>
        <v>0</v>
      </c>
      <c r="T67" s="373">
        <f t="shared" si="29"/>
        <v>0</v>
      </c>
      <c r="U67" s="370">
        <f t="shared" si="29"/>
        <v>0</v>
      </c>
      <c r="V67" s="371">
        <f t="shared" si="29"/>
        <v>0</v>
      </c>
      <c r="W67" s="372">
        <f t="shared" si="29"/>
        <v>0</v>
      </c>
      <c r="X67" s="373">
        <f t="shared" si="29"/>
        <v>0</v>
      </c>
      <c r="Y67" s="370">
        <f t="shared" si="29"/>
        <v>0</v>
      </c>
      <c r="Z67" s="371">
        <f t="shared" si="29"/>
        <v>0</v>
      </c>
      <c r="AA67" s="372">
        <f t="shared" si="29"/>
        <v>0</v>
      </c>
      <c r="AB67" s="373">
        <f t="shared" si="29"/>
        <v>0</v>
      </c>
      <c r="AC67" s="370">
        <f t="shared" si="29"/>
        <v>0</v>
      </c>
      <c r="AD67" s="371">
        <f t="shared" si="29"/>
        <v>1660</v>
      </c>
      <c r="AE67" s="372">
        <f t="shared" si="29"/>
        <v>1652</v>
      </c>
      <c r="AF67" s="373">
        <f t="shared" si="29"/>
        <v>4710</v>
      </c>
      <c r="AG67" s="370">
        <f t="shared" si="29"/>
        <v>4285</v>
      </c>
      <c r="AH67" s="371">
        <f t="shared" si="29"/>
        <v>0</v>
      </c>
      <c r="AI67" s="368">
        <f t="shared" si="29"/>
        <v>0</v>
      </c>
    </row>
    <row r="68" spans="1:35" s="89" customFormat="1" ht="11.25">
      <c r="A68" s="509" t="s">
        <v>182</v>
      </c>
      <c r="B68" s="356">
        <v>2504</v>
      </c>
      <c r="C68" s="357">
        <f t="shared" si="24"/>
        <v>63.9</v>
      </c>
      <c r="D68" s="358">
        <v>959992</v>
      </c>
      <c r="E68" s="359">
        <v>2500</v>
      </c>
      <c r="F68" s="358">
        <v>959745</v>
      </c>
      <c r="G68" s="359">
        <v>2500</v>
      </c>
      <c r="H68" s="361">
        <f t="shared" si="11"/>
        <v>100</v>
      </c>
      <c r="I68" s="358">
        <v>682897</v>
      </c>
      <c r="J68" s="358">
        <v>49729</v>
      </c>
      <c r="K68" s="358">
        <v>124822</v>
      </c>
      <c r="L68" s="358">
        <v>17304</v>
      </c>
      <c r="M68" s="358">
        <v>9255</v>
      </c>
      <c r="N68" s="358">
        <v>957</v>
      </c>
      <c r="O68" s="358">
        <v>41679</v>
      </c>
      <c r="P68" s="358">
        <v>0</v>
      </c>
      <c r="Q68" s="362">
        <v>0</v>
      </c>
      <c r="R68" s="363">
        <v>0</v>
      </c>
      <c r="S68" s="364">
        <v>0</v>
      </c>
      <c r="T68" s="365">
        <v>0</v>
      </c>
      <c r="U68" s="362">
        <v>0</v>
      </c>
      <c r="V68" s="363">
        <v>0</v>
      </c>
      <c r="W68" s="364">
        <v>0</v>
      </c>
      <c r="X68" s="365">
        <v>0</v>
      </c>
      <c r="Y68" s="362">
        <v>0</v>
      </c>
      <c r="Z68" s="363">
        <v>0</v>
      </c>
      <c r="AA68" s="364">
        <v>0</v>
      </c>
      <c r="AB68" s="365">
        <v>0</v>
      </c>
      <c r="AC68" s="362">
        <v>0</v>
      </c>
      <c r="AD68" s="363">
        <v>0</v>
      </c>
      <c r="AE68" s="364">
        <v>0</v>
      </c>
      <c r="AF68" s="365">
        <v>3220</v>
      </c>
      <c r="AG68" s="362">
        <v>3220</v>
      </c>
      <c r="AH68" s="363">
        <v>0</v>
      </c>
      <c r="AI68" s="358">
        <v>0</v>
      </c>
    </row>
    <row r="69" spans="1:35" s="89" customFormat="1" ht="11.25">
      <c r="A69" s="509" t="s">
        <v>183</v>
      </c>
      <c r="B69" s="356">
        <v>5357</v>
      </c>
      <c r="C69" s="357">
        <f t="shared" si="24"/>
        <v>27.9</v>
      </c>
      <c r="D69" s="358">
        <v>905795</v>
      </c>
      <c r="E69" s="359">
        <v>0</v>
      </c>
      <c r="F69" s="358">
        <v>897725</v>
      </c>
      <c r="G69" s="359">
        <v>0</v>
      </c>
      <c r="H69" s="361">
        <f t="shared" si="11"/>
        <v>99.1</v>
      </c>
      <c r="I69" s="358">
        <v>603562</v>
      </c>
      <c r="J69" s="358">
        <v>44408</v>
      </c>
      <c r="K69" s="358">
        <v>112667</v>
      </c>
      <c r="L69" s="358">
        <v>15364</v>
      </c>
      <c r="M69" s="358">
        <v>14698</v>
      </c>
      <c r="N69" s="358">
        <v>1495</v>
      </c>
      <c r="O69" s="358">
        <v>35302</v>
      </c>
      <c r="P69" s="358">
        <v>0</v>
      </c>
      <c r="Q69" s="362">
        <v>0</v>
      </c>
      <c r="R69" s="363">
        <v>0</v>
      </c>
      <c r="S69" s="364">
        <v>0</v>
      </c>
      <c r="T69" s="365">
        <v>0</v>
      </c>
      <c r="U69" s="362">
        <v>0</v>
      </c>
      <c r="V69" s="363">
        <v>0</v>
      </c>
      <c r="W69" s="364">
        <v>0</v>
      </c>
      <c r="X69" s="365">
        <v>0</v>
      </c>
      <c r="Y69" s="362">
        <v>0</v>
      </c>
      <c r="Z69" s="363">
        <v>0</v>
      </c>
      <c r="AA69" s="364">
        <v>0</v>
      </c>
      <c r="AB69" s="365">
        <v>0</v>
      </c>
      <c r="AC69" s="362">
        <v>0</v>
      </c>
      <c r="AD69" s="363">
        <v>0</v>
      </c>
      <c r="AE69" s="364">
        <v>0</v>
      </c>
      <c r="AF69" s="365">
        <v>2220</v>
      </c>
      <c r="AG69" s="362">
        <v>2220</v>
      </c>
      <c r="AH69" s="363">
        <v>0</v>
      </c>
      <c r="AI69" s="358">
        <v>0</v>
      </c>
    </row>
    <row r="70" spans="1:35" s="89" customFormat="1" ht="11.25">
      <c r="A70" s="509" t="s">
        <v>184</v>
      </c>
      <c r="B70" s="356">
        <v>2141</v>
      </c>
      <c r="C70" s="357">
        <f t="shared" si="24"/>
        <v>61.6</v>
      </c>
      <c r="D70" s="358">
        <v>794897</v>
      </c>
      <c r="E70" s="359">
        <v>0</v>
      </c>
      <c r="F70" s="358">
        <v>791060</v>
      </c>
      <c r="G70" s="359">
        <v>0</v>
      </c>
      <c r="H70" s="361">
        <f t="shared" si="11"/>
        <v>99.5</v>
      </c>
      <c r="I70" s="358">
        <v>542753</v>
      </c>
      <c r="J70" s="358">
        <v>38558</v>
      </c>
      <c r="K70" s="358">
        <v>100447</v>
      </c>
      <c r="L70" s="358">
        <v>13730</v>
      </c>
      <c r="M70" s="358">
        <v>10058</v>
      </c>
      <c r="N70" s="358">
        <v>826</v>
      </c>
      <c r="O70" s="358">
        <v>32964</v>
      </c>
      <c r="P70" s="358">
        <v>0</v>
      </c>
      <c r="Q70" s="362">
        <v>0</v>
      </c>
      <c r="R70" s="363">
        <v>0</v>
      </c>
      <c r="S70" s="364">
        <v>0</v>
      </c>
      <c r="T70" s="365">
        <v>0</v>
      </c>
      <c r="U70" s="362">
        <v>0</v>
      </c>
      <c r="V70" s="363">
        <v>0</v>
      </c>
      <c r="W70" s="364">
        <v>0</v>
      </c>
      <c r="X70" s="365">
        <v>0</v>
      </c>
      <c r="Y70" s="362">
        <v>0</v>
      </c>
      <c r="Z70" s="363">
        <v>0</v>
      </c>
      <c r="AA70" s="364">
        <v>0</v>
      </c>
      <c r="AB70" s="365">
        <v>0</v>
      </c>
      <c r="AC70" s="362">
        <v>0</v>
      </c>
      <c r="AD70" s="363"/>
      <c r="AE70" s="364"/>
      <c r="AF70" s="365">
        <v>2580</v>
      </c>
      <c r="AG70" s="362">
        <v>2580</v>
      </c>
      <c r="AH70" s="363">
        <v>0</v>
      </c>
      <c r="AI70" s="358">
        <v>0</v>
      </c>
    </row>
    <row r="71" spans="1:35" s="122" customFormat="1" ht="11.25">
      <c r="A71" s="507" t="s">
        <v>185</v>
      </c>
      <c r="B71" s="366">
        <f>SUM(B68:B70)</f>
        <v>10002</v>
      </c>
      <c r="C71" s="367">
        <f t="shared" si="24"/>
        <v>44.1</v>
      </c>
      <c r="D71" s="368">
        <f>SUM(D68:D70)</f>
        <v>2660684</v>
      </c>
      <c r="E71" s="368">
        <f>SUM(E68:E70)</f>
        <v>2500</v>
      </c>
      <c r="F71" s="368">
        <f>SUM(F68:F70)</f>
        <v>2648530</v>
      </c>
      <c r="G71" s="368">
        <f>SUM(G68:G70)</f>
        <v>2500</v>
      </c>
      <c r="H71" s="369">
        <f t="shared" si="11"/>
        <v>99.5</v>
      </c>
      <c r="I71" s="368">
        <f aca="true" t="shared" si="30" ref="I71:O71">SUM(I68:I70)</f>
        <v>1829212</v>
      </c>
      <c r="J71" s="368">
        <f t="shared" si="30"/>
        <v>132695</v>
      </c>
      <c r="K71" s="368">
        <f t="shared" si="30"/>
        <v>337936</v>
      </c>
      <c r="L71" s="368">
        <f t="shared" si="30"/>
        <v>46398</v>
      </c>
      <c r="M71" s="368">
        <f>SUM(M68:M70)</f>
        <v>34011</v>
      </c>
      <c r="N71" s="368">
        <f>SUM(N68:N70)</f>
        <v>3278</v>
      </c>
      <c r="O71" s="368">
        <f t="shared" si="30"/>
        <v>109945</v>
      </c>
      <c r="P71" s="368">
        <f aca="true" t="shared" si="31" ref="P71:AI71">SUM(P68:P70)</f>
        <v>0</v>
      </c>
      <c r="Q71" s="370">
        <f t="shared" si="31"/>
        <v>0</v>
      </c>
      <c r="R71" s="371">
        <f t="shared" si="31"/>
        <v>0</v>
      </c>
      <c r="S71" s="372">
        <f t="shared" si="31"/>
        <v>0</v>
      </c>
      <c r="T71" s="373">
        <f t="shared" si="31"/>
        <v>0</v>
      </c>
      <c r="U71" s="370">
        <f t="shared" si="31"/>
        <v>0</v>
      </c>
      <c r="V71" s="371">
        <f t="shared" si="31"/>
        <v>0</v>
      </c>
      <c r="W71" s="372">
        <f t="shared" si="31"/>
        <v>0</v>
      </c>
      <c r="X71" s="373">
        <f t="shared" si="31"/>
        <v>0</v>
      </c>
      <c r="Y71" s="370">
        <f t="shared" si="31"/>
        <v>0</v>
      </c>
      <c r="Z71" s="371">
        <f t="shared" si="31"/>
        <v>0</v>
      </c>
      <c r="AA71" s="372">
        <f t="shared" si="31"/>
        <v>0</v>
      </c>
      <c r="AB71" s="373">
        <f t="shared" si="31"/>
        <v>0</v>
      </c>
      <c r="AC71" s="370">
        <f t="shared" si="31"/>
        <v>0</v>
      </c>
      <c r="AD71" s="371">
        <f t="shared" si="31"/>
        <v>0</v>
      </c>
      <c r="AE71" s="372">
        <f t="shared" si="31"/>
        <v>0</v>
      </c>
      <c r="AF71" s="373">
        <f t="shared" si="31"/>
        <v>8020</v>
      </c>
      <c r="AG71" s="370">
        <f t="shared" si="31"/>
        <v>8020</v>
      </c>
      <c r="AH71" s="371">
        <f t="shared" si="31"/>
        <v>0</v>
      </c>
      <c r="AI71" s="368">
        <f t="shared" si="31"/>
        <v>0</v>
      </c>
    </row>
    <row r="72" spans="1:35" s="89" customFormat="1" ht="11.25">
      <c r="A72" s="510" t="s">
        <v>186</v>
      </c>
      <c r="B72" s="356">
        <v>752</v>
      </c>
      <c r="C72" s="357">
        <f t="shared" si="24"/>
        <v>197.2</v>
      </c>
      <c r="D72" s="358">
        <v>895321</v>
      </c>
      <c r="E72" s="359">
        <v>1000</v>
      </c>
      <c r="F72" s="358">
        <v>889687</v>
      </c>
      <c r="G72" s="359">
        <v>1000</v>
      </c>
      <c r="H72" s="361">
        <f t="shared" si="11"/>
        <v>99.4</v>
      </c>
      <c r="I72" s="358">
        <v>597782</v>
      </c>
      <c r="J72" s="358">
        <v>41554</v>
      </c>
      <c r="K72" s="358">
        <v>105708</v>
      </c>
      <c r="L72" s="358">
        <v>15434</v>
      </c>
      <c r="M72" s="358">
        <v>46182</v>
      </c>
      <c r="N72" s="358">
        <v>397</v>
      </c>
      <c r="O72" s="358">
        <v>32529</v>
      </c>
      <c r="P72" s="358">
        <v>3500</v>
      </c>
      <c r="Q72" s="362">
        <v>3497</v>
      </c>
      <c r="R72" s="363">
        <v>0</v>
      </c>
      <c r="S72" s="364">
        <v>0</v>
      </c>
      <c r="T72" s="365">
        <v>0</v>
      </c>
      <c r="U72" s="362">
        <v>0</v>
      </c>
      <c r="V72" s="363">
        <v>0</v>
      </c>
      <c r="W72" s="364">
        <v>0</v>
      </c>
      <c r="X72" s="365">
        <f>2749+751</f>
        <v>3500</v>
      </c>
      <c r="Y72" s="362">
        <v>3500</v>
      </c>
      <c r="Z72" s="376">
        <v>3394</v>
      </c>
      <c r="AA72" s="377">
        <v>3394</v>
      </c>
      <c r="AB72" s="365">
        <v>0</v>
      </c>
      <c r="AC72" s="362">
        <v>0</v>
      </c>
      <c r="AD72" s="363"/>
      <c r="AE72" s="364"/>
      <c r="AF72" s="365">
        <v>2250</v>
      </c>
      <c r="AG72" s="362">
        <v>2250</v>
      </c>
      <c r="AH72" s="363">
        <v>251800</v>
      </c>
      <c r="AI72" s="358">
        <v>197079</v>
      </c>
    </row>
    <row r="73" spans="1:35" s="122" customFormat="1" ht="11.25">
      <c r="A73" s="507" t="s">
        <v>202</v>
      </c>
      <c r="B73" s="366">
        <f>B72</f>
        <v>752</v>
      </c>
      <c r="C73" s="367">
        <f t="shared" si="24"/>
        <v>197.2</v>
      </c>
      <c r="D73" s="368">
        <f>D72</f>
        <v>895321</v>
      </c>
      <c r="E73" s="368">
        <f>E72</f>
        <v>1000</v>
      </c>
      <c r="F73" s="368">
        <f>F72</f>
        <v>889687</v>
      </c>
      <c r="G73" s="368">
        <f>G72</f>
        <v>1000</v>
      </c>
      <c r="H73" s="369">
        <f t="shared" si="11"/>
        <v>99.4</v>
      </c>
      <c r="I73" s="368">
        <f aca="true" t="shared" si="32" ref="I73:O73">I72</f>
        <v>597782</v>
      </c>
      <c r="J73" s="368">
        <f t="shared" si="32"/>
        <v>41554</v>
      </c>
      <c r="K73" s="368">
        <f t="shared" si="32"/>
        <v>105708</v>
      </c>
      <c r="L73" s="368">
        <f t="shared" si="32"/>
        <v>15434</v>
      </c>
      <c r="M73" s="368">
        <f>M72</f>
        <v>46182</v>
      </c>
      <c r="N73" s="368">
        <f>N72</f>
        <v>397</v>
      </c>
      <c r="O73" s="368">
        <f t="shared" si="32"/>
        <v>32529</v>
      </c>
      <c r="P73" s="368">
        <f aca="true" t="shared" si="33" ref="P73:AI73">P72</f>
        <v>3500</v>
      </c>
      <c r="Q73" s="370">
        <f t="shared" si="33"/>
        <v>3497</v>
      </c>
      <c r="R73" s="371">
        <f t="shared" si="33"/>
        <v>0</v>
      </c>
      <c r="S73" s="372">
        <f t="shared" si="33"/>
        <v>0</v>
      </c>
      <c r="T73" s="373">
        <f t="shared" si="33"/>
        <v>0</v>
      </c>
      <c r="U73" s="370">
        <f t="shared" si="33"/>
        <v>0</v>
      </c>
      <c r="V73" s="371">
        <f t="shared" si="33"/>
        <v>0</v>
      </c>
      <c r="W73" s="372">
        <f t="shared" si="33"/>
        <v>0</v>
      </c>
      <c r="X73" s="373">
        <f t="shared" si="33"/>
        <v>3500</v>
      </c>
      <c r="Y73" s="370">
        <f t="shared" si="33"/>
        <v>3500</v>
      </c>
      <c r="Z73" s="371">
        <f t="shared" si="33"/>
        <v>3394</v>
      </c>
      <c r="AA73" s="372">
        <f t="shared" si="33"/>
        <v>3394</v>
      </c>
      <c r="AB73" s="373">
        <f t="shared" si="33"/>
        <v>0</v>
      </c>
      <c r="AC73" s="370">
        <f t="shared" si="33"/>
        <v>0</v>
      </c>
      <c r="AD73" s="371">
        <f t="shared" si="33"/>
        <v>0</v>
      </c>
      <c r="AE73" s="372">
        <f t="shared" si="33"/>
        <v>0</v>
      </c>
      <c r="AF73" s="373">
        <f t="shared" si="33"/>
        <v>2250</v>
      </c>
      <c r="AG73" s="370">
        <f t="shared" si="33"/>
        <v>2250</v>
      </c>
      <c r="AH73" s="371">
        <f t="shared" si="33"/>
        <v>251800</v>
      </c>
      <c r="AI73" s="368">
        <f t="shared" si="33"/>
        <v>197079</v>
      </c>
    </row>
    <row r="74" spans="1:35" s="89" customFormat="1" ht="11.25">
      <c r="A74" s="509" t="s">
        <v>149</v>
      </c>
      <c r="B74" s="356">
        <v>127</v>
      </c>
      <c r="C74" s="357">
        <f t="shared" si="24"/>
        <v>900.7</v>
      </c>
      <c r="D74" s="358">
        <v>689682</v>
      </c>
      <c r="E74" s="359"/>
      <c r="F74" s="358">
        <v>686342</v>
      </c>
      <c r="G74" s="359"/>
      <c r="H74" s="361">
        <f t="shared" si="11"/>
        <v>99.5</v>
      </c>
      <c r="I74" s="358">
        <v>414410</v>
      </c>
      <c r="J74" s="358">
        <v>30342</v>
      </c>
      <c r="K74" s="358">
        <v>78512</v>
      </c>
      <c r="L74" s="358">
        <v>11054</v>
      </c>
      <c r="M74" s="358">
        <v>120742</v>
      </c>
      <c r="N74" s="358">
        <v>0</v>
      </c>
      <c r="O74" s="358">
        <v>20377</v>
      </c>
      <c r="P74" s="358">
        <v>0</v>
      </c>
      <c r="Q74" s="362">
        <v>0</v>
      </c>
      <c r="R74" s="363">
        <v>0</v>
      </c>
      <c r="S74" s="364">
        <v>0</v>
      </c>
      <c r="T74" s="365">
        <v>0</v>
      </c>
      <c r="U74" s="362">
        <v>0</v>
      </c>
      <c r="V74" s="363"/>
      <c r="W74" s="364"/>
      <c r="X74" s="365">
        <v>0</v>
      </c>
      <c r="Y74" s="362">
        <v>0</v>
      </c>
      <c r="Z74" s="363">
        <v>0</v>
      </c>
      <c r="AA74" s="364">
        <v>0</v>
      </c>
      <c r="AB74" s="365">
        <v>0</v>
      </c>
      <c r="AC74" s="362">
        <v>0</v>
      </c>
      <c r="AD74" s="363"/>
      <c r="AE74" s="364"/>
      <c r="AF74" s="365">
        <v>0</v>
      </c>
      <c r="AG74" s="362">
        <v>0</v>
      </c>
      <c r="AH74" s="363">
        <v>0</v>
      </c>
      <c r="AI74" s="358">
        <v>0</v>
      </c>
    </row>
    <row r="75" spans="1:35" s="89" customFormat="1" ht="11.25">
      <c r="A75" s="509" t="s">
        <v>187</v>
      </c>
      <c r="B75" s="356">
        <v>105</v>
      </c>
      <c r="C75" s="357">
        <f t="shared" si="24"/>
        <v>1318.8</v>
      </c>
      <c r="D75" s="358">
        <v>836005</v>
      </c>
      <c r="E75" s="359"/>
      <c r="F75" s="358">
        <v>830858</v>
      </c>
      <c r="G75" s="359"/>
      <c r="H75" s="361">
        <f t="shared" si="11"/>
        <v>99.4</v>
      </c>
      <c r="I75" s="358">
        <v>452029</v>
      </c>
      <c r="J75" s="358">
        <v>34379</v>
      </c>
      <c r="K75" s="358">
        <v>78178</v>
      </c>
      <c r="L75" s="358">
        <v>10676</v>
      </c>
      <c r="M75" s="358">
        <v>105652</v>
      </c>
      <c r="N75" s="358">
        <v>65634</v>
      </c>
      <c r="O75" s="358">
        <v>20591</v>
      </c>
      <c r="P75" s="358">
        <v>0</v>
      </c>
      <c r="Q75" s="362">
        <v>0</v>
      </c>
      <c r="R75" s="363">
        <v>0</v>
      </c>
      <c r="S75" s="364">
        <v>0</v>
      </c>
      <c r="T75" s="365">
        <v>0</v>
      </c>
      <c r="U75" s="362">
        <v>0</v>
      </c>
      <c r="V75" s="363">
        <v>0</v>
      </c>
      <c r="W75" s="364">
        <v>0</v>
      </c>
      <c r="X75" s="365">
        <v>0</v>
      </c>
      <c r="Y75" s="362">
        <v>0</v>
      </c>
      <c r="Z75" s="363">
        <v>0</v>
      </c>
      <c r="AA75" s="364">
        <v>0</v>
      </c>
      <c r="AB75" s="365">
        <v>0</v>
      </c>
      <c r="AC75" s="362">
        <v>0</v>
      </c>
      <c r="AD75" s="363">
        <v>0</v>
      </c>
      <c r="AE75" s="364">
        <v>0</v>
      </c>
      <c r="AF75" s="365">
        <v>0</v>
      </c>
      <c r="AG75" s="362">
        <v>0</v>
      </c>
      <c r="AH75" s="363">
        <v>0</v>
      </c>
      <c r="AI75" s="358">
        <v>0</v>
      </c>
    </row>
    <row r="76" spans="1:35" s="89" customFormat="1" ht="11.25">
      <c r="A76" s="509" t="s">
        <v>188</v>
      </c>
      <c r="B76" s="356">
        <v>15</v>
      </c>
      <c r="C76" s="357">
        <f t="shared" si="24"/>
        <v>2045.7</v>
      </c>
      <c r="D76" s="358">
        <v>184280</v>
      </c>
      <c r="E76" s="359">
        <v>0</v>
      </c>
      <c r="F76" s="358">
        <v>184116</v>
      </c>
      <c r="G76" s="359">
        <v>0</v>
      </c>
      <c r="H76" s="361">
        <f t="shared" si="11"/>
        <v>99.9</v>
      </c>
      <c r="I76" s="358">
        <v>112884</v>
      </c>
      <c r="J76" s="358">
        <v>0</v>
      </c>
      <c r="K76" s="358">
        <v>15564</v>
      </c>
      <c r="L76" s="358">
        <v>2062</v>
      </c>
      <c r="M76" s="358">
        <v>33000</v>
      </c>
      <c r="N76" s="358">
        <v>1648</v>
      </c>
      <c r="O76" s="358">
        <v>0</v>
      </c>
      <c r="P76" s="358">
        <v>0</v>
      </c>
      <c r="Q76" s="362">
        <v>0</v>
      </c>
      <c r="R76" s="363">
        <v>0</v>
      </c>
      <c r="S76" s="364">
        <v>0</v>
      </c>
      <c r="T76" s="365">
        <v>0</v>
      </c>
      <c r="U76" s="362">
        <v>0</v>
      </c>
      <c r="V76" s="363">
        <v>0</v>
      </c>
      <c r="W76" s="364">
        <v>0</v>
      </c>
      <c r="X76" s="365">
        <v>0</v>
      </c>
      <c r="Y76" s="362">
        <v>0</v>
      </c>
      <c r="Z76" s="363">
        <v>0</v>
      </c>
      <c r="AA76" s="364">
        <v>0</v>
      </c>
      <c r="AB76" s="365">
        <v>0</v>
      </c>
      <c r="AC76" s="362">
        <v>0</v>
      </c>
      <c r="AD76" s="363">
        <v>0</v>
      </c>
      <c r="AE76" s="364">
        <v>0</v>
      </c>
      <c r="AF76" s="365">
        <v>0</v>
      </c>
      <c r="AG76" s="362">
        <v>0</v>
      </c>
      <c r="AH76" s="363">
        <v>0</v>
      </c>
      <c r="AI76" s="358">
        <v>0</v>
      </c>
    </row>
    <row r="77" spans="1:35" s="89" customFormat="1" ht="11.25">
      <c r="A77" s="509" t="s">
        <v>189</v>
      </c>
      <c r="B77" s="356">
        <v>110</v>
      </c>
      <c r="C77" s="357">
        <f t="shared" si="24"/>
        <v>927.7</v>
      </c>
      <c r="D77" s="358">
        <v>612255</v>
      </c>
      <c r="E77" s="359"/>
      <c r="F77" s="358">
        <v>612252</v>
      </c>
      <c r="G77" s="359"/>
      <c r="H77" s="361">
        <f t="shared" si="11"/>
        <v>100</v>
      </c>
      <c r="I77" s="358">
        <v>334427</v>
      </c>
      <c r="J77" s="358">
        <v>41384</v>
      </c>
      <c r="K77" s="358">
        <v>70557</v>
      </c>
      <c r="L77" s="358">
        <v>9621</v>
      </c>
      <c r="M77" s="358">
        <v>107778</v>
      </c>
      <c r="N77" s="358">
        <v>8240</v>
      </c>
      <c r="O77" s="358">
        <v>27029</v>
      </c>
      <c r="P77" s="358">
        <v>0</v>
      </c>
      <c r="Q77" s="362">
        <v>0</v>
      </c>
      <c r="R77" s="363">
        <v>0</v>
      </c>
      <c r="S77" s="364">
        <v>0</v>
      </c>
      <c r="T77" s="365">
        <v>0</v>
      </c>
      <c r="U77" s="362">
        <v>0</v>
      </c>
      <c r="V77" s="363"/>
      <c r="W77" s="364"/>
      <c r="X77" s="365">
        <v>0</v>
      </c>
      <c r="Y77" s="362">
        <v>0</v>
      </c>
      <c r="Z77" s="363">
        <v>0</v>
      </c>
      <c r="AA77" s="364">
        <v>0</v>
      </c>
      <c r="AB77" s="365">
        <v>0</v>
      </c>
      <c r="AC77" s="362">
        <v>0</v>
      </c>
      <c r="AD77" s="363"/>
      <c r="AE77" s="364">
        <v>0</v>
      </c>
      <c r="AF77" s="365">
        <v>0</v>
      </c>
      <c r="AG77" s="362">
        <v>0</v>
      </c>
      <c r="AH77" s="363">
        <v>0</v>
      </c>
      <c r="AI77" s="358">
        <v>0</v>
      </c>
    </row>
    <row r="78" spans="1:35" s="122" customFormat="1" ht="11.25">
      <c r="A78" s="507" t="s">
        <v>190</v>
      </c>
      <c r="B78" s="366">
        <f aca="true" t="shared" si="34" ref="B78:G78">SUM(B74:B77)</f>
        <v>357</v>
      </c>
      <c r="C78" s="367">
        <f t="shared" si="34"/>
        <v>5192.9</v>
      </c>
      <c r="D78" s="368">
        <f t="shared" si="34"/>
        <v>2322222</v>
      </c>
      <c r="E78" s="368">
        <f t="shared" si="34"/>
        <v>0</v>
      </c>
      <c r="F78" s="368">
        <f t="shared" si="34"/>
        <v>2313568</v>
      </c>
      <c r="G78" s="368">
        <f t="shared" si="34"/>
        <v>0</v>
      </c>
      <c r="H78" s="369">
        <f t="shared" si="11"/>
        <v>99.6</v>
      </c>
      <c r="I78" s="368">
        <f aca="true" t="shared" si="35" ref="I78:O78">SUM(I74:I77)</f>
        <v>1313750</v>
      </c>
      <c r="J78" s="368">
        <f t="shared" si="35"/>
        <v>106105</v>
      </c>
      <c r="K78" s="368">
        <f t="shared" si="35"/>
        <v>242811</v>
      </c>
      <c r="L78" s="368">
        <f t="shared" si="35"/>
        <v>33413</v>
      </c>
      <c r="M78" s="368">
        <f>SUM(M74:M77)</f>
        <v>367172</v>
      </c>
      <c r="N78" s="368">
        <f>SUM(N74:N77)</f>
        <v>75522</v>
      </c>
      <c r="O78" s="368">
        <f t="shared" si="35"/>
        <v>67997</v>
      </c>
      <c r="P78" s="368">
        <f aca="true" t="shared" si="36" ref="P78:AI78">SUM(P74:P77)</f>
        <v>0</v>
      </c>
      <c r="Q78" s="370">
        <f t="shared" si="36"/>
        <v>0</v>
      </c>
      <c r="R78" s="371">
        <f t="shared" si="36"/>
        <v>0</v>
      </c>
      <c r="S78" s="372">
        <f t="shared" si="36"/>
        <v>0</v>
      </c>
      <c r="T78" s="373">
        <f t="shared" si="36"/>
        <v>0</v>
      </c>
      <c r="U78" s="370">
        <f t="shared" si="36"/>
        <v>0</v>
      </c>
      <c r="V78" s="371">
        <f t="shared" si="36"/>
        <v>0</v>
      </c>
      <c r="W78" s="372">
        <f t="shared" si="36"/>
        <v>0</v>
      </c>
      <c r="X78" s="373">
        <f t="shared" si="36"/>
        <v>0</v>
      </c>
      <c r="Y78" s="370">
        <f t="shared" si="36"/>
        <v>0</v>
      </c>
      <c r="Z78" s="371">
        <f t="shared" si="36"/>
        <v>0</v>
      </c>
      <c r="AA78" s="372">
        <f t="shared" si="36"/>
        <v>0</v>
      </c>
      <c r="AB78" s="373">
        <f t="shared" si="36"/>
        <v>0</v>
      </c>
      <c r="AC78" s="370">
        <f t="shared" si="36"/>
        <v>0</v>
      </c>
      <c r="AD78" s="371">
        <f t="shared" si="36"/>
        <v>0</v>
      </c>
      <c r="AE78" s="372">
        <f t="shared" si="36"/>
        <v>0</v>
      </c>
      <c r="AF78" s="373">
        <f t="shared" si="36"/>
        <v>0</v>
      </c>
      <c r="AG78" s="370">
        <f t="shared" si="36"/>
        <v>0</v>
      </c>
      <c r="AH78" s="371">
        <f t="shared" si="36"/>
        <v>0</v>
      </c>
      <c r="AI78" s="368">
        <f t="shared" si="36"/>
        <v>0</v>
      </c>
    </row>
    <row r="79" spans="1:35" s="122" customFormat="1" ht="21">
      <c r="A79" s="511" t="s">
        <v>191</v>
      </c>
      <c r="B79" s="366"/>
      <c r="C79" s="367"/>
      <c r="D79" s="368">
        <v>313784</v>
      </c>
      <c r="E79" s="368">
        <v>0</v>
      </c>
      <c r="F79" s="368">
        <v>308978</v>
      </c>
      <c r="G79" s="368">
        <v>0</v>
      </c>
      <c r="H79" s="369">
        <f t="shared" si="11"/>
        <v>98.5</v>
      </c>
      <c r="I79" s="368">
        <v>231356</v>
      </c>
      <c r="J79" s="368">
        <v>18098</v>
      </c>
      <c r="K79" s="368">
        <v>44084</v>
      </c>
      <c r="L79" s="368">
        <v>6004</v>
      </c>
      <c r="M79" s="368">
        <v>0</v>
      </c>
      <c r="N79" s="368">
        <v>0</v>
      </c>
      <c r="O79" s="368">
        <v>9025</v>
      </c>
      <c r="P79" s="368">
        <v>0</v>
      </c>
      <c r="Q79" s="370">
        <v>0</v>
      </c>
      <c r="R79" s="371">
        <v>0</v>
      </c>
      <c r="S79" s="372">
        <v>0</v>
      </c>
      <c r="T79" s="373">
        <v>0</v>
      </c>
      <c r="U79" s="370">
        <v>0</v>
      </c>
      <c r="V79" s="371">
        <v>0</v>
      </c>
      <c r="W79" s="372">
        <v>0</v>
      </c>
      <c r="X79" s="373">
        <v>0</v>
      </c>
      <c r="Y79" s="370">
        <v>0</v>
      </c>
      <c r="Z79" s="371">
        <v>0</v>
      </c>
      <c r="AA79" s="372">
        <v>0</v>
      </c>
      <c r="AB79" s="373">
        <v>0</v>
      </c>
      <c r="AC79" s="370">
        <v>0</v>
      </c>
      <c r="AD79" s="371">
        <v>0</v>
      </c>
      <c r="AE79" s="372">
        <v>0</v>
      </c>
      <c r="AF79" s="373">
        <v>0</v>
      </c>
      <c r="AG79" s="370">
        <v>0</v>
      </c>
      <c r="AH79" s="371">
        <v>0</v>
      </c>
      <c r="AI79" s="368">
        <v>0</v>
      </c>
    </row>
    <row r="80" spans="1:41" s="122" customFormat="1" ht="11.25">
      <c r="A80" s="507" t="s">
        <v>130</v>
      </c>
      <c r="B80" s="366">
        <f aca="true" t="shared" si="37" ref="B80:G80">B10+B16+B31+B41+B43+B55+B57+B60+B64+B67+B71+B73+B78+B62+B79+B33</f>
        <v>25934</v>
      </c>
      <c r="C80" s="367">
        <f t="shared" si="37"/>
        <v>31707.8</v>
      </c>
      <c r="D80" s="392">
        <f t="shared" si="37"/>
        <v>74425908</v>
      </c>
      <c r="E80" s="392">
        <f t="shared" si="37"/>
        <v>50800</v>
      </c>
      <c r="F80" s="392">
        <f t="shared" si="37"/>
        <v>73924565</v>
      </c>
      <c r="G80" s="392">
        <f t="shared" si="37"/>
        <v>52122</v>
      </c>
      <c r="H80" s="369">
        <f t="shared" si="11"/>
        <v>99.3</v>
      </c>
      <c r="I80" s="392">
        <f aca="true" t="shared" si="38" ref="I80:AI80">I10+I16+I31+I41+I43+I55+I57+I60+I64+I67+I71+I73+I78+I62+I79+I33</f>
        <v>49920683</v>
      </c>
      <c r="J80" s="392">
        <f t="shared" si="38"/>
        <v>3750306</v>
      </c>
      <c r="K80" s="392">
        <f t="shared" si="38"/>
        <v>9270632</v>
      </c>
      <c r="L80" s="392">
        <f t="shared" si="38"/>
        <v>1267300</v>
      </c>
      <c r="M80" s="392">
        <f t="shared" si="38"/>
        <v>3545806</v>
      </c>
      <c r="N80" s="392">
        <f t="shared" si="38"/>
        <v>736433</v>
      </c>
      <c r="O80" s="392">
        <f t="shared" si="38"/>
        <v>2992555</v>
      </c>
      <c r="P80" s="392">
        <f t="shared" si="38"/>
        <v>89210</v>
      </c>
      <c r="Q80" s="393">
        <f t="shared" si="38"/>
        <v>88384</v>
      </c>
      <c r="R80" s="394">
        <f t="shared" si="38"/>
        <v>131854</v>
      </c>
      <c r="S80" s="395">
        <f t="shared" si="38"/>
        <v>130211</v>
      </c>
      <c r="T80" s="396">
        <f t="shared" si="38"/>
        <v>873419</v>
      </c>
      <c r="U80" s="393">
        <f t="shared" si="38"/>
        <v>41333</v>
      </c>
      <c r="V80" s="394">
        <f t="shared" si="38"/>
        <v>144334</v>
      </c>
      <c r="W80" s="395">
        <f t="shared" si="38"/>
        <v>117361</v>
      </c>
      <c r="X80" s="396">
        <f t="shared" si="38"/>
        <v>306721</v>
      </c>
      <c r="Y80" s="393">
        <f t="shared" si="38"/>
        <v>258600</v>
      </c>
      <c r="Z80" s="394">
        <f t="shared" si="38"/>
        <v>47020</v>
      </c>
      <c r="AA80" s="395">
        <f t="shared" si="38"/>
        <v>46971</v>
      </c>
      <c r="AB80" s="396">
        <f t="shared" si="38"/>
        <v>81980</v>
      </c>
      <c r="AC80" s="393">
        <f t="shared" si="38"/>
        <v>74427</v>
      </c>
      <c r="AD80" s="394">
        <f t="shared" si="38"/>
        <v>1660</v>
      </c>
      <c r="AE80" s="395">
        <f t="shared" si="38"/>
        <v>1652</v>
      </c>
      <c r="AF80" s="396">
        <f t="shared" si="38"/>
        <v>14980</v>
      </c>
      <c r="AG80" s="393">
        <f t="shared" si="38"/>
        <v>14555</v>
      </c>
      <c r="AH80" s="394">
        <f t="shared" si="38"/>
        <v>251800</v>
      </c>
      <c r="AI80" s="392">
        <f t="shared" si="38"/>
        <v>197079</v>
      </c>
      <c r="AJ80" s="397"/>
      <c r="AK80" s="397"/>
      <c r="AL80" s="397"/>
      <c r="AM80" s="397"/>
      <c r="AN80" s="397"/>
      <c r="AO80" s="397"/>
    </row>
    <row r="81" spans="1:35" ht="12">
      <c r="A81" s="290"/>
      <c r="D81" s="13"/>
      <c r="E81" s="288"/>
      <c r="F81" s="13"/>
      <c r="G81" s="288"/>
      <c r="H81" s="304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ht="12">
      <c r="A82" s="290"/>
      <c r="D82" s="13"/>
      <c r="F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ht="12">
      <c r="A83" s="290"/>
      <c r="D83" s="13"/>
      <c r="F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ht="12">
      <c r="A84" s="290"/>
      <c r="D84" s="13"/>
      <c r="F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ht="12">
      <c r="A85" s="290"/>
      <c r="D85" s="13"/>
      <c r="F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ht="12">
      <c r="A86" s="290"/>
      <c r="D86" s="13"/>
      <c r="F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ht="12">
      <c r="A87" s="29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ht="12">
      <c r="A88" s="290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ht="12">
      <c r="A89" s="29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ht="12">
      <c r="A90" s="29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ht="12">
      <c r="A91" s="29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15" ht="12">
      <c r="A92" s="290"/>
      <c r="I92" s="13"/>
      <c r="J92" s="13"/>
      <c r="K92" s="13"/>
      <c r="L92" s="13"/>
      <c r="M92" s="13"/>
      <c r="N92" s="13"/>
      <c r="O92" s="13"/>
    </row>
    <row r="93" spans="1:15" ht="12">
      <c r="A93" s="290"/>
      <c r="I93" s="13"/>
      <c r="J93" s="13"/>
      <c r="K93" s="13"/>
      <c r="L93" s="13"/>
      <c r="M93" s="13"/>
      <c r="N93" s="13"/>
      <c r="O93" s="13"/>
    </row>
    <row r="94" spans="1:15" ht="12">
      <c r="A94" s="290"/>
      <c r="I94" s="13"/>
      <c r="J94" s="13"/>
      <c r="K94" s="13"/>
      <c r="L94" s="13"/>
      <c r="M94" s="13"/>
      <c r="N94" s="13"/>
      <c r="O94" s="13"/>
    </row>
    <row r="95" spans="1:15" ht="12">
      <c r="A95" s="290"/>
      <c r="I95" s="13"/>
      <c r="J95" s="13"/>
      <c r="K95" s="13"/>
      <c r="L95" s="13"/>
      <c r="M95" s="13"/>
      <c r="N95" s="13"/>
      <c r="O95" s="13"/>
    </row>
    <row r="96" spans="1:15" ht="12">
      <c r="A96" s="290"/>
      <c r="I96" s="13"/>
      <c r="J96" s="13"/>
      <c r="K96" s="13"/>
      <c r="L96" s="13"/>
      <c r="M96" s="13"/>
      <c r="N96" s="13"/>
      <c r="O96" s="13"/>
    </row>
    <row r="97" spans="1:15" ht="12">
      <c r="A97" s="290"/>
      <c r="I97" s="13"/>
      <c r="J97" s="13"/>
      <c r="K97" s="13"/>
      <c r="L97" s="13"/>
      <c r="M97" s="13"/>
      <c r="N97" s="13"/>
      <c r="O97" s="13"/>
    </row>
    <row r="98" spans="1:15" ht="12">
      <c r="A98" s="290"/>
      <c r="I98" s="13"/>
      <c r="J98" s="13"/>
      <c r="K98" s="13"/>
      <c r="L98" s="13"/>
      <c r="M98" s="13"/>
      <c r="N98" s="13"/>
      <c r="O98" s="13"/>
    </row>
    <row r="99" spans="1:15" ht="12">
      <c r="A99" s="290"/>
      <c r="I99" s="13"/>
      <c r="J99" s="13"/>
      <c r="K99" s="13"/>
      <c r="L99" s="13"/>
      <c r="M99" s="13"/>
      <c r="N99" s="13"/>
      <c r="O99" s="13"/>
    </row>
    <row r="100" spans="1:15" ht="12">
      <c r="A100" s="290"/>
      <c r="I100" s="13"/>
      <c r="J100" s="13"/>
      <c r="K100" s="13"/>
      <c r="L100" s="13"/>
      <c r="M100" s="13"/>
      <c r="N100" s="13"/>
      <c r="O100" s="13"/>
    </row>
    <row r="101" spans="1:15" ht="12">
      <c r="A101" s="290"/>
      <c r="I101" s="13"/>
      <c r="J101" s="13"/>
      <c r="K101" s="13"/>
      <c r="L101" s="13"/>
      <c r="M101" s="13"/>
      <c r="N101" s="13"/>
      <c r="O101" s="13"/>
    </row>
    <row r="102" spans="9:15" ht="12">
      <c r="I102" s="13"/>
      <c r="J102" s="13"/>
      <c r="K102" s="13"/>
      <c r="L102" s="13"/>
      <c r="M102" s="13"/>
      <c r="N102" s="13"/>
      <c r="O102" s="13"/>
    </row>
    <row r="103" spans="9:15" ht="12">
      <c r="I103" s="13"/>
      <c r="J103" s="13"/>
      <c r="K103" s="13"/>
      <c r="L103" s="13"/>
      <c r="M103" s="13"/>
      <c r="N103" s="13"/>
      <c r="O103" s="13"/>
    </row>
    <row r="104" spans="9:15" ht="12">
      <c r="I104" s="13"/>
      <c r="J104" s="13"/>
      <c r="K104" s="13"/>
      <c r="L104" s="13"/>
      <c r="M104" s="13"/>
      <c r="N104" s="13"/>
      <c r="O104" s="13"/>
    </row>
    <row r="105" spans="9:15" ht="12">
      <c r="I105" s="13"/>
      <c r="J105" s="13"/>
      <c r="K105" s="13"/>
      <c r="L105" s="13"/>
      <c r="M105" s="13"/>
      <c r="N105" s="13"/>
      <c r="O105" s="13"/>
    </row>
    <row r="106" spans="9:15" ht="12">
      <c r="I106" s="13"/>
      <c r="J106" s="13"/>
      <c r="K106" s="13"/>
      <c r="L106" s="13"/>
      <c r="M106" s="13"/>
      <c r="N106" s="13"/>
      <c r="O106" s="13"/>
    </row>
    <row r="107" spans="9:15" ht="12">
      <c r="I107" s="13"/>
      <c r="J107" s="13"/>
      <c r="K107" s="13"/>
      <c r="L107" s="13"/>
      <c r="M107" s="13"/>
      <c r="N107" s="13"/>
      <c r="O107" s="13"/>
    </row>
    <row r="108" spans="9:15" ht="12">
      <c r="I108" s="13"/>
      <c r="J108" s="13"/>
      <c r="K108" s="13"/>
      <c r="L108" s="13"/>
      <c r="M108" s="13"/>
      <c r="N108" s="13"/>
      <c r="O108" s="13"/>
    </row>
    <row r="109" spans="9:15" ht="12">
      <c r="I109" s="13"/>
      <c r="J109" s="13"/>
      <c r="K109" s="13"/>
      <c r="L109" s="13"/>
      <c r="M109" s="13"/>
      <c r="N109" s="13"/>
      <c r="O109" s="13"/>
    </row>
    <row r="110" spans="9:15" ht="12">
      <c r="I110" s="13"/>
      <c r="J110" s="13"/>
      <c r="K110" s="13"/>
      <c r="L110" s="13"/>
      <c r="M110" s="13"/>
      <c r="N110" s="13"/>
      <c r="O110" s="13"/>
    </row>
    <row r="111" spans="9:15" ht="12">
      <c r="I111" s="13"/>
      <c r="J111" s="13"/>
      <c r="K111" s="13"/>
      <c r="L111" s="13"/>
      <c r="M111" s="13"/>
      <c r="N111" s="13"/>
      <c r="O111" s="13"/>
    </row>
    <row r="112" spans="9:15" ht="12">
      <c r="I112" s="13"/>
      <c r="J112" s="13"/>
      <c r="K112" s="13"/>
      <c r="L112" s="13"/>
      <c r="M112" s="13"/>
      <c r="N112" s="13"/>
      <c r="O112" s="13"/>
    </row>
    <row r="113" spans="9:15" ht="12">
      <c r="I113" s="13"/>
      <c r="J113" s="13"/>
      <c r="K113" s="13"/>
      <c r="L113" s="13"/>
      <c r="M113" s="13"/>
      <c r="N113" s="13"/>
      <c r="O113" s="13"/>
    </row>
    <row r="114" spans="9:15" ht="12">
      <c r="I114" s="13"/>
      <c r="J114" s="13"/>
      <c r="K114" s="13"/>
      <c r="L114" s="13"/>
      <c r="M114" s="13"/>
      <c r="N114" s="13"/>
      <c r="O114" s="13"/>
    </row>
    <row r="115" spans="9:15" ht="12">
      <c r="I115" s="13"/>
      <c r="J115" s="13"/>
      <c r="K115" s="13"/>
      <c r="L115" s="13"/>
      <c r="M115" s="13"/>
      <c r="N115" s="13"/>
      <c r="O115" s="13"/>
    </row>
    <row r="116" spans="9:15" ht="12">
      <c r="I116" s="13"/>
      <c r="J116" s="13"/>
      <c r="K116" s="13"/>
      <c r="L116" s="13"/>
      <c r="M116" s="13"/>
      <c r="N116" s="13"/>
      <c r="O116" s="13"/>
    </row>
    <row r="117" spans="9:15" ht="12">
      <c r="I117" s="13"/>
      <c r="J117" s="13"/>
      <c r="K117" s="13"/>
      <c r="L117" s="13"/>
      <c r="M117" s="13"/>
      <c r="N117" s="13"/>
      <c r="O117" s="13"/>
    </row>
  </sheetData>
  <mergeCells count="19"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X4:Y4"/>
    <mergeCell ref="T4:U4"/>
    <mergeCell ref="P4:Q4"/>
    <mergeCell ref="R4:S4"/>
    <mergeCell ref="V4:W4"/>
    <mergeCell ref="AF4:AG4"/>
    <mergeCell ref="AH4:AI4"/>
    <mergeCell ref="AB4:AC4"/>
    <mergeCell ref="Z4:AA4"/>
    <mergeCell ref="AD4:AE4"/>
  </mergeCells>
  <printOptions/>
  <pageMargins left="0.54" right="0.45" top="0.74" bottom="0.54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51"/>
  <sheetViews>
    <sheetView showZeros="0" workbookViewId="0" topLeftCell="A1">
      <pane xSplit="2" ySplit="5" topLeftCell="M45" activePane="bottomRight" state="frozen"/>
      <selection pane="topLeft" activeCell="T44" sqref="T44"/>
      <selection pane="topRight" activeCell="T44" sqref="T44"/>
      <selection pane="bottomLeft" activeCell="T44" sqref="T44"/>
      <selection pane="bottomRight" activeCell="AA51" sqref="AA51"/>
    </sheetView>
  </sheetViews>
  <sheetFormatPr defaultColWidth="9.00390625" defaultRowHeight="12.75"/>
  <cols>
    <col min="1" max="1" width="11.00390625" style="89" customWidth="1"/>
    <col min="2" max="2" width="7.875" style="89" customWidth="1"/>
    <col min="3" max="3" width="7.125" style="89" customWidth="1"/>
    <col min="4" max="4" width="5.875" style="89" customWidth="1"/>
    <col min="5" max="5" width="6.875" style="89" customWidth="1"/>
    <col min="6" max="6" width="6.375" style="89" customWidth="1"/>
    <col min="7" max="7" width="5.625" style="89" customWidth="1"/>
    <col min="8" max="9" width="4.625" style="89" customWidth="1"/>
    <col min="10" max="10" width="5.125" style="89" customWidth="1"/>
    <col min="11" max="11" width="6.25390625" style="89" customWidth="1"/>
    <col min="12" max="12" width="7.00390625" style="89" customWidth="1"/>
    <col min="13" max="13" width="5.25390625" style="89" customWidth="1"/>
    <col min="14" max="14" width="4.875" style="89" customWidth="1"/>
    <col min="15" max="15" width="5.875" style="89" customWidth="1"/>
    <col min="16" max="16" width="5.625" style="89" customWidth="1"/>
    <col min="17" max="17" width="5.00390625" style="89" hidden="1" customWidth="1"/>
    <col min="18" max="18" width="7.75390625" style="89" hidden="1" customWidth="1"/>
    <col min="19" max="19" width="5.75390625" style="89" hidden="1" customWidth="1"/>
    <col min="20" max="20" width="5.875" style="89" hidden="1" customWidth="1"/>
    <col min="21" max="21" width="5.00390625" style="89" hidden="1" customWidth="1"/>
    <col min="22" max="22" width="5.375" style="89" hidden="1" customWidth="1"/>
    <col min="23" max="23" width="6.00390625" style="89" hidden="1" customWidth="1"/>
    <col min="24" max="24" width="5.875" style="89" hidden="1" customWidth="1"/>
    <col min="25" max="25" width="5.00390625" style="89" customWidth="1"/>
    <col min="26" max="26" width="5.25390625" style="89" customWidth="1"/>
    <col min="27" max="27" width="6.00390625" style="89" customWidth="1"/>
    <col min="28" max="28" width="5.25390625" style="89" customWidth="1"/>
    <col min="29" max="29" width="6.75390625" style="89" customWidth="1"/>
    <col min="30" max="30" width="6.125" style="89" customWidth="1"/>
    <col min="31" max="31" width="5.875" style="89" customWidth="1"/>
    <col min="32" max="32" width="6.00390625" style="89" customWidth="1"/>
    <col min="33" max="34" width="5.125" style="89" customWidth="1"/>
    <col min="35" max="35" width="5.00390625" style="89" customWidth="1"/>
    <col min="36" max="36" width="4.875" style="89" customWidth="1"/>
    <col min="37" max="37" width="4.125" style="89" customWidth="1"/>
    <col min="38" max="38" width="4.25390625" style="89" customWidth="1"/>
    <col min="39" max="39" width="10.25390625" style="89" customWidth="1"/>
    <col min="40" max="40" width="7.25390625" style="89" customWidth="1"/>
    <col min="41" max="41" width="9.625" style="89" customWidth="1"/>
    <col min="42" max="16384" width="9.125" style="89" customWidth="1"/>
  </cols>
  <sheetData>
    <row r="1" ht="12.75">
      <c r="AI1" s="310" t="s">
        <v>277</v>
      </c>
    </row>
    <row r="2" spans="1:64" ht="16.5">
      <c r="A2" s="630" t="s">
        <v>294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36" ht="5.25" customHeight="1">
      <c r="A3" s="90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41" s="1" customFormat="1" ht="21" customHeight="1">
      <c r="A4" s="687" t="s">
        <v>124</v>
      </c>
      <c r="B4" s="91" t="s">
        <v>45</v>
      </c>
      <c r="C4" s="684" t="s">
        <v>74</v>
      </c>
      <c r="D4" s="685"/>
      <c r="E4" s="685"/>
      <c r="F4" s="686"/>
      <c r="G4" s="299" t="s">
        <v>75</v>
      </c>
      <c r="H4" s="300"/>
      <c r="I4" s="300"/>
      <c r="J4" s="301"/>
      <c r="K4" s="684" t="s">
        <v>121</v>
      </c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6"/>
      <c r="AA4" s="689" t="s">
        <v>120</v>
      </c>
      <c r="AB4" s="690"/>
      <c r="AC4" s="160" t="s">
        <v>122</v>
      </c>
      <c r="AD4" s="684" t="s">
        <v>123</v>
      </c>
      <c r="AE4" s="685"/>
      <c r="AF4" s="685"/>
      <c r="AG4" s="685"/>
      <c r="AH4" s="685"/>
      <c r="AI4" s="686"/>
      <c r="AJ4" s="9"/>
      <c r="AK4" s="3"/>
      <c r="AL4" s="3"/>
      <c r="AM4" s="5"/>
      <c r="AN4" s="5"/>
      <c r="AO4" s="5"/>
    </row>
    <row r="5" spans="1:41" s="109" customFormat="1" ht="22.5">
      <c r="A5" s="688"/>
      <c r="B5" s="94" t="s">
        <v>66</v>
      </c>
      <c r="C5" s="95" t="s">
        <v>70</v>
      </c>
      <c r="D5" s="96" t="s">
        <v>72</v>
      </c>
      <c r="E5" s="96" t="s">
        <v>71</v>
      </c>
      <c r="F5" s="97" t="s">
        <v>73</v>
      </c>
      <c r="G5" s="95" t="s">
        <v>2</v>
      </c>
      <c r="H5" s="96" t="s">
        <v>72</v>
      </c>
      <c r="I5" s="96" t="s">
        <v>76</v>
      </c>
      <c r="J5" s="97" t="s">
        <v>73</v>
      </c>
      <c r="K5" s="98" t="s">
        <v>77</v>
      </c>
      <c r="L5" s="99" t="s">
        <v>78</v>
      </c>
      <c r="M5" s="96" t="s">
        <v>91</v>
      </c>
      <c r="N5" s="96" t="s">
        <v>79</v>
      </c>
      <c r="O5" s="96" t="s">
        <v>80</v>
      </c>
      <c r="P5" s="97" t="s">
        <v>81</v>
      </c>
      <c r="Q5" s="100" t="s">
        <v>92</v>
      </c>
      <c r="R5" s="101" t="s">
        <v>93</v>
      </c>
      <c r="S5" s="101" t="s">
        <v>94</v>
      </c>
      <c r="T5" s="101" t="s">
        <v>95</v>
      </c>
      <c r="U5" s="102" t="s">
        <v>96</v>
      </c>
      <c r="V5" s="102" t="s">
        <v>97</v>
      </c>
      <c r="W5" s="102" t="s">
        <v>98</v>
      </c>
      <c r="X5" s="102" t="s">
        <v>99</v>
      </c>
      <c r="Y5" s="97" t="s">
        <v>82</v>
      </c>
      <c r="Z5" s="103" t="s">
        <v>83</v>
      </c>
      <c r="AA5" s="104" t="s">
        <v>119</v>
      </c>
      <c r="AB5" s="105" t="s">
        <v>84</v>
      </c>
      <c r="AC5" s="103" t="s">
        <v>85</v>
      </c>
      <c r="AD5" s="106" t="s">
        <v>2</v>
      </c>
      <c r="AE5" s="96" t="s">
        <v>100</v>
      </c>
      <c r="AF5" s="96" t="s">
        <v>86</v>
      </c>
      <c r="AG5" s="96" t="s">
        <v>106</v>
      </c>
      <c r="AH5" s="96" t="s">
        <v>87</v>
      </c>
      <c r="AI5" s="97" t="s">
        <v>107</v>
      </c>
      <c r="AJ5" s="107"/>
      <c r="AK5" s="108"/>
      <c r="AL5" s="108"/>
      <c r="AM5" s="108"/>
      <c r="AN5" s="108"/>
      <c r="AO5" s="108"/>
    </row>
    <row r="6" spans="1:41" ht="11.25">
      <c r="A6" s="110" t="s">
        <v>4</v>
      </c>
      <c r="B6" s="111">
        <v>1</v>
      </c>
      <c r="C6" s="112">
        <f>D6+E6+F6</f>
        <v>791</v>
      </c>
      <c r="D6" s="113">
        <v>0</v>
      </c>
      <c r="E6" s="113">
        <v>87</v>
      </c>
      <c r="F6" s="114">
        <v>704</v>
      </c>
      <c r="G6" s="112">
        <f>H6+I6+J6</f>
        <v>29</v>
      </c>
      <c r="H6" s="113">
        <v>0</v>
      </c>
      <c r="I6" s="113">
        <v>4</v>
      </c>
      <c r="J6" s="114">
        <v>25</v>
      </c>
      <c r="K6" s="115">
        <f>L6+Y6+Z6</f>
        <v>87.5</v>
      </c>
      <c r="L6" s="116">
        <f>SUM(M6:P6)</f>
        <v>64.1</v>
      </c>
      <c r="M6" s="113">
        <f>SUM(Q6,U6)</f>
        <v>4.3</v>
      </c>
      <c r="N6" s="113">
        <f>SUM(R6,V6)</f>
        <v>12</v>
      </c>
      <c r="O6" s="113">
        <f>SUM(S6,W6)</f>
        <v>34.5</v>
      </c>
      <c r="P6" s="114">
        <f>SUM(T6,X6)</f>
        <v>13.3</v>
      </c>
      <c r="Q6" s="117">
        <v>0.72</v>
      </c>
      <c r="R6" s="113">
        <v>2.33</v>
      </c>
      <c r="S6" s="113">
        <v>6</v>
      </c>
      <c r="T6" s="113">
        <v>0.44</v>
      </c>
      <c r="U6" s="113">
        <v>3.6</v>
      </c>
      <c r="V6" s="113">
        <v>9.63</v>
      </c>
      <c r="W6" s="113">
        <v>28.48</v>
      </c>
      <c r="X6" s="113">
        <v>12.85</v>
      </c>
      <c r="Y6" s="118">
        <v>5.3</v>
      </c>
      <c r="Z6" s="119">
        <v>18.1</v>
      </c>
      <c r="AA6" s="117">
        <v>50</v>
      </c>
      <c r="AB6" s="120">
        <v>5.4</v>
      </c>
      <c r="AC6" s="119">
        <v>0</v>
      </c>
      <c r="AD6" s="121">
        <f>AE6+AH6+AI6+AF6+AG6</f>
        <v>115.3</v>
      </c>
      <c r="AE6" s="113">
        <v>27.6</v>
      </c>
      <c r="AF6" s="113">
        <v>76</v>
      </c>
      <c r="AG6" s="113">
        <v>0</v>
      </c>
      <c r="AH6" s="113">
        <v>0</v>
      </c>
      <c r="AI6" s="114">
        <v>11.7</v>
      </c>
      <c r="AJ6" s="87"/>
      <c r="AK6" s="93"/>
      <c r="AL6" s="93"/>
      <c r="AM6" s="93"/>
      <c r="AN6" s="93"/>
      <c r="AO6" s="93"/>
    </row>
    <row r="7" spans="1:41" ht="11.25">
      <c r="A7" s="110" t="s">
        <v>5</v>
      </c>
      <c r="B7" s="111">
        <v>2</v>
      </c>
      <c r="C7" s="112">
        <f aca="true" t="shared" si="0" ref="C7:C48">D7+E7+F7</f>
        <v>481</v>
      </c>
      <c r="D7" s="113">
        <v>0</v>
      </c>
      <c r="E7" s="113">
        <v>152</v>
      </c>
      <c r="F7" s="114">
        <v>329</v>
      </c>
      <c r="G7" s="112">
        <f>H7+I7+J7</f>
        <v>20.8</v>
      </c>
      <c r="H7" s="113">
        <v>0</v>
      </c>
      <c r="I7" s="113">
        <v>6.7</v>
      </c>
      <c r="J7" s="114">
        <v>14.1</v>
      </c>
      <c r="K7" s="115">
        <f>L7+Y7+Z7</f>
        <v>59.9</v>
      </c>
      <c r="L7" s="116">
        <f aca="true" t="shared" si="1" ref="L7:L45">SUM(M7:P7)</f>
        <v>45.4</v>
      </c>
      <c r="M7" s="113">
        <f aca="true" t="shared" si="2" ref="M7:M45">SUM(Q7,U7)</f>
        <v>1.7</v>
      </c>
      <c r="N7" s="113">
        <f aca="true" t="shared" si="3" ref="N7:N45">SUM(R7,V7)</f>
        <v>8.6</v>
      </c>
      <c r="O7" s="113">
        <f aca="true" t="shared" si="4" ref="O7:O45">SUM(S7,W7)</f>
        <v>28.2</v>
      </c>
      <c r="P7" s="114">
        <f aca="true" t="shared" si="5" ref="P7:P45">SUM(T7,X7)</f>
        <v>6.9</v>
      </c>
      <c r="Q7" s="117">
        <v>0.7</v>
      </c>
      <c r="R7" s="113">
        <v>2.21</v>
      </c>
      <c r="S7" s="113">
        <v>12.78</v>
      </c>
      <c r="T7" s="113">
        <v>0.5</v>
      </c>
      <c r="U7" s="113">
        <v>1.02</v>
      </c>
      <c r="V7" s="113">
        <v>6.38</v>
      </c>
      <c r="W7" s="113">
        <v>15.4</v>
      </c>
      <c r="X7" s="113">
        <v>6.41</v>
      </c>
      <c r="Y7" s="118">
        <v>4</v>
      </c>
      <c r="Z7" s="119">
        <v>10.5</v>
      </c>
      <c r="AA7" s="117">
        <v>32</v>
      </c>
      <c r="AB7" s="120">
        <v>5.7</v>
      </c>
      <c r="AC7" s="119">
        <v>49</v>
      </c>
      <c r="AD7" s="121">
        <f aca="true" t="shared" si="6" ref="AD7:AD44">AE7+AH7+AI7+AF7+AG7</f>
        <v>194.9</v>
      </c>
      <c r="AE7" s="113">
        <v>28.3</v>
      </c>
      <c r="AF7" s="113">
        <v>124.3</v>
      </c>
      <c r="AG7" s="113">
        <v>13</v>
      </c>
      <c r="AH7" s="113">
        <v>19.3</v>
      </c>
      <c r="AI7" s="114">
        <v>10</v>
      </c>
      <c r="AJ7" s="87"/>
      <c r="AK7" s="93"/>
      <c r="AL7" s="93"/>
      <c r="AM7" s="93"/>
      <c r="AN7" s="93"/>
      <c r="AO7" s="93"/>
    </row>
    <row r="8" spans="1:41" ht="11.25">
      <c r="A8" s="110" t="s">
        <v>6</v>
      </c>
      <c r="B8" s="111">
        <v>5</v>
      </c>
      <c r="C8" s="112">
        <f t="shared" si="0"/>
        <v>426.6</v>
      </c>
      <c r="D8" s="113">
        <v>0</v>
      </c>
      <c r="E8" s="113">
        <v>44.6</v>
      </c>
      <c r="F8" s="114">
        <v>382</v>
      </c>
      <c r="G8" s="112">
        <f>H8+I8+J8</f>
        <v>19</v>
      </c>
      <c r="H8" s="113">
        <v>0</v>
      </c>
      <c r="I8" s="113">
        <v>2</v>
      </c>
      <c r="J8" s="114">
        <v>17</v>
      </c>
      <c r="K8" s="115">
        <f>L8+Y8+Z8</f>
        <v>56.4</v>
      </c>
      <c r="L8" s="116">
        <f t="shared" si="1"/>
        <v>39.9</v>
      </c>
      <c r="M8" s="113">
        <f t="shared" si="2"/>
        <v>5.3</v>
      </c>
      <c r="N8" s="113">
        <f t="shared" si="3"/>
        <v>5</v>
      </c>
      <c r="O8" s="113">
        <f t="shared" si="4"/>
        <v>26.3</v>
      </c>
      <c r="P8" s="114">
        <f t="shared" si="5"/>
        <v>3.3</v>
      </c>
      <c r="Q8" s="117">
        <v>0.33</v>
      </c>
      <c r="R8" s="113">
        <v>0.95</v>
      </c>
      <c r="S8" s="113">
        <v>3.2</v>
      </c>
      <c r="T8" s="113">
        <v>0.2</v>
      </c>
      <c r="U8" s="113">
        <v>5</v>
      </c>
      <c r="V8" s="113">
        <v>4.07</v>
      </c>
      <c r="W8" s="113">
        <v>23.13</v>
      </c>
      <c r="X8" s="113">
        <v>3.13</v>
      </c>
      <c r="Y8" s="118">
        <v>4.5</v>
      </c>
      <c r="Z8" s="119">
        <v>12</v>
      </c>
      <c r="AA8" s="117">
        <v>76</v>
      </c>
      <c r="AB8" s="120">
        <v>12</v>
      </c>
      <c r="AC8" s="119">
        <v>0</v>
      </c>
      <c r="AD8" s="121">
        <f t="shared" si="6"/>
        <v>87.1</v>
      </c>
      <c r="AE8" s="113">
        <v>27.8</v>
      </c>
      <c r="AF8" s="113">
        <v>19.5</v>
      </c>
      <c r="AG8" s="113">
        <v>13.2</v>
      </c>
      <c r="AH8" s="113">
        <v>10.8</v>
      </c>
      <c r="AI8" s="114">
        <v>15.8</v>
      </c>
      <c r="AJ8" s="87"/>
      <c r="AK8" s="93"/>
      <c r="AL8" s="93"/>
      <c r="AM8" s="93"/>
      <c r="AN8" s="93"/>
      <c r="AO8" s="93"/>
    </row>
    <row r="9" spans="1:41" ht="11.25">
      <c r="A9" s="110" t="s">
        <v>7</v>
      </c>
      <c r="B9" s="111">
        <v>6</v>
      </c>
      <c r="C9" s="112">
        <f t="shared" si="0"/>
        <v>647</v>
      </c>
      <c r="D9" s="113">
        <v>0</v>
      </c>
      <c r="E9" s="113">
        <v>647</v>
      </c>
      <c r="F9" s="114">
        <v>0</v>
      </c>
      <c r="G9" s="112">
        <f>H9+I9+J9</f>
        <v>27.7</v>
      </c>
      <c r="H9" s="113">
        <v>0</v>
      </c>
      <c r="I9" s="113">
        <v>27.7</v>
      </c>
      <c r="J9" s="114">
        <v>0</v>
      </c>
      <c r="K9" s="115">
        <f>L9+Y9+Z9</f>
        <v>72.4</v>
      </c>
      <c r="L9" s="116">
        <f t="shared" si="1"/>
        <v>54.4</v>
      </c>
      <c r="M9" s="113">
        <f t="shared" si="2"/>
        <v>3.2</v>
      </c>
      <c r="N9" s="113">
        <f t="shared" si="3"/>
        <v>14.4</v>
      </c>
      <c r="O9" s="113">
        <f t="shared" si="4"/>
        <v>32.3</v>
      </c>
      <c r="P9" s="114">
        <f t="shared" si="5"/>
        <v>4.5</v>
      </c>
      <c r="Q9" s="117">
        <v>3.18</v>
      </c>
      <c r="R9" s="113">
        <v>14.42</v>
      </c>
      <c r="S9" s="113">
        <v>32.3</v>
      </c>
      <c r="T9" s="113">
        <v>4.49</v>
      </c>
      <c r="U9" s="113">
        <v>0</v>
      </c>
      <c r="V9" s="113">
        <v>0</v>
      </c>
      <c r="W9" s="113">
        <v>0</v>
      </c>
      <c r="X9" s="113">
        <v>0</v>
      </c>
      <c r="Y9" s="118">
        <v>4</v>
      </c>
      <c r="Z9" s="119">
        <v>14</v>
      </c>
      <c r="AA9" s="117">
        <v>18</v>
      </c>
      <c r="AB9" s="120">
        <v>2</v>
      </c>
      <c r="AC9" s="119">
        <v>133</v>
      </c>
      <c r="AD9" s="121">
        <f t="shared" si="6"/>
        <v>200</v>
      </c>
      <c r="AE9" s="113">
        <v>49</v>
      </c>
      <c r="AF9" s="113">
        <v>109</v>
      </c>
      <c r="AG9" s="113">
        <v>20</v>
      </c>
      <c r="AH9" s="113">
        <v>8</v>
      </c>
      <c r="AI9" s="114">
        <v>14</v>
      </c>
      <c r="AJ9" s="87"/>
      <c r="AK9" s="93"/>
      <c r="AL9" s="93"/>
      <c r="AM9" s="93"/>
      <c r="AN9" s="93"/>
      <c r="AO9" s="93"/>
    </row>
    <row r="10" spans="1:41" ht="11.25">
      <c r="A10" s="110" t="s">
        <v>8</v>
      </c>
      <c r="B10" s="111">
        <v>7</v>
      </c>
      <c r="C10" s="112">
        <f t="shared" si="0"/>
        <v>539.7</v>
      </c>
      <c r="D10" s="113">
        <v>0</v>
      </c>
      <c r="E10" s="113">
        <v>38.7</v>
      </c>
      <c r="F10" s="114">
        <v>501</v>
      </c>
      <c r="G10" s="112">
        <f>H10+I10+J10</f>
        <v>20</v>
      </c>
      <c r="H10" s="113">
        <v>0</v>
      </c>
      <c r="I10" s="113">
        <v>2</v>
      </c>
      <c r="J10" s="114">
        <v>18</v>
      </c>
      <c r="K10" s="115">
        <f>L10+Y10+Z10</f>
        <v>63.3</v>
      </c>
      <c r="L10" s="116">
        <f t="shared" si="1"/>
        <v>46.4</v>
      </c>
      <c r="M10" s="113">
        <f t="shared" si="2"/>
        <v>2.9</v>
      </c>
      <c r="N10" s="113">
        <f t="shared" si="3"/>
        <v>9.8</v>
      </c>
      <c r="O10" s="113">
        <f t="shared" si="4"/>
        <v>17.6</v>
      </c>
      <c r="P10" s="114">
        <f t="shared" si="5"/>
        <v>16.1</v>
      </c>
      <c r="Q10" s="117">
        <v>0</v>
      </c>
      <c r="R10" s="113">
        <v>0.8</v>
      </c>
      <c r="S10" s="113">
        <v>2.15</v>
      </c>
      <c r="T10" s="113">
        <v>2.18</v>
      </c>
      <c r="U10" s="113">
        <v>2.94</v>
      </c>
      <c r="V10" s="113">
        <v>9</v>
      </c>
      <c r="W10" s="113">
        <v>15.48</v>
      </c>
      <c r="X10" s="113">
        <v>13.94</v>
      </c>
      <c r="Y10" s="118">
        <v>4.7</v>
      </c>
      <c r="Z10" s="119">
        <v>12.2</v>
      </c>
      <c r="AA10" s="117">
        <v>104</v>
      </c>
      <c r="AB10" s="120">
        <v>13</v>
      </c>
      <c r="AC10" s="119">
        <v>80</v>
      </c>
      <c r="AD10" s="121">
        <f t="shared" si="6"/>
        <v>110</v>
      </c>
      <c r="AE10" s="113">
        <v>40</v>
      </c>
      <c r="AF10" s="113">
        <v>20</v>
      </c>
      <c r="AG10" s="113">
        <v>31</v>
      </c>
      <c r="AH10" s="113">
        <v>19</v>
      </c>
      <c r="AI10" s="114">
        <v>0</v>
      </c>
      <c r="AJ10" s="87"/>
      <c r="AK10" s="93"/>
      <c r="AL10" s="93"/>
      <c r="AM10" s="93"/>
      <c r="AN10" s="93"/>
      <c r="AO10" s="93"/>
    </row>
    <row r="11" spans="1:41" ht="11.25">
      <c r="A11" s="110" t="s">
        <v>9</v>
      </c>
      <c r="B11" s="111">
        <v>8</v>
      </c>
      <c r="C11" s="112">
        <f t="shared" si="0"/>
        <v>420</v>
      </c>
      <c r="D11" s="113">
        <v>0</v>
      </c>
      <c r="E11" s="113">
        <v>259</v>
      </c>
      <c r="F11" s="114">
        <v>161</v>
      </c>
      <c r="G11" s="112">
        <f aca="true" t="shared" si="7" ref="G11:G47">H11+I11+J11</f>
        <v>19.3</v>
      </c>
      <c r="H11" s="113">
        <v>0</v>
      </c>
      <c r="I11" s="113">
        <v>12</v>
      </c>
      <c r="J11" s="114">
        <v>7.3</v>
      </c>
      <c r="K11" s="115">
        <f aca="true" t="shared" si="8" ref="K11:K48">L11+Y11+Z11</f>
        <v>59.2</v>
      </c>
      <c r="L11" s="116">
        <f t="shared" si="1"/>
        <v>44.1</v>
      </c>
      <c r="M11" s="113">
        <f t="shared" si="2"/>
        <v>0.7</v>
      </c>
      <c r="N11" s="113">
        <f t="shared" si="3"/>
        <v>9.3</v>
      </c>
      <c r="O11" s="113">
        <f t="shared" si="4"/>
        <v>32.4</v>
      </c>
      <c r="P11" s="114">
        <f t="shared" si="5"/>
        <v>1.7</v>
      </c>
      <c r="Q11" s="117">
        <v>0.66</v>
      </c>
      <c r="R11" s="113">
        <v>5.43</v>
      </c>
      <c r="S11" s="113">
        <v>19.43</v>
      </c>
      <c r="T11" s="113">
        <v>1</v>
      </c>
      <c r="U11" s="113">
        <v>0</v>
      </c>
      <c r="V11" s="113">
        <v>3.9</v>
      </c>
      <c r="W11" s="113">
        <v>13</v>
      </c>
      <c r="X11" s="113">
        <v>0.66</v>
      </c>
      <c r="Y11" s="118">
        <v>4</v>
      </c>
      <c r="Z11" s="119">
        <v>11.1</v>
      </c>
      <c r="AA11" s="117">
        <v>31</v>
      </c>
      <c r="AB11" s="120">
        <v>3</v>
      </c>
      <c r="AC11" s="119">
        <v>65</v>
      </c>
      <c r="AD11" s="121">
        <f t="shared" si="6"/>
        <v>190</v>
      </c>
      <c r="AE11" s="113">
        <v>20</v>
      </c>
      <c r="AF11" s="113">
        <v>118</v>
      </c>
      <c r="AG11" s="113">
        <v>12</v>
      </c>
      <c r="AH11" s="113">
        <v>8</v>
      </c>
      <c r="AI11" s="114">
        <v>32</v>
      </c>
      <c r="AJ11" s="87"/>
      <c r="AK11" s="93"/>
      <c r="AL11" s="93"/>
      <c r="AM11" s="93"/>
      <c r="AN11" s="93"/>
      <c r="AO11" s="93"/>
    </row>
    <row r="12" spans="1:41" ht="11.25">
      <c r="A12" s="110" t="s">
        <v>10</v>
      </c>
      <c r="B12" s="111">
        <v>9</v>
      </c>
      <c r="C12" s="112">
        <f t="shared" si="0"/>
        <v>188</v>
      </c>
      <c r="D12" s="113">
        <v>0</v>
      </c>
      <c r="E12" s="113">
        <v>48</v>
      </c>
      <c r="F12" s="114">
        <v>140</v>
      </c>
      <c r="G12" s="112">
        <f t="shared" si="7"/>
        <v>9</v>
      </c>
      <c r="H12" s="113">
        <v>0</v>
      </c>
      <c r="I12" s="113">
        <v>2.3</v>
      </c>
      <c r="J12" s="114">
        <v>6.7</v>
      </c>
      <c r="K12" s="115">
        <f t="shared" si="8"/>
        <v>36.3</v>
      </c>
      <c r="L12" s="116">
        <f t="shared" si="1"/>
        <v>24.3</v>
      </c>
      <c r="M12" s="113">
        <f t="shared" si="2"/>
        <v>0.4</v>
      </c>
      <c r="N12" s="113">
        <f t="shared" si="3"/>
        <v>6.3</v>
      </c>
      <c r="O12" s="113">
        <f t="shared" si="4"/>
        <v>17</v>
      </c>
      <c r="P12" s="114">
        <f t="shared" si="5"/>
        <v>0.6</v>
      </c>
      <c r="Q12" s="117">
        <v>0</v>
      </c>
      <c r="R12" s="113">
        <v>1.04</v>
      </c>
      <c r="S12" s="113">
        <v>4.67</v>
      </c>
      <c r="T12" s="113">
        <v>0</v>
      </c>
      <c r="U12" s="113">
        <v>0.44</v>
      </c>
      <c r="V12" s="113">
        <v>5.22</v>
      </c>
      <c r="W12" s="113">
        <v>12.29</v>
      </c>
      <c r="X12" s="113">
        <v>0.59</v>
      </c>
      <c r="Y12" s="118">
        <v>4</v>
      </c>
      <c r="Z12" s="119">
        <v>8</v>
      </c>
      <c r="AA12" s="117">
        <v>47</v>
      </c>
      <c r="AB12" s="120">
        <v>5</v>
      </c>
      <c r="AC12" s="119">
        <v>0</v>
      </c>
      <c r="AD12" s="121">
        <f t="shared" si="6"/>
        <v>52</v>
      </c>
      <c r="AE12" s="113">
        <v>9</v>
      </c>
      <c r="AF12" s="113">
        <v>16</v>
      </c>
      <c r="AG12" s="113">
        <v>25</v>
      </c>
      <c r="AH12" s="113">
        <v>2</v>
      </c>
      <c r="AI12" s="114">
        <v>0</v>
      </c>
      <c r="AJ12" s="87"/>
      <c r="AK12" s="93"/>
      <c r="AL12" s="93"/>
      <c r="AM12" s="93"/>
      <c r="AN12" s="93"/>
      <c r="AO12" s="93"/>
    </row>
    <row r="13" spans="1:41" ht="11.25">
      <c r="A13" s="110" t="s">
        <v>11</v>
      </c>
      <c r="B13" s="111">
        <v>10</v>
      </c>
      <c r="C13" s="112">
        <f t="shared" si="0"/>
        <v>897</v>
      </c>
      <c r="D13" s="113">
        <v>73</v>
      </c>
      <c r="E13" s="113">
        <v>824</v>
      </c>
      <c r="F13" s="114">
        <v>0</v>
      </c>
      <c r="G13" s="112">
        <f t="shared" si="7"/>
        <v>33</v>
      </c>
      <c r="H13" s="113">
        <v>3</v>
      </c>
      <c r="I13" s="113">
        <v>30</v>
      </c>
      <c r="J13" s="114">
        <v>0</v>
      </c>
      <c r="K13" s="115">
        <f t="shared" si="8"/>
        <v>98.2</v>
      </c>
      <c r="L13" s="116">
        <f t="shared" si="1"/>
        <v>73.7</v>
      </c>
      <c r="M13" s="113">
        <f t="shared" si="2"/>
        <v>4.8</v>
      </c>
      <c r="N13" s="113">
        <f t="shared" si="3"/>
        <v>10.9</v>
      </c>
      <c r="O13" s="113">
        <f t="shared" si="4"/>
        <v>37.2</v>
      </c>
      <c r="P13" s="114">
        <f t="shared" si="5"/>
        <v>20.8</v>
      </c>
      <c r="Q13" s="117">
        <v>4.8</v>
      </c>
      <c r="R13" s="113">
        <v>10.94</v>
      </c>
      <c r="S13" s="113">
        <v>37.2</v>
      </c>
      <c r="T13" s="113">
        <v>20.84</v>
      </c>
      <c r="U13" s="113">
        <v>0</v>
      </c>
      <c r="V13" s="113">
        <v>0</v>
      </c>
      <c r="W13" s="113">
        <v>0</v>
      </c>
      <c r="X13" s="113">
        <v>0</v>
      </c>
      <c r="Y13" s="118">
        <v>5.5</v>
      </c>
      <c r="Z13" s="119">
        <v>19</v>
      </c>
      <c r="AA13" s="117">
        <v>45</v>
      </c>
      <c r="AB13" s="120">
        <v>6.5</v>
      </c>
      <c r="AC13" s="119">
        <v>125</v>
      </c>
      <c r="AD13" s="121">
        <f t="shared" si="6"/>
        <v>290</v>
      </c>
      <c r="AE13" s="113">
        <v>48</v>
      </c>
      <c r="AF13" s="113">
        <v>139</v>
      </c>
      <c r="AG13" s="113">
        <v>58</v>
      </c>
      <c r="AH13" s="113">
        <v>20</v>
      </c>
      <c r="AI13" s="114">
        <v>25</v>
      </c>
      <c r="AJ13" s="87"/>
      <c r="AK13" s="93"/>
      <c r="AL13" s="93"/>
      <c r="AM13" s="93"/>
      <c r="AN13" s="93"/>
      <c r="AO13" s="93"/>
    </row>
    <row r="14" spans="1:41" ht="11.25">
      <c r="A14" s="110" t="s">
        <v>12</v>
      </c>
      <c r="B14" s="111">
        <v>11</v>
      </c>
      <c r="C14" s="112">
        <f t="shared" si="0"/>
        <v>487</v>
      </c>
      <c r="D14" s="113">
        <v>0</v>
      </c>
      <c r="E14" s="113">
        <v>273</v>
      </c>
      <c r="F14" s="114">
        <v>214</v>
      </c>
      <c r="G14" s="112">
        <f t="shared" si="7"/>
        <v>20.7</v>
      </c>
      <c r="H14" s="113">
        <v>0</v>
      </c>
      <c r="I14" s="113">
        <v>11.7</v>
      </c>
      <c r="J14" s="114">
        <v>9</v>
      </c>
      <c r="K14" s="115">
        <f t="shared" si="8"/>
        <v>60.9</v>
      </c>
      <c r="L14" s="116">
        <f t="shared" si="1"/>
        <v>45.3</v>
      </c>
      <c r="M14" s="113">
        <f t="shared" si="2"/>
        <v>1</v>
      </c>
      <c r="N14" s="113">
        <f t="shared" si="3"/>
        <v>11.3</v>
      </c>
      <c r="O14" s="113">
        <f t="shared" si="4"/>
        <v>25.6</v>
      </c>
      <c r="P14" s="114">
        <f t="shared" si="5"/>
        <v>7.4</v>
      </c>
      <c r="Q14" s="117">
        <v>0.64</v>
      </c>
      <c r="R14" s="113">
        <v>5.31</v>
      </c>
      <c r="S14" s="113">
        <v>16.45</v>
      </c>
      <c r="T14" s="113">
        <v>2.33</v>
      </c>
      <c r="U14" s="113">
        <v>0.38</v>
      </c>
      <c r="V14" s="113">
        <v>5.99</v>
      </c>
      <c r="W14" s="113">
        <v>9.12</v>
      </c>
      <c r="X14" s="113">
        <v>5.09</v>
      </c>
      <c r="Y14" s="118">
        <v>4.5</v>
      </c>
      <c r="Z14" s="119">
        <v>11.1</v>
      </c>
      <c r="AA14" s="117">
        <v>25</v>
      </c>
      <c r="AB14" s="120">
        <v>5</v>
      </c>
      <c r="AC14" s="119">
        <v>0</v>
      </c>
      <c r="AD14" s="121">
        <f t="shared" si="6"/>
        <v>108.1</v>
      </c>
      <c r="AE14" s="113">
        <v>29</v>
      </c>
      <c r="AF14" s="113">
        <v>51.2</v>
      </c>
      <c r="AG14" s="113">
        <v>16.1</v>
      </c>
      <c r="AH14" s="113">
        <v>0</v>
      </c>
      <c r="AI14" s="114">
        <v>11.8</v>
      </c>
      <c r="AJ14" s="87"/>
      <c r="AK14" s="93"/>
      <c r="AL14" s="93"/>
      <c r="AM14" s="93"/>
      <c r="AN14" s="93"/>
      <c r="AO14" s="93"/>
    </row>
    <row r="15" spans="1:41" ht="11.25">
      <c r="A15" s="110" t="s">
        <v>13</v>
      </c>
      <c r="B15" s="111">
        <v>12</v>
      </c>
      <c r="C15" s="112">
        <f t="shared" si="0"/>
        <v>874.3</v>
      </c>
      <c r="D15" s="113">
        <v>55.6</v>
      </c>
      <c r="E15" s="113">
        <v>527.7</v>
      </c>
      <c r="F15" s="114">
        <v>291</v>
      </c>
      <c r="G15" s="112">
        <f t="shared" si="7"/>
        <v>35.3</v>
      </c>
      <c r="H15" s="113">
        <v>2</v>
      </c>
      <c r="I15" s="113">
        <v>21.3</v>
      </c>
      <c r="J15" s="114">
        <v>12</v>
      </c>
      <c r="K15" s="115">
        <f t="shared" si="8"/>
        <v>96.4</v>
      </c>
      <c r="L15" s="116">
        <f t="shared" si="1"/>
        <v>72.9</v>
      </c>
      <c r="M15" s="113">
        <f t="shared" si="2"/>
        <v>3.5</v>
      </c>
      <c r="N15" s="113">
        <f t="shared" si="3"/>
        <v>13.8</v>
      </c>
      <c r="O15" s="113">
        <f t="shared" si="4"/>
        <v>39.4</v>
      </c>
      <c r="P15" s="114">
        <f t="shared" si="5"/>
        <v>16.2</v>
      </c>
      <c r="Q15" s="117">
        <v>1.76</v>
      </c>
      <c r="R15" s="113">
        <v>7.07</v>
      </c>
      <c r="S15" s="113">
        <v>27.65</v>
      </c>
      <c r="T15" s="113">
        <v>6.25</v>
      </c>
      <c r="U15" s="113">
        <v>1.76</v>
      </c>
      <c r="V15" s="113">
        <v>6.71</v>
      </c>
      <c r="W15" s="113">
        <v>11.72</v>
      </c>
      <c r="X15" s="113">
        <v>9.9</v>
      </c>
      <c r="Y15" s="118">
        <v>5.3</v>
      </c>
      <c r="Z15" s="119">
        <v>18.2</v>
      </c>
      <c r="AA15" s="117">
        <v>47</v>
      </c>
      <c r="AB15" s="120">
        <v>5</v>
      </c>
      <c r="AC15" s="119">
        <v>101</v>
      </c>
      <c r="AD15" s="121">
        <f t="shared" si="6"/>
        <v>270.4</v>
      </c>
      <c r="AE15" s="113">
        <v>34.7</v>
      </c>
      <c r="AF15" s="113">
        <v>172</v>
      </c>
      <c r="AG15" s="113">
        <v>10</v>
      </c>
      <c r="AH15" s="113">
        <v>23.7</v>
      </c>
      <c r="AI15" s="114">
        <v>30</v>
      </c>
      <c r="AJ15" s="87"/>
      <c r="AK15" s="93"/>
      <c r="AL15" s="93"/>
      <c r="AM15" s="93"/>
      <c r="AN15" s="93"/>
      <c r="AO15" s="93"/>
    </row>
    <row r="16" spans="1:41" ht="11.25">
      <c r="A16" s="110" t="s">
        <v>14</v>
      </c>
      <c r="B16" s="111">
        <v>13</v>
      </c>
      <c r="C16" s="112">
        <f t="shared" si="0"/>
        <v>299</v>
      </c>
      <c r="D16" s="113">
        <v>9</v>
      </c>
      <c r="E16" s="113">
        <v>290</v>
      </c>
      <c r="F16" s="114">
        <v>0</v>
      </c>
      <c r="G16" s="112">
        <f t="shared" si="7"/>
        <v>13.3</v>
      </c>
      <c r="H16" s="113">
        <v>0.3</v>
      </c>
      <c r="I16" s="113">
        <v>13</v>
      </c>
      <c r="J16" s="114">
        <v>0</v>
      </c>
      <c r="K16" s="115">
        <f t="shared" si="8"/>
        <v>45.4</v>
      </c>
      <c r="L16" s="116">
        <f t="shared" si="1"/>
        <v>30.4</v>
      </c>
      <c r="M16" s="113">
        <f t="shared" si="2"/>
        <v>2.1</v>
      </c>
      <c r="N16" s="113">
        <f t="shared" si="3"/>
        <v>4.3</v>
      </c>
      <c r="O16" s="113">
        <f t="shared" si="4"/>
        <v>23.8</v>
      </c>
      <c r="P16" s="114">
        <f t="shared" si="5"/>
        <v>0.2</v>
      </c>
      <c r="Q16" s="117">
        <v>2.13</v>
      </c>
      <c r="R16" s="113">
        <v>4.33</v>
      </c>
      <c r="S16" s="113">
        <v>23.78</v>
      </c>
      <c r="T16" s="113">
        <v>0.15</v>
      </c>
      <c r="U16" s="113">
        <v>0</v>
      </c>
      <c r="V16" s="113">
        <v>0</v>
      </c>
      <c r="W16" s="113">
        <v>0</v>
      </c>
      <c r="X16" s="113">
        <v>0</v>
      </c>
      <c r="Y16" s="118">
        <v>4</v>
      </c>
      <c r="Z16" s="119">
        <v>11</v>
      </c>
      <c r="AA16" s="117">
        <v>51</v>
      </c>
      <c r="AB16" s="120">
        <v>10</v>
      </c>
      <c r="AC16" s="119">
        <v>68</v>
      </c>
      <c r="AD16" s="121">
        <f t="shared" si="6"/>
        <v>142</v>
      </c>
      <c r="AE16" s="113">
        <v>20</v>
      </c>
      <c r="AF16" s="113">
        <v>59</v>
      </c>
      <c r="AG16" s="113">
        <v>27</v>
      </c>
      <c r="AH16" s="113">
        <v>26</v>
      </c>
      <c r="AI16" s="114">
        <v>10</v>
      </c>
      <c r="AJ16" s="87"/>
      <c r="AK16" s="93"/>
      <c r="AL16" s="93"/>
      <c r="AM16" s="93"/>
      <c r="AN16" s="93"/>
      <c r="AO16" s="93"/>
    </row>
    <row r="17" spans="1:41" ht="11.25">
      <c r="A17" s="110" t="s">
        <v>15</v>
      </c>
      <c r="B17" s="111">
        <v>14</v>
      </c>
      <c r="C17" s="112">
        <f t="shared" si="0"/>
        <v>325.7</v>
      </c>
      <c r="D17" s="113">
        <v>0</v>
      </c>
      <c r="E17" s="113">
        <v>166.7</v>
      </c>
      <c r="F17" s="114">
        <v>159</v>
      </c>
      <c r="G17" s="112">
        <f t="shared" si="7"/>
        <v>12</v>
      </c>
      <c r="H17" s="113">
        <v>0</v>
      </c>
      <c r="I17" s="113">
        <v>6</v>
      </c>
      <c r="J17" s="114">
        <v>6</v>
      </c>
      <c r="K17" s="115">
        <f t="shared" si="8"/>
        <v>58.4</v>
      </c>
      <c r="L17" s="116">
        <f t="shared" si="1"/>
        <v>41.6</v>
      </c>
      <c r="M17" s="113">
        <f t="shared" si="2"/>
        <v>2</v>
      </c>
      <c r="N17" s="113">
        <f t="shared" si="3"/>
        <v>5.9</v>
      </c>
      <c r="O17" s="113">
        <f t="shared" si="4"/>
        <v>26.9</v>
      </c>
      <c r="P17" s="114">
        <f t="shared" si="5"/>
        <v>6.8</v>
      </c>
      <c r="Q17" s="117">
        <v>0.67</v>
      </c>
      <c r="R17" s="113">
        <v>4.52</v>
      </c>
      <c r="S17" s="113">
        <v>11.63</v>
      </c>
      <c r="T17" s="113">
        <v>3.66</v>
      </c>
      <c r="U17" s="113">
        <v>1.36</v>
      </c>
      <c r="V17" s="113">
        <v>1.36</v>
      </c>
      <c r="W17" s="113">
        <v>15.29</v>
      </c>
      <c r="X17" s="113">
        <v>3.17</v>
      </c>
      <c r="Y17" s="118">
        <v>4.5</v>
      </c>
      <c r="Z17" s="119">
        <v>12.3</v>
      </c>
      <c r="AA17" s="117">
        <v>0</v>
      </c>
      <c r="AB17" s="120">
        <v>0</v>
      </c>
      <c r="AC17" s="119">
        <v>0</v>
      </c>
      <c r="AD17" s="121">
        <f t="shared" si="6"/>
        <v>221</v>
      </c>
      <c r="AE17" s="113">
        <v>12</v>
      </c>
      <c r="AF17" s="113">
        <v>174.3</v>
      </c>
      <c r="AG17" s="113">
        <v>2.3</v>
      </c>
      <c r="AH17" s="113">
        <v>1.7</v>
      </c>
      <c r="AI17" s="114">
        <v>30.7</v>
      </c>
      <c r="AJ17" s="87"/>
      <c r="AK17" s="93"/>
      <c r="AL17" s="93"/>
      <c r="AM17" s="93"/>
      <c r="AN17" s="93"/>
      <c r="AO17" s="93"/>
    </row>
    <row r="18" spans="1:41" ht="11.25">
      <c r="A18" s="110" t="s">
        <v>17</v>
      </c>
      <c r="B18" s="111">
        <v>16</v>
      </c>
      <c r="C18" s="112">
        <f t="shared" si="0"/>
        <v>401</v>
      </c>
      <c r="D18" s="113">
        <v>26</v>
      </c>
      <c r="E18" s="113">
        <v>375</v>
      </c>
      <c r="F18" s="114">
        <v>0</v>
      </c>
      <c r="G18" s="112">
        <f t="shared" si="7"/>
        <v>17.6</v>
      </c>
      <c r="H18" s="113">
        <v>0.6</v>
      </c>
      <c r="I18" s="113">
        <v>17</v>
      </c>
      <c r="J18" s="114">
        <v>0</v>
      </c>
      <c r="K18" s="115">
        <f t="shared" si="8"/>
        <v>52.1</v>
      </c>
      <c r="L18" s="116">
        <f t="shared" si="1"/>
        <v>34.6</v>
      </c>
      <c r="M18" s="113">
        <f t="shared" si="2"/>
        <v>1</v>
      </c>
      <c r="N18" s="113">
        <f t="shared" si="3"/>
        <v>0.2</v>
      </c>
      <c r="O18" s="113">
        <f t="shared" si="4"/>
        <v>27.4</v>
      </c>
      <c r="P18" s="114">
        <f t="shared" si="5"/>
        <v>6</v>
      </c>
      <c r="Q18" s="117">
        <v>1</v>
      </c>
      <c r="R18" s="113">
        <v>0.22</v>
      </c>
      <c r="S18" s="113">
        <v>27.43</v>
      </c>
      <c r="T18" s="113">
        <v>6</v>
      </c>
      <c r="U18" s="113">
        <v>0</v>
      </c>
      <c r="V18" s="113">
        <v>0</v>
      </c>
      <c r="W18" s="113">
        <v>0</v>
      </c>
      <c r="X18" s="113">
        <v>0</v>
      </c>
      <c r="Y18" s="118">
        <v>4.5</v>
      </c>
      <c r="Z18" s="119">
        <v>13</v>
      </c>
      <c r="AA18" s="117">
        <v>38</v>
      </c>
      <c r="AB18" s="120">
        <v>5.7</v>
      </c>
      <c r="AC18" s="119">
        <v>75</v>
      </c>
      <c r="AD18" s="121">
        <f t="shared" si="6"/>
        <v>130</v>
      </c>
      <c r="AE18" s="113">
        <v>29</v>
      </c>
      <c r="AF18" s="113">
        <v>82</v>
      </c>
      <c r="AG18" s="113">
        <v>9</v>
      </c>
      <c r="AH18" s="113">
        <v>0</v>
      </c>
      <c r="AI18" s="114">
        <v>10</v>
      </c>
      <c r="AJ18" s="87"/>
      <c r="AK18" s="93"/>
      <c r="AL18" s="93"/>
      <c r="AM18" s="93"/>
      <c r="AN18" s="93"/>
      <c r="AO18" s="93"/>
    </row>
    <row r="19" spans="1:41" ht="11.25">
      <c r="A19" s="110" t="s">
        <v>16</v>
      </c>
      <c r="B19" s="111">
        <v>17</v>
      </c>
      <c r="C19" s="112">
        <f t="shared" si="0"/>
        <v>553.3</v>
      </c>
      <c r="D19" s="113">
        <v>45.3</v>
      </c>
      <c r="E19" s="113">
        <v>508</v>
      </c>
      <c r="F19" s="114">
        <v>0</v>
      </c>
      <c r="G19" s="112">
        <f t="shared" si="7"/>
        <v>22.6</v>
      </c>
      <c r="H19" s="113">
        <v>2</v>
      </c>
      <c r="I19" s="113">
        <v>20.6</v>
      </c>
      <c r="J19" s="114">
        <v>0</v>
      </c>
      <c r="K19" s="115">
        <f t="shared" si="8"/>
        <v>60.6</v>
      </c>
      <c r="L19" s="116">
        <f t="shared" si="1"/>
        <v>43.3</v>
      </c>
      <c r="M19" s="113">
        <f t="shared" si="2"/>
        <v>0.5</v>
      </c>
      <c r="N19" s="113">
        <f t="shared" si="3"/>
        <v>8.4</v>
      </c>
      <c r="O19" s="113">
        <f t="shared" si="4"/>
        <v>24.6</v>
      </c>
      <c r="P19" s="114">
        <f t="shared" si="5"/>
        <v>9.8</v>
      </c>
      <c r="Q19" s="117">
        <v>0.5</v>
      </c>
      <c r="R19" s="113">
        <v>8.44</v>
      </c>
      <c r="S19" s="113">
        <v>24.6</v>
      </c>
      <c r="T19" s="113">
        <v>9.8</v>
      </c>
      <c r="U19" s="113">
        <v>0</v>
      </c>
      <c r="V19" s="113">
        <v>0</v>
      </c>
      <c r="W19" s="113">
        <v>0</v>
      </c>
      <c r="X19" s="113">
        <v>0</v>
      </c>
      <c r="Y19" s="118">
        <v>4</v>
      </c>
      <c r="Z19" s="119">
        <v>13.3</v>
      </c>
      <c r="AA19" s="117">
        <v>38.7</v>
      </c>
      <c r="AB19" s="120">
        <v>7.6</v>
      </c>
      <c r="AC19" s="119">
        <v>76.6</v>
      </c>
      <c r="AD19" s="121">
        <f t="shared" si="6"/>
        <v>119</v>
      </c>
      <c r="AE19" s="113">
        <v>26</v>
      </c>
      <c r="AF19" s="113">
        <v>47.5</v>
      </c>
      <c r="AG19" s="113">
        <v>38</v>
      </c>
      <c r="AH19" s="113">
        <v>1</v>
      </c>
      <c r="AI19" s="114">
        <v>6.5</v>
      </c>
      <c r="AJ19" s="87"/>
      <c r="AK19" s="93"/>
      <c r="AL19" s="93"/>
      <c r="AM19" s="93"/>
      <c r="AN19" s="93"/>
      <c r="AO19" s="93"/>
    </row>
    <row r="20" spans="1:41" ht="11.25">
      <c r="A20" s="110" t="s">
        <v>18</v>
      </c>
      <c r="B20" s="111">
        <v>18</v>
      </c>
      <c r="C20" s="112">
        <f t="shared" si="0"/>
        <v>864</v>
      </c>
      <c r="D20" s="113">
        <v>0</v>
      </c>
      <c r="E20" s="113">
        <v>864</v>
      </c>
      <c r="F20" s="114">
        <v>0</v>
      </c>
      <c r="G20" s="112">
        <f t="shared" si="7"/>
        <v>34</v>
      </c>
      <c r="H20" s="113">
        <v>0</v>
      </c>
      <c r="I20" s="113">
        <v>34</v>
      </c>
      <c r="J20" s="114">
        <v>0</v>
      </c>
      <c r="K20" s="115">
        <f t="shared" si="8"/>
        <v>80.1</v>
      </c>
      <c r="L20" s="116">
        <f t="shared" si="1"/>
        <v>60.7</v>
      </c>
      <c r="M20" s="113">
        <f t="shared" si="2"/>
        <v>4.6</v>
      </c>
      <c r="N20" s="113">
        <f t="shared" si="3"/>
        <v>8.8</v>
      </c>
      <c r="O20" s="113">
        <f t="shared" si="4"/>
        <v>33.3</v>
      </c>
      <c r="P20" s="114">
        <f t="shared" si="5"/>
        <v>14</v>
      </c>
      <c r="Q20" s="117">
        <v>4.6</v>
      </c>
      <c r="R20" s="113">
        <v>8.75</v>
      </c>
      <c r="S20" s="113">
        <v>33.25</v>
      </c>
      <c r="T20" s="113">
        <v>14</v>
      </c>
      <c r="U20" s="113">
        <v>0</v>
      </c>
      <c r="V20" s="113">
        <v>0</v>
      </c>
      <c r="W20" s="113">
        <v>0</v>
      </c>
      <c r="X20" s="113">
        <v>0</v>
      </c>
      <c r="Y20" s="118">
        <v>4.5</v>
      </c>
      <c r="Z20" s="119">
        <v>14.9</v>
      </c>
      <c r="AA20" s="117">
        <v>18</v>
      </c>
      <c r="AB20" s="120">
        <v>3</v>
      </c>
      <c r="AC20" s="119">
        <v>157</v>
      </c>
      <c r="AD20" s="121">
        <f t="shared" si="6"/>
        <v>349</v>
      </c>
      <c r="AE20" s="113">
        <v>34</v>
      </c>
      <c r="AF20" s="113">
        <v>303</v>
      </c>
      <c r="AG20" s="113">
        <v>8</v>
      </c>
      <c r="AH20" s="113">
        <v>0</v>
      </c>
      <c r="AI20" s="114">
        <v>4</v>
      </c>
      <c r="AJ20" s="87"/>
      <c r="AK20" s="93"/>
      <c r="AL20" s="93"/>
      <c r="AM20" s="93"/>
      <c r="AN20" s="93"/>
      <c r="AO20" s="93"/>
    </row>
    <row r="21" spans="1:41" ht="11.25">
      <c r="A21" s="110" t="s">
        <v>19</v>
      </c>
      <c r="B21" s="111">
        <v>19</v>
      </c>
      <c r="C21" s="112">
        <f t="shared" si="0"/>
        <v>437</v>
      </c>
      <c r="D21" s="113">
        <v>0</v>
      </c>
      <c r="E21" s="113">
        <v>31</v>
      </c>
      <c r="F21" s="114">
        <v>406</v>
      </c>
      <c r="G21" s="112">
        <f t="shared" si="7"/>
        <v>17</v>
      </c>
      <c r="H21" s="113">
        <v>0</v>
      </c>
      <c r="I21" s="113">
        <v>1</v>
      </c>
      <c r="J21" s="114">
        <v>16</v>
      </c>
      <c r="K21" s="115">
        <f t="shared" si="8"/>
        <v>54.8</v>
      </c>
      <c r="L21" s="116">
        <f t="shared" si="1"/>
        <v>40.3</v>
      </c>
      <c r="M21" s="113">
        <f t="shared" si="2"/>
        <v>4.9</v>
      </c>
      <c r="N21" s="113">
        <f t="shared" si="3"/>
        <v>5.7</v>
      </c>
      <c r="O21" s="113">
        <f t="shared" si="4"/>
        <v>19.2</v>
      </c>
      <c r="P21" s="114">
        <f t="shared" si="5"/>
        <v>10.5</v>
      </c>
      <c r="Q21" s="117">
        <v>0.26</v>
      </c>
      <c r="R21" s="113">
        <v>0.34</v>
      </c>
      <c r="S21" s="113">
        <v>1.02</v>
      </c>
      <c r="T21" s="113">
        <v>0.77</v>
      </c>
      <c r="U21" s="113">
        <v>4.65</v>
      </c>
      <c r="V21" s="113">
        <v>5.33</v>
      </c>
      <c r="W21" s="113">
        <v>18.15</v>
      </c>
      <c r="X21" s="113">
        <v>9.76</v>
      </c>
      <c r="Y21" s="118">
        <v>3.5</v>
      </c>
      <c r="Z21" s="119">
        <v>11</v>
      </c>
      <c r="AA21" s="117">
        <v>35</v>
      </c>
      <c r="AB21" s="120">
        <v>4</v>
      </c>
      <c r="AC21" s="119">
        <v>0</v>
      </c>
      <c r="AD21" s="121">
        <v>0</v>
      </c>
      <c r="AE21" s="113">
        <v>43</v>
      </c>
      <c r="AF21" s="113">
        <v>64</v>
      </c>
      <c r="AG21" s="113">
        <v>28</v>
      </c>
      <c r="AH21" s="113">
        <v>0</v>
      </c>
      <c r="AI21" s="114">
        <v>10</v>
      </c>
      <c r="AJ21" s="87"/>
      <c r="AK21" s="93"/>
      <c r="AL21" s="93"/>
      <c r="AM21" s="93"/>
      <c r="AN21" s="93"/>
      <c r="AO21" s="93"/>
    </row>
    <row r="22" spans="1:41" ht="11.25">
      <c r="A22" s="110" t="s">
        <v>20</v>
      </c>
      <c r="B22" s="111">
        <v>20</v>
      </c>
      <c r="C22" s="112">
        <f t="shared" si="0"/>
        <v>418</v>
      </c>
      <c r="D22" s="113">
        <v>42</v>
      </c>
      <c r="E22" s="113">
        <v>376</v>
      </c>
      <c r="F22" s="114">
        <v>0</v>
      </c>
      <c r="G22" s="112">
        <f t="shared" si="7"/>
        <v>18</v>
      </c>
      <c r="H22" s="113">
        <v>2</v>
      </c>
      <c r="I22" s="113">
        <v>16</v>
      </c>
      <c r="J22" s="114">
        <v>0</v>
      </c>
      <c r="K22" s="115">
        <f t="shared" si="8"/>
        <v>48.4</v>
      </c>
      <c r="L22" s="116">
        <f t="shared" si="1"/>
        <v>33.9</v>
      </c>
      <c r="M22" s="113">
        <f t="shared" si="2"/>
        <v>2</v>
      </c>
      <c r="N22" s="113">
        <f t="shared" si="3"/>
        <v>7.9</v>
      </c>
      <c r="O22" s="113">
        <f t="shared" si="4"/>
        <v>20.2</v>
      </c>
      <c r="P22" s="114">
        <f t="shared" si="5"/>
        <v>3.8</v>
      </c>
      <c r="Q22" s="117">
        <v>2.04</v>
      </c>
      <c r="R22" s="113">
        <v>7.85</v>
      </c>
      <c r="S22" s="113">
        <v>20.17</v>
      </c>
      <c r="T22" s="113">
        <v>3.83</v>
      </c>
      <c r="U22" s="113">
        <v>0</v>
      </c>
      <c r="V22" s="113">
        <v>0</v>
      </c>
      <c r="W22" s="113">
        <v>0</v>
      </c>
      <c r="X22" s="113">
        <v>0</v>
      </c>
      <c r="Y22" s="118">
        <v>4</v>
      </c>
      <c r="Z22" s="119">
        <v>10.5</v>
      </c>
      <c r="AA22" s="117">
        <v>0</v>
      </c>
      <c r="AB22" s="120">
        <v>0</v>
      </c>
      <c r="AC22" s="119">
        <v>110</v>
      </c>
      <c r="AD22" s="121">
        <f t="shared" si="6"/>
        <v>160</v>
      </c>
      <c r="AE22" s="113">
        <v>22</v>
      </c>
      <c r="AF22" s="113">
        <v>105</v>
      </c>
      <c r="AG22" s="113">
        <v>19</v>
      </c>
      <c r="AH22" s="113">
        <v>4</v>
      </c>
      <c r="AI22" s="114">
        <v>10</v>
      </c>
      <c r="AJ22" s="87"/>
      <c r="AK22" s="93"/>
      <c r="AL22" s="93"/>
      <c r="AM22" s="93"/>
      <c r="AN22" s="93"/>
      <c r="AO22" s="93"/>
    </row>
    <row r="23" spans="1:41" ht="11.25">
      <c r="A23" s="110" t="s">
        <v>21</v>
      </c>
      <c r="B23" s="111">
        <v>21</v>
      </c>
      <c r="C23" s="112">
        <f t="shared" si="0"/>
        <v>596</v>
      </c>
      <c r="D23" s="113">
        <v>46</v>
      </c>
      <c r="E23" s="113">
        <v>550</v>
      </c>
      <c r="F23" s="114">
        <v>0</v>
      </c>
      <c r="G23" s="112">
        <f t="shared" si="7"/>
        <v>26</v>
      </c>
      <c r="H23" s="113">
        <v>2</v>
      </c>
      <c r="I23" s="113">
        <v>24</v>
      </c>
      <c r="J23" s="114">
        <v>0</v>
      </c>
      <c r="K23" s="115">
        <f t="shared" si="8"/>
        <v>67.8</v>
      </c>
      <c r="L23" s="116">
        <f t="shared" si="1"/>
        <v>47.8</v>
      </c>
      <c r="M23" s="113">
        <f t="shared" si="2"/>
        <v>3.4</v>
      </c>
      <c r="N23" s="113">
        <f t="shared" si="3"/>
        <v>8.5</v>
      </c>
      <c r="O23" s="113">
        <f t="shared" si="4"/>
        <v>25</v>
      </c>
      <c r="P23" s="114">
        <f t="shared" si="5"/>
        <v>10.9</v>
      </c>
      <c r="Q23" s="117">
        <v>3.4</v>
      </c>
      <c r="R23" s="113">
        <v>8.5</v>
      </c>
      <c r="S23" s="113">
        <v>25</v>
      </c>
      <c r="T23" s="113">
        <v>10.9</v>
      </c>
      <c r="U23" s="113">
        <v>0</v>
      </c>
      <c r="V23" s="113">
        <v>0</v>
      </c>
      <c r="W23" s="113">
        <v>0</v>
      </c>
      <c r="X23" s="113">
        <v>0</v>
      </c>
      <c r="Y23" s="118">
        <v>4.5</v>
      </c>
      <c r="Z23" s="119">
        <v>15.5</v>
      </c>
      <c r="AA23" s="117">
        <v>14</v>
      </c>
      <c r="AB23" s="120">
        <v>2</v>
      </c>
      <c r="AC23" s="119">
        <v>104</v>
      </c>
      <c r="AD23" s="121">
        <f t="shared" si="6"/>
        <v>191</v>
      </c>
      <c r="AE23" s="113">
        <v>31</v>
      </c>
      <c r="AF23" s="113">
        <v>129</v>
      </c>
      <c r="AG23" s="113">
        <v>13</v>
      </c>
      <c r="AH23" s="113">
        <v>7</v>
      </c>
      <c r="AI23" s="114">
        <v>11</v>
      </c>
      <c r="AJ23" s="87"/>
      <c r="AK23" s="93"/>
      <c r="AL23" s="93"/>
      <c r="AM23" s="93"/>
      <c r="AN23" s="93"/>
      <c r="AO23" s="93"/>
    </row>
    <row r="24" spans="1:41" ht="11.25">
      <c r="A24" s="110" t="s">
        <v>22</v>
      </c>
      <c r="B24" s="111">
        <v>23</v>
      </c>
      <c r="C24" s="112">
        <f t="shared" si="0"/>
        <v>447</v>
      </c>
      <c r="D24" s="113">
        <v>44</v>
      </c>
      <c r="E24" s="113">
        <v>403</v>
      </c>
      <c r="F24" s="114">
        <v>0</v>
      </c>
      <c r="G24" s="112">
        <f t="shared" si="7"/>
        <v>19</v>
      </c>
      <c r="H24" s="113">
        <v>2</v>
      </c>
      <c r="I24" s="113">
        <v>17</v>
      </c>
      <c r="J24" s="114">
        <v>0</v>
      </c>
      <c r="K24" s="115">
        <f t="shared" si="8"/>
        <v>53.5</v>
      </c>
      <c r="L24" s="116">
        <f t="shared" si="1"/>
        <v>36.5</v>
      </c>
      <c r="M24" s="113">
        <f t="shared" si="2"/>
        <v>2.2</v>
      </c>
      <c r="N24" s="113">
        <f t="shared" si="3"/>
        <v>3.9</v>
      </c>
      <c r="O24" s="113">
        <f t="shared" si="4"/>
        <v>26.7</v>
      </c>
      <c r="P24" s="114">
        <f t="shared" si="5"/>
        <v>3.7</v>
      </c>
      <c r="Q24" s="117">
        <v>2.18</v>
      </c>
      <c r="R24" s="113">
        <v>3.89</v>
      </c>
      <c r="S24" s="113">
        <v>26.65</v>
      </c>
      <c r="T24" s="113">
        <v>3.67</v>
      </c>
      <c r="U24" s="113">
        <v>0</v>
      </c>
      <c r="V24" s="113">
        <v>0</v>
      </c>
      <c r="W24" s="113">
        <v>0</v>
      </c>
      <c r="X24" s="113">
        <v>0</v>
      </c>
      <c r="Y24" s="118">
        <v>4</v>
      </c>
      <c r="Z24" s="119">
        <v>13</v>
      </c>
      <c r="AA24" s="117">
        <v>0.3</v>
      </c>
      <c r="AB24" s="120">
        <v>0.1</v>
      </c>
      <c r="AC24" s="119">
        <v>92</v>
      </c>
      <c r="AD24" s="121">
        <f t="shared" si="6"/>
        <v>173</v>
      </c>
      <c r="AE24" s="113">
        <v>44</v>
      </c>
      <c r="AF24" s="113">
        <v>79</v>
      </c>
      <c r="AG24" s="113">
        <v>32</v>
      </c>
      <c r="AH24" s="113">
        <v>13</v>
      </c>
      <c r="AI24" s="114">
        <v>5</v>
      </c>
      <c r="AJ24" s="87"/>
      <c r="AK24" s="93"/>
      <c r="AL24" s="93"/>
      <c r="AM24" s="93"/>
      <c r="AN24" s="93"/>
      <c r="AO24" s="93"/>
    </row>
    <row r="25" spans="1:41" ht="11.25">
      <c r="A25" s="110" t="s">
        <v>23</v>
      </c>
      <c r="B25" s="111">
        <v>26</v>
      </c>
      <c r="C25" s="112">
        <f t="shared" si="0"/>
        <v>330</v>
      </c>
      <c r="D25" s="113">
        <v>48</v>
      </c>
      <c r="E25" s="113">
        <v>282</v>
      </c>
      <c r="F25" s="114">
        <v>0</v>
      </c>
      <c r="G25" s="112">
        <f t="shared" si="7"/>
        <v>15</v>
      </c>
      <c r="H25" s="113">
        <v>2</v>
      </c>
      <c r="I25" s="113">
        <v>13</v>
      </c>
      <c r="J25" s="114">
        <v>0</v>
      </c>
      <c r="K25" s="115">
        <f t="shared" si="8"/>
        <v>49.8</v>
      </c>
      <c r="L25" s="116">
        <f t="shared" si="1"/>
        <v>31.5</v>
      </c>
      <c r="M25" s="113">
        <f t="shared" si="2"/>
        <v>2.2</v>
      </c>
      <c r="N25" s="113">
        <f t="shared" si="3"/>
        <v>3.3</v>
      </c>
      <c r="O25" s="113">
        <f t="shared" si="4"/>
        <v>23</v>
      </c>
      <c r="P25" s="114">
        <f t="shared" si="5"/>
        <v>3</v>
      </c>
      <c r="Q25" s="117">
        <v>2.2</v>
      </c>
      <c r="R25" s="113">
        <v>3.26</v>
      </c>
      <c r="S25" s="113">
        <v>22.95</v>
      </c>
      <c r="T25" s="113">
        <v>3</v>
      </c>
      <c r="U25" s="113">
        <v>0</v>
      </c>
      <c r="V25" s="113">
        <v>0</v>
      </c>
      <c r="W25" s="113">
        <v>0</v>
      </c>
      <c r="X25" s="113">
        <v>0</v>
      </c>
      <c r="Y25" s="118">
        <v>4</v>
      </c>
      <c r="Z25" s="119">
        <v>14.3</v>
      </c>
      <c r="AA25" s="117">
        <v>28</v>
      </c>
      <c r="AB25" s="120">
        <v>4</v>
      </c>
      <c r="AC25" s="119">
        <v>99</v>
      </c>
      <c r="AD25" s="121">
        <f t="shared" si="6"/>
        <v>174</v>
      </c>
      <c r="AE25" s="113">
        <v>22</v>
      </c>
      <c r="AF25" s="113">
        <v>113</v>
      </c>
      <c r="AG25" s="113">
        <v>22</v>
      </c>
      <c r="AH25" s="113">
        <v>9</v>
      </c>
      <c r="AI25" s="114">
        <v>8</v>
      </c>
      <c r="AJ25" s="87"/>
      <c r="AK25" s="93"/>
      <c r="AL25" s="93"/>
      <c r="AM25" s="93"/>
      <c r="AN25" s="93"/>
      <c r="AO25" s="93"/>
    </row>
    <row r="26" spans="1:41" ht="11.25">
      <c r="A26" s="110" t="s">
        <v>24</v>
      </c>
      <c r="B26" s="111">
        <v>27</v>
      </c>
      <c r="C26" s="112">
        <f t="shared" si="0"/>
        <v>485</v>
      </c>
      <c r="D26" s="113">
        <v>0</v>
      </c>
      <c r="E26" s="113">
        <v>18</v>
      </c>
      <c r="F26" s="114">
        <v>467</v>
      </c>
      <c r="G26" s="112">
        <f t="shared" si="7"/>
        <v>19</v>
      </c>
      <c r="H26" s="113">
        <v>0</v>
      </c>
      <c r="I26" s="113">
        <v>1</v>
      </c>
      <c r="J26" s="114">
        <v>18</v>
      </c>
      <c r="K26" s="115">
        <f t="shared" si="8"/>
        <v>61.3</v>
      </c>
      <c r="L26" s="116">
        <f t="shared" si="1"/>
        <v>45.9</v>
      </c>
      <c r="M26" s="113">
        <f t="shared" si="2"/>
        <v>6.1</v>
      </c>
      <c r="N26" s="113">
        <f t="shared" si="3"/>
        <v>6.9</v>
      </c>
      <c r="O26" s="113">
        <f t="shared" si="4"/>
        <v>19.8</v>
      </c>
      <c r="P26" s="114">
        <f t="shared" si="5"/>
        <v>13.1</v>
      </c>
      <c r="Q26" s="117">
        <v>0</v>
      </c>
      <c r="R26" s="113">
        <v>0</v>
      </c>
      <c r="S26" s="113">
        <v>0.67</v>
      </c>
      <c r="T26" s="113">
        <v>0</v>
      </c>
      <c r="U26" s="113">
        <v>6.07</v>
      </c>
      <c r="V26" s="113">
        <v>6.85</v>
      </c>
      <c r="W26" s="113">
        <v>19.12</v>
      </c>
      <c r="X26" s="113">
        <v>13.1</v>
      </c>
      <c r="Y26" s="118">
        <v>4</v>
      </c>
      <c r="Z26" s="119">
        <v>11.4</v>
      </c>
      <c r="AA26" s="117">
        <v>50</v>
      </c>
      <c r="AB26" s="120">
        <v>5.7</v>
      </c>
      <c r="AC26" s="119">
        <v>0</v>
      </c>
      <c r="AD26" s="121">
        <f t="shared" si="6"/>
        <v>107</v>
      </c>
      <c r="AE26" s="113">
        <v>18</v>
      </c>
      <c r="AF26" s="113">
        <v>49</v>
      </c>
      <c r="AG26" s="113">
        <v>13</v>
      </c>
      <c r="AH26" s="113">
        <v>20</v>
      </c>
      <c r="AI26" s="114">
        <v>7</v>
      </c>
      <c r="AJ26" s="87"/>
      <c r="AK26" s="93"/>
      <c r="AL26" s="93"/>
      <c r="AM26" s="93"/>
      <c r="AN26" s="93"/>
      <c r="AO26" s="93"/>
    </row>
    <row r="27" spans="1:41" ht="11.25">
      <c r="A27" s="110" t="s">
        <v>25</v>
      </c>
      <c r="B27" s="111">
        <v>28</v>
      </c>
      <c r="C27" s="112">
        <f t="shared" si="0"/>
        <v>272</v>
      </c>
      <c r="D27" s="113">
        <v>0</v>
      </c>
      <c r="E27" s="113">
        <v>272</v>
      </c>
      <c r="F27" s="114">
        <v>0</v>
      </c>
      <c r="G27" s="112">
        <f t="shared" si="7"/>
        <v>12</v>
      </c>
      <c r="H27" s="113">
        <v>0</v>
      </c>
      <c r="I27" s="113">
        <v>12</v>
      </c>
      <c r="J27" s="114">
        <v>0</v>
      </c>
      <c r="K27" s="115">
        <f t="shared" si="8"/>
        <v>52</v>
      </c>
      <c r="L27" s="116">
        <f t="shared" si="1"/>
        <v>31</v>
      </c>
      <c r="M27" s="113">
        <f t="shared" si="2"/>
        <v>1</v>
      </c>
      <c r="N27" s="113">
        <f t="shared" si="3"/>
        <v>7</v>
      </c>
      <c r="O27" s="113">
        <f t="shared" si="4"/>
        <v>16</v>
      </c>
      <c r="P27" s="114">
        <f t="shared" si="5"/>
        <v>7</v>
      </c>
      <c r="Q27" s="117">
        <v>1</v>
      </c>
      <c r="R27" s="113">
        <v>7</v>
      </c>
      <c r="S27" s="113">
        <v>16</v>
      </c>
      <c r="T27" s="113">
        <v>7</v>
      </c>
      <c r="U27" s="113">
        <v>0</v>
      </c>
      <c r="V27" s="113">
        <v>0</v>
      </c>
      <c r="W27" s="113">
        <v>0</v>
      </c>
      <c r="X27" s="113">
        <v>0</v>
      </c>
      <c r="Y27" s="118">
        <v>4</v>
      </c>
      <c r="Z27" s="119">
        <v>17</v>
      </c>
      <c r="AA27" s="117">
        <v>24</v>
      </c>
      <c r="AB27" s="120">
        <v>15</v>
      </c>
      <c r="AC27" s="119">
        <v>70</v>
      </c>
      <c r="AD27" s="121">
        <f t="shared" si="6"/>
        <v>172</v>
      </c>
      <c r="AE27" s="113">
        <v>22</v>
      </c>
      <c r="AF27" s="113">
        <v>124</v>
      </c>
      <c r="AG27" s="113">
        <v>8</v>
      </c>
      <c r="AH27" s="113">
        <v>0</v>
      </c>
      <c r="AI27" s="114">
        <v>18</v>
      </c>
      <c r="AJ27" s="87"/>
      <c r="AK27" s="93"/>
      <c r="AL27" s="93"/>
      <c r="AM27" s="93"/>
      <c r="AN27" s="93"/>
      <c r="AO27" s="93"/>
    </row>
    <row r="28" spans="1:41" ht="11.25">
      <c r="A28" s="110" t="s">
        <v>26</v>
      </c>
      <c r="B28" s="111">
        <v>29</v>
      </c>
      <c r="C28" s="112">
        <f t="shared" si="0"/>
        <v>502</v>
      </c>
      <c r="D28" s="113">
        <v>58</v>
      </c>
      <c r="E28" s="113">
        <v>444</v>
      </c>
      <c r="F28" s="114">
        <v>0</v>
      </c>
      <c r="G28" s="112">
        <f t="shared" si="7"/>
        <v>21</v>
      </c>
      <c r="H28" s="113">
        <v>3</v>
      </c>
      <c r="I28" s="113">
        <v>18</v>
      </c>
      <c r="J28" s="114">
        <v>0</v>
      </c>
      <c r="K28" s="115">
        <f t="shared" si="8"/>
        <v>58.2</v>
      </c>
      <c r="L28" s="116">
        <f t="shared" si="1"/>
        <v>40.2</v>
      </c>
      <c r="M28" s="113">
        <f t="shared" si="2"/>
        <v>3.7</v>
      </c>
      <c r="N28" s="113">
        <f t="shared" si="3"/>
        <v>7.3</v>
      </c>
      <c r="O28" s="113">
        <f t="shared" si="4"/>
        <v>27.2</v>
      </c>
      <c r="P28" s="114">
        <f t="shared" si="5"/>
        <v>2</v>
      </c>
      <c r="Q28" s="117">
        <v>3.7</v>
      </c>
      <c r="R28" s="113">
        <v>7.3</v>
      </c>
      <c r="S28" s="113">
        <v>27.2</v>
      </c>
      <c r="T28" s="113">
        <v>2</v>
      </c>
      <c r="U28" s="113">
        <v>0</v>
      </c>
      <c r="V28" s="113">
        <v>0</v>
      </c>
      <c r="W28" s="113">
        <v>0</v>
      </c>
      <c r="X28" s="113">
        <v>0</v>
      </c>
      <c r="Y28" s="118">
        <v>4</v>
      </c>
      <c r="Z28" s="119">
        <v>14</v>
      </c>
      <c r="AA28" s="117">
        <v>12</v>
      </c>
      <c r="AB28" s="120">
        <v>2</v>
      </c>
      <c r="AC28" s="119">
        <v>0</v>
      </c>
      <c r="AD28" s="121">
        <f t="shared" si="6"/>
        <v>166</v>
      </c>
      <c r="AE28" s="113">
        <v>32</v>
      </c>
      <c r="AF28" s="113">
        <v>64</v>
      </c>
      <c r="AG28" s="113">
        <v>44</v>
      </c>
      <c r="AH28" s="113">
        <v>13</v>
      </c>
      <c r="AI28" s="114">
        <v>13</v>
      </c>
      <c r="AJ28" s="87"/>
      <c r="AK28" s="93"/>
      <c r="AL28" s="93"/>
      <c r="AM28" s="93"/>
      <c r="AN28" s="93"/>
      <c r="AO28" s="93"/>
    </row>
    <row r="29" spans="1:41" ht="11.25">
      <c r="A29" s="110" t="s">
        <v>27</v>
      </c>
      <c r="B29" s="111">
        <v>31</v>
      </c>
      <c r="C29" s="112">
        <f t="shared" si="0"/>
        <v>1413</v>
      </c>
      <c r="D29" s="113">
        <v>98</v>
      </c>
      <c r="E29" s="113">
        <v>843</v>
      </c>
      <c r="F29" s="114">
        <v>472</v>
      </c>
      <c r="G29" s="112">
        <f t="shared" si="7"/>
        <v>52.7</v>
      </c>
      <c r="H29" s="113">
        <v>4</v>
      </c>
      <c r="I29" s="113">
        <v>30</v>
      </c>
      <c r="J29" s="114">
        <v>18.7</v>
      </c>
      <c r="K29" s="115">
        <f t="shared" si="8"/>
        <v>141.7</v>
      </c>
      <c r="L29" s="116">
        <f t="shared" si="1"/>
        <v>105.2</v>
      </c>
      <c r="M29" s="113">
        <f t="shared" si="2"/>
        <v>9.8</v>
      </c>
      <c r="N29" s="113">
        <f t="shared" si="3"/>
        <v>13.7</v>
      </c>
      <c r="O29" s="113">
        <f t="shared" si="4"/>
        <v>68.9</v>
      </c>
      <c r="P29" s="114">
        <f t="shared" si="5"/>
        <v>12.8</v>
      </c>
      <c r="Q29" s="117">
        <v>5.1</v>
      </c>
      <c r="R29" s="113">
        <v>9</v>
      </c>
      <c r="S29" s="113">
        <v>44.7</v>
      </c>
      <c r="T29" s="113">
        <v>4.25</v>
      </c>
      <c r="U29" s="113">
        <v>4.7</v>
      </c>
      <c r="V29" s="113">
        <v>4.7</v>
      </c>
      <c r="W29" s="113">
        <v>24.2</v>
      </c>
      <c r="X29" s="113">
        <v>8.5</v>
      </c>
      <c r="Y29" s="118">
        <v>7</v>
      </c>
      <c r="Z29" s="119">
        <v>29.5</v>
      </c>
      <c r="AA29" s="117">
        <v>94.3</v>
      </c>
      <c r="AB29" s="120">
        <v>16</v>
      </c>
      <c r="AC29" s="119">
        <v>131.3</v>
      </c>
      <c r="AD29" s="121">
        <f t="shared" si="6"/>
        <v>339.4</v>
      </c>
      <c r="AE29" s="113">
        <v>70.7</v>
      </c>
      <c r="AF29" s="113">
        <v>153</v>
      </c>
      <c r="AG29" s="113">
        <v>44</v>
      </c>
      <c r="AH29" s="113">
        <v>41.7</v>
      </c>
      <c r="AI29" s="114">
        <v>30</v>
      </c>
      <c r="AJ29" s="87"/>
      <c r="AK29" s="93"/>
      <c r="AL29" s="93"/>
      <c r="AM29" s="93"/>
      <c r="AN29" s="93"/>
      <c r="AO29" s="93"/>
    </row>
    <row r="30" spans="1:41" ht="11.25">
      <c r="A30" s="110" t="s">
        <v>28</v>
      </c>
      <c r="B30" s="111">
        <v>33</v>
      </c>
      <c r="C30" s="112">
        <f t="shared" si="0"/>
        <v>662</v>
      </c>
      <c r="D30" s="113">
        <v>0</v>
      </c>
      <c r="E30" s="113">
        <v>662</v>
      </c>
      <c r="F30" s="114">
        <v>0</v>
      </c>
      <c r="G30" s="112">
        <f t="shared" si="7"/>
        <v>26</v>
      </c>
      <c r="H30" s="113">
        <v>0</v>
      </c>
      <c r="I30" s="113">
        <v>26</v>
      </c>
      <c r="J30" s="114">
        <v>0</v>
      </c>
      <c r="K30" s="115">
        <f t="shared" si="8"/>
        <v>74.3</v>
      </c>
      <c r="L30" s="116">
        <f t="shared" si="1"/>
        <v>53.9</v>
      </c>
      <c r="M30" s="113">
        <f t="shared" si="2"/>
        <v>1.3</v>
      </c>
      <c r="N30" s="113">
        <f t="shared" si="3"/>
        <v>7.6</v>
      </c>
      <c r="O30" s="113">
        <f t="shared" si="4"/>
        <v>23.8</v>
      </c>
      <c r="P30" s="114">
        <f t="shared" si="5"/>
        <v>21.2</v>
      </c>
      <c r="Q30" s="117">
        <v>1.25</v>
      </c>
      <c r="R30" s="113">
        <v>7.64</v>
      </c>
      <c r="S30" s="113">
        <v>23.77</v>
      </c>
      <c r="T30" s="113">
        <v>21.16</v>
      </c>
      <c r="U30" s="113">
        <v>0</v>
      </c>
      <c r="V30" s="113">
        <v>0</v>
      </c>
      <c r="W30" s="113">
        <v>0</v>
      </c>
      <c r="X30" s="113">
        <v>0</v>
      </c>
      <c r="Y30" s="118">
        <v>5.3</v>
      </c>
      <c r="Z30" s="119">
        <v>15.1</v>
      </c>
      <c r="AA30" s="117">
        <v>26</v>
      </c>
      <c r="AB30" s="120">
        <v>4</v>
      </c>
      <c r="AC30" s="119">
        <v>115</v>
      </c>
      <c r="AD30" s="121">
        <f t="shared" si="6"/>
        <v>237</v>
      </c>
      <c r="AE30" s="113">
        <v>27</v>
      </c>
      <c r="AF30" s="113">
        <v>114</v>
      </c>
      <c r="AG30" s="113">
        <v>16</v>
      </c>
      <c r="AH30" s="113">
        <v>79</v>
      </c>
      <c r="AI30" s="114">
        <v>1</v>
      </c>
      <c r="AJ30" s="87"/>
      <c r="AK30" s="93"/>
      <c r="AL30" s="93"/>
      <c r="AM30" s="93"/>
      <c r="AN30" s="93"/>
      <c r="AO30" s="93"/>
    </row>
    <row r="31" spans="1:41" ht="11.25">
      <c r="A31" s="110" t="s">
        <v>29</v>
      </c>
      <c r="B31" s="111">
        <v>34</v>
      </c>
      <c r="C31" s="112">
        <f t="shared" si="0"/>
        <v>327.5</v>
      </c>
      <c r="D31" s="113">
        <v>36.3</v>
      </c>
      <c r="E31" s="113">
        <v>291.2</v>
      </c>
      <c r="F31" s="114">
        <v>0</v>
      </c>
      <c r="G31" s="112">
        <f t="shared" si="7"/>
        <v>18</v>
      </c>
      <c r="H31" s="113">
        <v>2</v>
      </c>
      <c r="I31" s="113">
        <v>16</v>
      </c>
      <c r="J31" s="114">
        <v>0</v>
      </c>
      <c r="K31" s="115">
        <f t="shared" si="8"/>
        <v>63.9</v>
      </c>
      <c r="L31" s="116">
        <f t="shared" si="1"/>
        <v>47.9</v>
      </c>
      <c r="M31" s="113">
        <f t="shared" si="2"/>
        <v>2.3</v>
      </c>
      <c r="N31" s="113">
        <f t="shared" si="3"/>
        <v>8.8</v>
      </c>
      <c r="O31" s="113">
        <f t="shared" si="4"/>
        <v>32.3</v>
      </c>
      <c r="P31" s="114">
        <f t="shared" si="5"/>
        <v>4.5</v>
      </c>
      <c r="Q31" s="117">
        <v>2.26</v>
      </c>
      <c r="R31" s="113">
        <v>8.76</v>
      </c>
      <c r="S31" s="113">
        <v>32.26</v>
      </c>
      <c r="T31" s="113">
        <v>4.52</v>
      </c>
      <c r="U31" s="113">
        <v>0</v>
      </c>
      <c r="V31" s="113">
        <v>0</v>
      </c>
      <c r="W31" s="113">
        <v>0</v>
      </c>
      <c r="X31" s="113">
        <v>0</v>
      </c>
      <c r="Y31" s="118">
        <v>4.3</v>
      </c>
      <c r="Z31" s="119">
        <v>11.7</v>
      </c>
      <c r="AA31" s="117">
        <v>9.7</v>
      </c>
      <c r="AB31" s="120">
        <v>5</v>
      </c>
      <c r="AC31" s="119">
        <v>73</v>
      </c>
      <c r="AD31" s="121">
        <f t="shared" si="6"/>
        <v>125.9</v>
      </c>
      <c r="AE31" s="113">
        <v>20.3</v>
      </c>
      <c r="AF31" s="113">
        <v>70.2</v>
      </c>
      <c r="AG31" s="113">
        <v>21.2</v>
      </c>
      <c r="AH31" s="113">
        <v>5.3</v>
      </c>
      <c r="AI31" s="114">
        <v>8.9</v>
      </c>
      <c r="AJ31" s="87"/>
      <c r="AK31" s="93"/>
      <c r="AL31" s="93"/>
      <c r="AM31" s="93"/>
      <c r="AN31" s="93"/>
      <c r="AO31" s="93"/>
    </row>
    <row r="32" spans="1:41" ht="11.25">
      <c r="A32" s="110" t="s">
        <v>30</v>
      </c>
      <c r="B32" s="111">
        <v>35</v>
      </c>
      <c r="C32" s="112">
        <f t="shared" si="0"/>
        <v>432</v>
      </c>
      <c r="D32" s="113">
        <v>67</v>
      </c>
      <c r="E32" s="113">
        <v>365</v>
      </c>
      <c r="F32" s="114">
        <v>0</v>
      </c>
      <c r="G32" s="112">
        <f t="shared" si="7"/>
        <v>18.5</v>
      </c>
      <c r="H32" s="113">
        <v>2.5</v>
      </c>
      <c r="I32" s="113">
        <v>16</v>
      </c>
      <c r="J32" s="114">
        <v>0</v>
      </c>
      <c r="K32" s="115">
        <f t="shared" si="8"/>
        <v>55.2</v>
      </c>
      <c r="L32" s="116">
        <f t="shared" si="1"/>
        <v>38.9</v>
      </c>
      <c r="M32" s="113">
        <f t="shared" si="2"/>
        <v>3.8</v>
      </c>
      <c r="N32" s="113">
        <f t="shared" si="3"/>
        <v>5.9</v>
      </c>
      <c r="O32" s="113">
        <f t="shared" si="4"/>
        <v>24.6</v>
      </c>
      <c r="P32" s="114">
        <f t="shared" si="5"/>
        <v>4.6</v>
      </c>
      <c r="Q32" s="117">
        <v>3.83</v>
      </c>
      <c r="R32" s="113">
        <v>5.92</v>
      </c>
      <c r="S32" s="113">
        <v>24.62</v>
      </c>
      <c r="T32" s="113">
        <v>4.62</v>
      </c>
      <c r="U32" s="113">
        <v>0</v>
      </c>
      <c r="V32" s="113">
        <v>0</v>
      </c>
      <c r="W32" s="113">
        <v>0</v>
      </c>
      <c r="X32" s="113">
        <v>0</v>
      </c>
      <c r="Y32" s="118">
        <v>4.5</v>
      </c>
      <c r="Z32" s="119">
        <v>11.8</v>
      </c>
      <c r="AA32" s="117">
        <v>94.3</v>
      </c>
      <c r="AB32" s="120">
        <v>23</v>
      </c>
      <c r="AC32" s="119">
        <v>75</v>
      </c>
      <c r="AD32" s="121">
        <f t="shared" si="6"/>
        <v>225</v>
      </c>
      <c r="AE32" s="113">
        <v>47</v>
      </c>
      <c r="AF32" s="113">
        <v>87</v>
      </c>
      <c r="AG32" s="113">
        <v>52</v>
      </c>
      <c r="AH32" s="113">
        <v>28</v>
      </c>
      <c r="AI32" s="114">
        <v>11</v>
      </c>
      <c r="AJ32" s="87"/>
      <c r="AK32" s="93"/>
      <c r="AL32" s="93"/>
      <c r="AM32" s="93"/>
      <c r="AN32" s="93"/>
      <c r="AO32" s="93"/>
    </row>
    <row r="33" spans="1:41" ht="11.25">
      <c r="A33" s="110" t="s">
        <v>31</v>
      </c>
      <c r="B33" s="111" t="s">
        <v>67</v>
      </c>
      <c r="C33" s="112">
        <f t="shared" si="0"/>
        <v>563.5</v>
      </c>
      <c r="D33" s="113">
        <v>0</v>
      </c>
      <c r="E33" s="113">
        <v>0</v>
      </c>
      <c r="F33" s="114">
        <v>563.5</v>
      </c>
      <c r="G33" s="112">
        <f t="shared" si="7"/>
        <v>20</v>
      </c>
      <c r="H33" s="113">
        <v>0</v>
      </c>
      <c r="I33" s="113">
        <v>0</v>
      </c>
      <c r="J33" s="114">
        <v>20</v>
      </c>
      <c r="K33" s="115">
        <f t="shared" si="8"/>
        <v>55.8</v>
      </c>
      <c r="L33" s="116">
        <f t="shared" si="1"/>
        <v>46.5</v>
      </c>
      <c r="M33" s="113">
        <f t="shared" si="2"/>
        <v>4.4</v>
      </c>
      <c r="N33" s="113">
        <f t="shared" si="3"/>
        <v>16.7</v>
      </c>
      <c r="O33" s="113">
        <f t="shared" si="4"/>
        <v>18.8</v>
      </c>
      <c r="P33" s="114">
        <f t="shared" si="5"/>
        <v>6.6</v>
      </c>
      <c r="Q33" s="117">
        <v>0</v>
      </c>
      <c r="R33" s="113">
        <v>0</v>
      </c>
      <c r="S33" s="113">
        <v>0</v>
      </c>
      <c r="T33" s="113">
        <v>0</v>
      </c>
      <c r="U33" s="113">
        <v>4.38</v>
      </c>
      <c r="V33" s="113">
        <v>16.67</v>
      </c>
      <c r="W33" s="113">
        <v>18.78</v>
      </c>
      <c r="X33" s="113">
        <v>6.57</v>
      </c>
      <c r="Y33" s="118">
        <v>1.5</v>
      </c>
      <c r="Z33" s="119">
        <v>7.8</v>
      </c>
      <c r="AA33" s="117">
        <v>28</v>
      </c>
      <c r="AB33" s="120">
        <v>3.3</v>
      </c>
      <c r="AC33" s="119">
        <v>0</v>
      </c>
      <c r="AD33" s="121">
        <f t="shared" si="6"/>
        <v>144.3</v>
      </c>
      <c r="AE33" s="113">
        <v>19.3</v>
      </c>
      <c r="AF33" s="113">
        <v>75.3</v>
      </c>
      <c r="AG33" s="113">
        <v>14.5</v>
      </c>
      <c r="AH33" s="113">
        <v>13</v>
      </c>
      <c r="AI33" s="114">
        <v>22.2</v>
      </c>
      <c r="AJ33" s="87"/>
      <c r="AK33" s="93"/>
      <c r="AL33" s="93"/>
      <c r="AM33" s="93"/>
      <c r="AN33" s="93"/>
      <c r="AO33" s="93"/>
    </row>
    <row r="34" spans="1:41" ht="11.25">
      <c r="A34" s="110" t="s">
        <v>32</v>
      </c>
      <c r="B34" s="111">
        <v>37</v>
      </c>
      <c r="C34" s="112">
        <f t="shared" si="0"/>
        <v>144</v>
      </c>
      <c r="D34" s="113">
        <v>18</v>
      </c>
      <c r="E34" s="113">
        <v>126</v>
      </c>
      <c r="F34" s="114">
        <v>0</v>
      </c>
      <c r="G34" s="112">
        <f t="shared" si="7"/>
        <v>7</v>
      </c>
      <c r="H34" s="113">
        <v>1</v>
      </c>
      <c r="I34" s="113">
        <v>6</v>
      </c>
      <c r="J34" s="114">
        <v>0</v>
      </c>
      <c r="K34" s="115">
        <f t="shared" si="8"/>
        <v>22</v>
      </c>
      <c r="L34" s="116">
        <f t="shared" si="1"/>
        <v>14.6</v>
      </c>
      <c r="M34" s="113">
        <f t="shared" si="2"/>
        <v>1.6</v>
      </c>
      <c r="N34" s="113">
        <f t="shared" si="3"/>
        <v>1.7</v>
      </c>
      <c r="O34" s="113">
        <f t="shared" si="4"/>
        <v>9.4</v>
      </c>
      <c r="P34" s="114">
        <f t="shared" si="5"/>
        <v>1.9</v>
      </c>
      <c r="Q34" s="117">
        <v>1.59</v>
      </c>
      <c r="R34" s="113">
        <v>1.69</v>
      </c>
      <c r="S34" s="113">
        <v>9.35</v>
      </c>
      <c r="T34" s="113">
        <v>1.85</v>
      </c>
      <c r="U34" s="113">
        <v>0</v>
      </c>
      <c r="V34" s="113">
        <v>0</v>
      </c>
      <c r="W34" s="113">
        <v>0</v>
      </c>
      <c r="X34" s="113">
        <v>0</v>
      </c>
      <c r="Y34" s="118">
        <v>3.3</v>
      </c>
      <c r="Z34" s="119">
        <v>4.1</v>
      </c>
      <c r="AA34" s="117">
        <v>14</v>
      </c>
      <c r="AB34" s="120">
        <v>2</v>
      </c>
      <c r="AC34" s="119">
        <v>0</v>
      </c>
      <c r="AD34" s="121">
        <f t="shared" si="6"/>
        <v>31</v>
      </c>
      <c r="AE34" s="113">
        <v>0</v>
      </c>
      <c r="AF34" s="113">
        <v>10</v>
      </c>
      <c r="AG34" s="113">
        <v>21</v>
      </c>
      <c r="AH34" s="113">
        <v>0</v>
      </c>
      <c r="AI34" s="114">
        <v>0</v>
      </c>
      <c r="AJ34" s="87"/>
      <c r="AK34" s="93"/>
      <c r="AL34" s="93"/>
      <c r="AM34" s="93"/>
      <c r="AN34" s="93"/>
      <c r="AO34" s="93"/>
    </row>
    <row r="35" spans="1:41" ht="11.25">
      <c r="A35" s="110" t="s">
        <v>33</v>
      </c>
      <c r="B35" s="111">
        <v>39</v>
      </c>
      <c r="C35" s="112">
        <f t="shared" si="0"/>
        <v>794</v>
      </c>
      <c r="D35" s="113">
        <v>0</v>
      </c>
      <c r="E35" s="113">
        <v>794</v>
      </c>
      <c r="F35" s="114">
        <v>0</v>
      </c>
      <c r="G35" s="112">
        <f t="shared" si="7"/>
        <v>32</v>
      </c>
      <c r="H35" s="113">
        <v>0</v>
      </c>
      <c r="I35" s="113">
        <v>32</v>
      </c>
      <c r="J35" s="114">
        <v>0</v>
      </c>
      <c r="K35" s="115">
        <f t="shared" si="8"/>
        <v>90.5</v>
      </c>
      <c r="L35" s="116">
        <f t="shared" si="1"/>
        <v>65.2</v>
      </c>
      <c r="M35" s="113">
        <f t="shared" si="2"/>
        <v>5.5</v>
      </c>
      <c r="N35" s="113">
        <f t="shared" si="3"/>
        <v>8.4</v>
      </c>
      <c r="O35" s="113">
        <f t="shared" si="4"/>
        <v>38.9</v>
      </c>
      <c r="P35" s="114">
        <f t="shared" si="5"/>
        <v>12.4</v>
      </c>
      <c r="Q35" s="117">
        <v>5.5</v>
      </c>
      <c r="R35" s="113">
        <v>8.42</v>
      </c>
      <c r="S35" s="113">
        <v>38.9</v>
      </c>
      <c r="T35" s="113">
        <v>12.42</v>
      </c>
      <c r="U35" s="113">
        <v>0</v>
      </c>
      <c r="V35" s="113">
        <v>0</v>
      </c>
      <c r="W35" s="113">
        <v>0</v>
      </c>
      <c r="X35" s="113">
        <v>0</v>
      </c>
      <c r="Y35" s="118">
        <v>5.5</v>
      </c>
      <c r="Z35" s="119">
        <v>19.8</v>
      </c>
      <c r="AA35" s="117">
        <v>20.7</v>
      </c>
      <c r="AB35" s="120">
        <v>2.6</v>
      </c>
      <c r="AC35" s="119">
        <v>177.3</v>
      </c>
      <c r="AD35" s="121">
        <f t="shared" si="6"/>
        <v>266.3</v>
      </c>
      <c r="AE35" s="113">
        <v>59.6</v>
      </c>
      <c r="AF35" s="113">
        <v>158</v>
      </c>
      <c r="AG35" s="113">
        <v>25</v>
      </c>
      <c r="AH35" s="113">
        <v>16.2</v>
      </c>
      <c r="AI35" s="114">
        <v>7.5</v>
      </c>
      <c r="AJ35" s="87"/>
      <c r="AK35" s="93"/>
      <c r="AL35" s="93"/>
      <c r="AM35" s="93"/>
      <c r="AN35" s="93"/>
      <c r="AO35" s="93"/>
    </row>
    <row r="36" spans="1:41" ht="11.25">
      <c r="A36" s="110" t="s">
        <v>34</v>
      </c>
      <c r="B36" s="111">
        <v>40</v>
      </c>
      <c r="C36" s="112">
        <f t="shared" si="0"/>
        <v>936</v>
      </c>
      <c r="D36" s="113">
        <v>86</v>
      </c>
      <c r="E36" s="113">
        <v>850</v>
      </c>
      <c r="F36" s="114">
        <v>0</v>
      </c>
      <c r="G36" s="112">
        <f t="shared" si="7"/>
        <v>39</v>
      </c>
      <c r="H36" s="113">
        <v>3</v>
      </c>
      <c r="I36" s="113">
        <v>36</v>
      </c>
      <c r="J36" s="114">
        <v>0</v>
      </c>
      <c r="K36" s="115">
        <f t="shared" si="8"/>
        <v>89.3</v>
      </c>
      <c r="L36" s="116">
        <f t="shared" si="1"/>
        <v>64.6</v>
      </c>
      <c r="M36" s="113">
        <f t="shared" si="2"/>
        <v>2.8</v>
      </c>
      <c r="N36" s="113">
        <f t="shared" si="3"/>
        <v>6</v>
      </c>
      <c r="O36" s="113">
        <f t="shared" si="4"/>
        <v>43.7</v>
      </c>
      <c r="P36" s="114">
        <f t="shared" si="5"/>
        <v>12.1</v>
      </c>
      <c r="Q36" s="117">
        <v>2.76</v>
      </c>
      <c r="R36" s="113">
        <v>6.02</v>
      </c>
      <c r="S36" s="113">
        <v>43.67</v>
      </c>
      <c r="T36" s="113">
        <v>12.06</v>
      </c>
      <c r="U36" s="113">
        <v>0</v>
      </c>
      <c r="V36" s="113">
        <v>0</v>
      </c>
      <c r="W36" s="113">
        <v>0</v>
      </c>
      <c r="X36" s="113">
        <v>0</v>
      </c>
      <c r="Y36" s="118">
        <v>5.8</v>
      </c>
      <c r="Z36" s="119">
        <v>18.9</v>
      </c>
      <c r="AA36" s="117">
        <v>19</v>
      </c>
      <c r="AB36" s="120">
        <v>5</v>
      </c>
      <c r="AC36" s="119">
        <v>116</v>
      </c>
      <c r="AD36" s="121">
        <f t="shared" si="6"/>
        <v>247</v>
      </c>
      <c r="AE36" s="113">
        <v>72</v>
      </c>
      <c r="AF36" s="113">
        <v>140</v>
      </c>
      <c r="AG36" s="113">
        <v>21</v>
      </c>
      <c r="AH36" s="113">
        <v>9</v>
      </c>
      <c r="AI36" s="114">
        <v>5</v>
      </c>
      <c r="AJ36" s="87"/>
      <c r="AK36" s="93"/>
      <c r="AL36" s="93"/>
      <c r="AM36" s="93"/>
      <c r="AN36" s="93"/>
      <c r="AO36" s="93"/>
    </row>
    <row r="37" spans="1:41" ht="11.25">
      <c r="A37" s="110" t="s">
        <v>35</v>
      </c>
      <c r="B37" s="111">
        <v>41</v>
      </c>
      <c r="C37" s="112">
        <f t="shared" si="0"/>
        <v>528</v>
      </c>
      <c r="D37" s="113">
        <v>0</v>
      </c>
      <c r="E37" s="113">
        <v>78</v>
      </c>
      <c r="F37" s="114">
        <v>450</v>
      </c>
      <c r="G37" s="112">
        <f t="shared" si="7"/>
        <v>20</v>
      </c>
      <c r="H37" s="113">
        <v>0</v>
      </c>
      <c r="I37" s="113">
        <v>3.3</v>
      </c>
      <c r="J37" s="114">
        <v>16.7</v>
      </c>
      <c r="K37" s="115">
        <f t="shared" si="8"/>
        <v>68.5</v>
      </c>
      <c r="L37" s="116">
        <f t="shared" si="1"/>
        <v>46.6</v>
      </c>
      <c r="M37" s="113">
        <f t="shared" si="2"/>
        <v>2.3</v>
      </c>
      <c r="N37" s="113">
        <f t="shared" si="3"/>
        <v>14.7</v>
      </c>
      <c r="O37" s="113">
        <f t="shared" si="4"/>
        <v>27.6</v>
      </c>
      <c r="P37" s="114">
        <f t="shared" si="5"/>
        <v>2</v>
      </c>
      <c r="Q37" s="117">
        <v>0.9</v>
      </c>
      <c r="R37" s="113">
        <v>1.4</v>
      </c>
      <c r="S37" s="113">
        <v>6.37</v>
      </c>
      <c r="T37" s="113">
        <v>0</v>
      </c>
      <c r="U37" s="113">
        <v>1.37</v>
      </c>
      <c r="V37" s="113">
        <v>13.26</v>
      </c>
      <c r="W37" s="113">
        <v>21.25</v>
      </c>
      <c r="X37" s="113">
        <v>2.02</v>
      </c>
      <c r="Y37" s="118">
        <v>4.7</v>
      </c>
      <c r="Z37" s="119">
        <v>17.2</v>
      </c>
      <c r="AA37" s="117">
        <v>63.3</v>
      </c>
      <c r="AB37" s="120">
        <v>7.7</v>
      </c>
      <c r="AC37" s="119">
        <v>0</v>
      </c>
      <c r="AD37" s="121">
        <f t="shared" si="6"/>
        <v>209</v>
      </c>
      <c r="AE37" s="113">
        <v>51</v>
      </c>
      <c r="AF37" s="113">
        <v>69</v>
      </c>
      <c r="AG37" s="113">
        <v>33</v>
      </c>
      <c r="AH37" s="113">
        <v>9</v>
      </c>
      <c r="AI37" s="114">
        <v>47</v>
      </c>
      <c r="AJ37" s="87"/>
      <c r="AK37" s="93"/>
      <c r="AL37" s="93"/>
      <c r="AM37" s="93"/>
      <c r="AN37" s="93"/>
      <c r="AO37" s="93"/>
    </row>
    <row r="38" spans="1:41" ht="11.25">
      <c r="A38" s="110" t="s">
        <v>36</v>
      </c>
      <c r="B38" s="111">
        <v>42</v>
      </c>
      <c r="C38" s="112">
        <f t="shared" si="0"/>
        <v>916</v>
      </c>
      <c r="D38" s="113">
        <v>44</v>
      </c>
      <c r="E38" s="113">
        <v>408</v>
      </c>
      <c r="F38" s="114">
        <v>464</v>
      </c>
      <c r="G38" s="112">
        <f t="shared" si="7"/>
        <v>35</v>
      </c>
      <c r="H38" s="113">
        <v>2</v>
      </c>
      <c r="I38" s="113">
        <v>16</v>
      </c>
      <c r="J38" s="114">
        <v>17</v>
      </c>
      <c r="K38" s="115">
        <f t="shared" si="8"/>
        <v>109</v>
      </c>
      <c r="L38" s="116">
        <f t="shared" si="1"/>
        <v>79.9</v>
      </c>
      <c r="M38" s="113">
        <f t="shared" si="2"/>
        <v>2.9</v>
      </c>
      <c r="N38" s="113">
        <f t="shared" si="3"/>
        <v>8.2</v>
      </c>
      <c r="O38" s="113">
        <f t="shared" si="4"/>
        <v>53.7</v>
      </c>
      <c r="P38" s="114">
        <f t="shared" si="5"/>
        <v>15.1</v>
      </c>
      <c r="Q38" s="117">
        <v>2.22</v>
      </c>
      <c r="R38" s="113">
        <v>2.05</v>
      </c>
      <c r="S38" s="113">
        <v>28.02</v>
      </c>
      <c r="T38" s="113">
        <v>5.27</v>
      </c>
      <c r="U38" s="113">
        <v>0.69</v>
      </c>
      <c r="V38" s="113">
        <v>6.11</v>
      </c>
      <c r="W38" s="113">
        <v>25.67</v>
      </c>
      <c r="X38" s="113">
        <v>9.87</v>
      </c>
      <c r="Y38" s="118">
        <v>5.5</v>
      </c>
      <c r="Z38" s="119">
        <v>23.6</v>
      </c>
      <c r="AA38" s="117">
        <v>52.6</v>
      </c>
      <c r="AB38" s="120">
        <v>6</v>
      </c>
      <c r="AC38" s="119">
        <v>106</v>
      </c>
      <c r="AD38" s="121">
        <f t="shared" si="6"/>
        <v>197</v>
      </c>
      <c r="AE38" s="113">
        <v>36</v>
      </c>
      <c r="AF38" s="113">
        <v>107</v>
      </c>
      <c r="AG38" s="113">
        <v>18</v>
      </c>
      <c r="AH38" s="113">
        <v>10</v>
      </c>
      <c r="AI38" s="114">
        <v>26</v>
      </c>
      <c r="AJ38" s="87"/>
      <c r="AK38" s="93"/>
      <c r="AL38" s="93"/>
      <c r="AM38" s="93"/>
      <c r="AN38" s="93"/>
      <c r="AO38" s="93"/>
    </row>
    <row r="39" spans="1:41" ht="11.25">
      <c r="A39" s="110" t="s">
        <v>37</v>
      </c>
      <c r="B39" s="111">
        <v>43</v>
      </c>
      <c r="C39" s="112">
        <f t="shared" si="0"/>
        <v>1139</v>
      </c>
      <c r="D39" s="113">
        <v>63</v>
      </c>
      <c r="E39" s="113">
        <v>553</v>
      </c>
      <c r="F39" s="114">
        <v>523</v>
      </c>
      <c r="G39" s="112">
        <f t="shared" si="7"/>
        <v>46.3</v>
      </c>
      <c r="H39" s="113">
        <v>2.3</v>
      </c>
      <c r="I39" s="113">
        <v>23.7</v>
      </c>
      <c r="J39" s="114">
        <v>20.3</v>
      </c>
      <c r="K39" s="115">
        <f t="shared" si="8"/>
        <v>132.2</v>
      </c>
      <c r="L39" s="116">
        <f t="shared" si="1"/>
        <v>96.9</v>
      </c>
      <c r="M39" s="113">
        <f t="shared" si="2"/>
        <v>4</v>
      </c>
      <c r="N39" s="113">
        <f t="shared" si="3"/>
        <v>6.8</v>
      </c>
      <c r="O39" s="113">
        <f t="shared" si="4"/>
        <v>63.4</v>
      </c>
      <c r="P39" s="114">
        <f t="shared" si="5"/>
        <v>22.7</v>
      </c>
      <c r="Q39" s="117">
        <v>2.81</v>
      </c>
      <c r="R39" s="113">
        <v>0.59</v>
      </c>
      <c r="S39" s="113">
        <v>36.15</v>
      </c>
      <c r="T39" s="113">
        <v>9.3</v>
      </c>
      <c r="U39" s="113">
        <v>1.15</v>
      </c>
      <c r="V39" s="113">
        <v>6.19</v>
      </c>
      <c r="W39" s="113">
        <v>27.2</v>
      </c>
      <c r="X39" s="113">
        <v>13.35</v>
      </c>
      <c r="Y39" s="118">
        <v>6.5</v>
      </c>
      <c r="Z39" s="119">
        <v>28.8</v>
      </c>
      <c r="AA39" s="117">
        <v>28</v>
      </c>
      <c r="AB39" s="120">
        <v>7</v>
      </c>
      <c r="AC39" s="119">
        <v>92</v>
      </c>
      <c r="AD39" s="121">
        <f t="shared" si="6"/>
        <v>205</v>
      </c>
      <c r="AE39" s="113">
        <v>44</v>
      </c>
      <c r="AF39" s="113">
        <v>99</v>
      </c>
      <c r="AG39" s="113">
        <v>36</v>
      </c>
      <c r="AH39" s="113">
        <v>9</v>
      </c>
      <c r="AI39" s="114">
        <v>17</v>
      </c>
      <c r="AJ39" s="87"/>
      <c r="AK39" s="93"/>
      <c r="AL39" s="93"/>
      <c r="AM39" s="93"/>
      <c r="AN39" s="93"/>
      <c r="AO39" s="93"/>
    </row>
    <row r="40" spans="1:41" ht="11.25">
      <c r="A40" s="110" t="s">
        <v>38</v>
      </c>
      <c r="B40" s="111">
        <v>44</v>
      </c>
      <c r="C40" s="112">
        <f t="shared" si="0"/>
        <v>767.8</v>
      </c>
      <c r="D40" s="113">
        <v>0</v>
      </c>
      <c r="E40" s="113">
        <v>210.6</v>
      </c>
      <c r="F40" s="114">
        <v>557.2</v>
      </c>
      <c r="G40" s="112">
        <f t="shared" si="7"/>
        <v>30.4</v>
      </c>
      <c r="H40" s="113">
        <v>0</v>
      </c>
      <c r="I40" s="113">
        <v>9.7</v>
      </c>
      <c r="J40" s="114">
        <v>20.7</v>
      </c>
      <c r="K40" s="115">
        <f t="shared" si="8"/>
        <v>80.6</v>
      </c>
      <c r="L40" s="116">
        <f t="shared" si="1"/>
        <v>60.8</v>
      </c>
      <c r="M40" s="113">
        <f t="shared" si="2"/>
        <v>3.9</v>
      </c>
      <c r="N40" s="113">
        <f t="shared" si="3"/>
        <v>16.8</v>
      </c>
      <c r="O40" s="113">
        <f t="shared" si="4"/>
        <v>30</v>
      </c>
      <c r="P40" s="114">
        <f t="shared" si="5"/>
        <v>10.1</v>
      </c>
      <c r="Q40" s="117">
        <v>1.87</v>
      </c>
      <c r="R40" s="113">
        <v>3.36</v>
      </c>
      <c r="S40" s="113">
        <v>11.88</v>
      </c>
      <c r="T40" s="113">
        <v>1.44</v>
      </c>
      <c r="U40" s="113">
        <v>1.98</v>
      </c>
      <c r="V40" s="113">
        <v>13.48</v>
      </c>
      <c r="W40" s="113">
        <v>18.09</v>
      </c>
      <c r="X40" s="113">
        <v>8.69</v>
      </c>
      <c r="Y40" s="118">
        <v>5.3</v>
      </c>
      <c r="Z40" s="119">
        <v>14.5</v>
      </c>
      <c r="AA40" s="117">
        <v>18.5</v>
      </c>
      <c r="AB40" s="120">
        <v>2.7</v>
      </c>
      <c r="AC40" s="119">
        <v>88</v>
      </c>
      <c r="AD40" s="121">
        <f t="shared" si="6"/>
        <v>190</v>
      </c>
      <c r="AE40" s="113">
        <v>54.7</v>
      </c>
      <c r="AF40" s="113">
        <v>111.7</v>
      </c>
      <c r="AG40" s="113">
        <v>14.3</v>
      </c>
      <c r="AH40" s="113">
        <v>5.3</v>
      </c>
      <c r="AI40" s="114">
        <v>4</v>
      </c>
      <c r="AJ40" s="87"/>
      <c r="AK40" s="93"/>
      <c r="AL40" s="93"/>
      <c r="AM40" s="93"/>
      <c r="AN40" s="93"/>
      <c r="AO40" s="93"/>
    </row>
    <row r="41" spans="1:41" ht="11.25">
      <c r="A41" s="110" t="s">
        <v>39</v>
      </c>
      <c r="B41" s="111">
        <v>45</v>
      </c>
      <c r="C41" s="112">
        <f t="shared" si="0"/>
        <v>287</v>
      </c>
      <c r="D41" s="113">
        <v>73</v>
      </c>
      <c r="E41" s="113">
        <v>214</v>
      </c>
      <c r="F41" s="114">
        <v>0</v>
      </c>
      <c r="G41" s="112">
        <f t="shared" si="7"/>
        <v>12.6</v>
      </c>
      <c r="H41" s="113">
        <v>3</v>
      </c>
      <c r="I41" s="113">
        <v>9.6</v>
      </c>
      <c r="J41" s="114">
        <v>0</v>
      </c>
      <c r="K41" s="115">
        <f t="shared" si="8"/>
        <v>41.1</v>
      </c>
      <c r="L41" s="116">
        <f t="shared" si="1"/>
        <v>27.2</v>
      </c>
      <c r="M41" s="113">
        <f t="shared" si="2"/>
        <v>0</v>
      </c>
      <c r="N41" s="113">
        <f t="shared" si="3"/>
        <v>5</v>
      </c>
      <c r="O41" s="113">
        <f t="shared" si="4"/>
        <v>22.2</v>
      </c>
      <c r="P41" s="114">
        <f t="shared" si="5"/>
        <v>0</v>
      </c>
      <c r="Q41" s="117">
        <v>0</v>
      </c>
      <c r="R41" s="113">
        <v>4.97</v>
      </c>
      <c r="S41" s="113">
        <v>22.15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8">
        <v>3.8</v>
      </c>
      <c r="Z41" s="119">
        <v>10.1</v>
      </c>
      <c r="AA41" s="117">
        <v>8</v>
      </c>
      <c r="AB41" s="120">
        <v>1.3</v>
      </c>
      <c r="AC41" s="119">
        <v>176</v>
      </c>
      <c r="AD41" s="121">
        <f t="shared" si="6"/>
        <v>147.2</v>
      </c>
      <c r="AE41" s="113">
        <v>11</v>
      </c>
      <c r="AF41" s="113">
        <v>123</v>
      </c>
      <c r="AG41" s="113">
        <v>3.3</v>
      </c>
      <c r="AH41" s="113">
        <v>2.3</v>
      </c>
      <c r="AI41" s="114">
        <v>7.6</v>
      </c>
      <c r="AJ41" s="87"/>
      <c r="AK41" s="93"/>
      <c r="AL41" s="93"/>
      <c r="AM41" s="93"/>
      <c r="AN41" s="93"/>
      <c r="AO41" s="93"/>
    </row>
    <row r="42" spans="1:41" ht="11.25">
      <c r="A42" s="110" t="s">
        <v>40</v>
      </c>
      <c r="B42" s="111">
        <v>46</v>
      </c>
      <c r="C42" s="112">
        <f t="shared" si="0"/>
        <v>957</v>
      </c>
      <c r="D42" s="113">
        <v>46</v>
      </c>
      <c r="E42" s="113">
        <v>575</v>
      </c>
      <c r="F42" s="114">
        <v>336</v>
      </c>
      <c r="G42" s="112">
        <f t="shared" si="7"/>
        <v>38</v>
      </c>
      <c r="H42" s="113">
        <v>2</v>
      </c>
      <c r="I42" s="113">
        <v>23</v>
      </c>
      <c r="J42" s="114">
        <v>13</v>
      </c>
      <c r="K42" s="115">
        <f t="shared" si="8"/>
        <v>99.9</v>
      </c>
      <c r="L42" s="116">
        <f t="shared" si="1"/>
        <v>76.2</v>
      </c>
      <c r="M42" s="113">
        <f t="shared" si="2"/>
        <v>3</v>
      </c>
      <c r="N42" s="113">
        <f t="shared" si="3"/>
        <v>12.1</v>
      </c>
      <c r="O42" s="113">
        <f t="shared" si="4"/>
        <v>41.8</v>
      </c>
      <c r="P42" s="114">
        <f t="shared" si="5"/>
        <v>19.3</v>
      </c>
      <c r="Q42" s="117">
        <v>2.61</v>
      </c>
      <c r="R42" s="113">
        <v>8.14</v>
      </c>
      <c r="S42" s="113">
        <v>27.81</v>
      </c>
      <c r="T42" s="113">
        <v>8.71</v>
      </c>
      <c r="U42" s="113">
        <v>0.42</v>
      </c>
      <c r="V42" s="113">
        <v>3.94</v>
      </c>
      <c r="W42" s="113">
        <v>13.94</v>
      </c>
      <c r="X42" s="113">
        <v>10.61</v>
      </c>
      <c r="Y42" s="118">
        <v>5.8</v>
      </c>
      <c r="Z42" s="119">
        <v>17.9</v>
      </c>
      <c r="AA42" s="117">
        <v>19.6</v>
      </c>
      <c r="AB42" s="120">
        <v>8</v>
      </c>
      <c r="AC42" s="119">
        <v>107</v>
      </c>
      <c r="AD42" s="121">
        <f t="shared" si="6"/>
        <v>342.9</v>
      </c>
      <c r="AE42" s="113">
        <v>46.8</v>
      </c>
      <c r="AF42" s="113">
        <v>271</v>
      </c>
      <c r="AG42" s="113">
        <v>12.1</v>
      </c>
      <c r="AH42" s="113">
        <v>3</v>
      </c>
      <c r="AI42" s="114">
        <v>10</v>
      </c>
      <c r="AJ42" s="87"/>
      <c r="AK42" s="93"/>
      <c r="AL42" s="93"/>
      <c r="AM42" s="93"/>
      <c r="AN42" s="93"/>
      <c r="AO42" s="93"/>
    </row>
    <row r="43" spans="1:41" ht="11.25">
      <c r="A43" s="110" t="s">
        <v>41</v>
      </c>
      <c r="B43" s="111">
        <v>47</v>
      </c>
      <c r="C43" s="112">
        <f t="shared" si="0"/>
        <v>1391</v>
      </c>
      <c r="D43" s="113">
        <v>74</v>
      </c>
      <c r="E43" s="113">
        <v>779</v>
      </c>
      <c r="F43" s="114">
        <v>538</v>
      </c>
      <c r="G43" s="112">
        <f t="shared" si="7"/>
        <v>60</v>
      </c>
      <c r="H43" s="113">
        <v>3</v>
      </c>
      <c r="I43" s="113">
        <v>35</v>
      </c>
      <c r="J43" s="114">
        <v>22</v>
      </c>
      <c r="K43" s="115">
        <f t="shared" si="8"/>
        <v>164.2</v>
      </c>
      <c r="L43" s="116">
        <f t="shared" si="1"/>
        <v>126.1</v>
      </c>
      <c r="M43" s="113">
        <f t="shared" si="2"/>
        <v>6.4</v>
      </c>
      <c r="N43" s="113">
        <f t="shared" si="3"/>
        <v>20.7</v>
      </c>
      <c r="O43" s="113">
        <f t="shared" si="4"/>
        <v>67.7</v>
      </c>
      <c r="P43" s="114">
        <f t="shared" si="5"/>
        <v>31.3</v>
      </c>
      <c r="Q43" s="117">
        <v>3.41</v>
      </c>
      <c r="R43" s="113">
        <v>14.9</v>
      </c>
      <c r="S43" s="113">
        <v>40.47</v>
      </c>
      <c r="T43" s="113">
        <v>18.23</v>
      </c>
      <c r="U43" s="113">
        <v>2.94</v>
      </c>
      <c r="V43" s="113">
        <v>5.75</v>
      </c>
      <c r="W43" s="113">
        <v>27.25</v>
      </c>
      <c r="X43" s="113">
        <v>13.11</v>
      </c>
      <c r="Y43" s="118">
        <v>6.8</v>
      </c>
      <c r="Z43" s="119">
        <v>31.3</v>
      </c>
      <c r="AA43" s="117">
        <v>105</v>
      </c>
      <c r="AB43" s="120">
        <v>18</v>
      </c>
      <c r="AC43" s="119">
        <v>165</v>
      </c>
      <c r="AD43" s="121">
        <f t="shared" si="6"/>
        <v>314</v>
      </c>
      <c r="AE43" s="113">
        <v>66</v>
      </c>
      <c r="AF43" s="113">
        <v>206</v>
      </c>
      <c r="AG43" s="113">
        <v>14</v>
      </c>
      <c r="AH43" s="113">
        <v>0</v>
      </c>
      <c r="AI43" s="114">
        <v>28</v>
      </c>
      <c r="AJ43" s="87"/>
      <c r="AK43" s="93"/>
      <c r="AL43" s="93"/>
      <c r="AM43" s="93"/>
      <c r="AN43" s="93"/>
      <c r="AO43" s="93"/>
    </row>
    <row r="44" spans="1:41" ht="11.25">
      <c r="A44" s="110" t="s">
        <v>42</v>
      </c>
      <c r="B44" s="111">
        <v>48</v>
      </c>
      <c r="C44" s="112">
        <f t="shared" si="0"/>
        <v>581.6</v>
      </c>
      <c r="D44" s="113">
        <v>35</v>
      </c>
      <c r="E44" s="113">
        <v>313.3</v>
      </c>
      <c r="F44" s="114">
        <v>233.3</v>
      </c>
      <c r="G44" s="112">
        <f t="shared" si="7"/>
        <v>24</v>
      </c>
      <c r="H44" s="113">
        <v>2</v>
      </c>
      <c r="I44" s="113">
        <v>13</v>
      </c>
      <c r="J44" s="114">
        <v>9</v>
      </c>
      <c r="K44" s="115">
        <f t="shared" si="8"/>
        <v>65.2</v>
      </c>
      <c r="L44" s="116">
        <f t="shared" si="1"/>
        <v>47.4</v>
      </c>
      <c r="M44" s="113">
        <f t="shared" si="2"/>
        <v>1</v>
      </c>
      <c r="N44" s="113">
        <f t="shared" si="3"/>
        <v>10.7</v>
      </c>
      <c r="O44" s="113">
        <f t="shared" si="4"/>
        <v>31.2</v>
      </c>
      <c r="P44" s="114">
        <f t="shared" si="5"/>
        <v>4.5</v>
      </c>
      <c r="Q44" s="117">
        <v>1</v>
      </c>
      <c r="R44" s="113">
        <v>6.76</v>
      </c>
      <c r="S44" s="113">
        <v>19.53</v>
      </c>
      <c r="T44" s="113">
        <v>0.87</v>
      </c>
      <c r="U44" s="113">
        <v>0</v>
      </c>
      <c r="V44" s="113">
        <v>3.93</v>
      </c>
      <c r="W44" s="113">
        <v>11.63</v>
      </c>
      <c r="X44" s="113">
        <v>3.65</v>
      </c>
      <c r="Y44" s="118">
        <v>4</v>
      </c>
      <c r="Z44" s="119">
        <v>13.8</v>
      </c>
      <c r="AA44" s="117">
        <v>20</v>
      </c>
      <c r="AB44" s="120">
        <v>3.6</v>
      </c>
      <c r="AC44" s="119">
        <v>90</v>
      </c>
      <c r="AD44" s="121">
        <f t="shared" si="6"/>
        <v>202.6</v>
      </c>
      <c r="AE44" s="113">
        <v>36.3</v>
      </c>
      <c r="AF44" s="113">
        <v>2</v>
      </c>
      <c r="AG44" s="113">
        <v>19</v>
      </c>
      <c r="AH44" s="113">
        <v>126</v>
      </c>
      <c r="AI44" s="114">
        <v>19.3</v>
      </c>
      <c r="AJ44" s="87"/>
      <c r="AK44" s="93"/>
      <c r="AL44" s="93"/>
      <c r="AM44" s="93"/>
      <c r="AN44" s="93"/>
      <c r="AO44" s="93"/>
    </row>
    <row r="45" spans="1:41" ht="20.25" customHeight="1">
      <c r="A45" s="126" t="s">
        <v>103</v>
      </c>
      <c r="B45" s="302" t="s">
        <v>264</v>
      </c>
      <c r="C45" s="128">
        <f t="shared" si="0"/>
        <v>104</v>
      </c>
      <c r="D45" s="129">
        <v>0</v>
      </c>
      <c r="E45" s="129">
        <v>0</v>
      </c>
      <c r="F45" s="130">
        <v>104</v>
      </c>
      <c r="G45" s="128">
        <f t="shared" si="7"/>
        <v>4.3</v>
      </c>
      <c r="H45" s="129">
        <v>0</v>
      </c>
      <c r="I45" s="129">
        <v>0</v>
      </c>
      <c r="J45" s="130">
        <v>4.3</v>
      </c>
      <c r="K45" s="131">
        <f t="shared" si="8"/>
        <v>5.8</v>
      </c>
      <c r="L45" s="116">
        <f t="shared" si="1"/>
        <v>3.8</v>
      </c>
      <c r="M45" s="113">
        <f t="shared" si="2"/>
        <v>0.1</v>
      </c>
      <c r="N45" s="113">
        <f t="shared" si="3"/>
        <v>1.8</v>
      </c>
      <c r="O45" s="113">
        <f t="shared" si="4"/>
        <v>1.9</v>
      </c>
      <c r="P45" s="114">
        <f t="shared" si="5"/>
        <v>0</v>
      </c>
      <c r="Q45" s="133">
        <v>0</v>
      </c>
      <c r="R45" s="129">
        <v>0</v>
      </c>
      <c r="S45" s="129">
        <v>0</v>
      </c>
      <c r="T45" s="129">
        <v>0</v>
      </c>
      <c r="U45" s="129">
        <v>0.1</v>
      </c>
      <c r="V45" s="129">
        <v>1.8</v>
      </c>
      <c r="W45" s="129">
        <v>1.9</v>
      </c>
      <c r="X45" s="129">
        <v>0</v>
      </c>
      <c r="Y45" s="134">
        <v>1</v>
      </c>
      <c r="Z45" s="135">
        <v>1</v>
      </c>
      <c r="AA45" s="133">
        <v>0</v>
      </c>
      <c r="AB45" s="136">
        <v>0</v>
      </c>
      <c r="AC45" s="135">
        <v>0</v>
      </c>
      <c r="AD45" s="138">
        <v>0</v>
      </c>
      <c r="AE45" s="129">
        <v>0</v>
      </c>
      <c r="AF45" s="129">
        <v>0</v>
      </c>
      <c r="AG45" s="129">
        <v>0</v>
      </c>
      <c r="AH45" s="129">
        <v>0</v>
      </c>
      <c r="AI45" s="130">
        <v>0</v>
      </c>
      <c r="AJ45" s="87"/>
      <c r="AK45" s="93"/>
      <c r="AL45" s="93"/>
      <c r="AM45" s="93"/>
      <c r="AN45" s="93"/>
      <c r="AO45" s="93"/>
    </row>
    <row r="46" spans="1:41" s="122" customFormat="1" ht="10.5">
      <c r="A46" s="159" t="s">
        <v>2</v>
      </c>
      <c r="B46" s="140"/>
      <c r="C46" s="139">
        <f aca="true" t="shared" si="9" ref="C46:Z46">SUM(C6:C45)</f>
        <v>23625</v>
      </c>
      <c r="D46" s="141">
        <f t="shared" si="9"/>
        <v>1087.2</v>
      </c>
      <c r="E46" s="141">
        <f t="shared" si="9"/>
        <v>14542.8</v>
      </c>
      <c r="F46" s="142">
        <f t="shared" si="9"/>
        <v>7995</v>
      </c>
      <c r="G46" s="139">
        <f t="shared" si="9"/>
        <v>964.1</v>
      </c>
      <c r="H46" s="141">
        <f t="shared" si="9"/>
        <v>45.7</v>
      </c>
      <c r="I46" s="141">
        <f t="shared" si="9"/>
        <v>607.6</v>
      </c>
      <c r="J46" s="142">
        <f t="shared" si="9"/>
        <v>310.8</v>
      </c>
      <c r="K46" s="143">
        <f t="shared" si="9"/>
        <v>2792.1</v>
      </c>
      <c r="L46" s="139">
        <f t="shared" si="9"/>
        <v>2029.9</v>
      </c>
      <c r="M46" s="139">
        <f t="shared" si="9"/>
        <v>118.6</v>
      </c>
      <c r="N46" s="139">
        <f t="shared" si="9"/>
        <v>345.1</v>
      </c>
      <c r="O46" s="139">
        <f t="shared" si="9"/>
        <v>1203.5</v>
      </c>
      <c r="P46" s="139">
        <f t="shared" si="9"/>
        <v>362.7</v>
      </c>
      <c r="Q46" s="139">
        <f t="shared" si="9"/>
        <v>73.6</v>
      </c>
      <c r="R46" s="139">
        <f t="shared" si="9"/>
        <v>204.5</v>
      </c>
      <c r="S46" s="139">
        <f t="shared" si="9"/>
        <v>831.8</v>
      </c>
      <c r="T46" s="139">
        <f t="shared" si="9"/>
        <v>207.7</v>
      </c>
      <c r="U46" s="139">
        <f t="shared" si="9"/>
        <v>45</v>
      </c>
      <c r="V46" s="139">
        <f t="shared" si="9"/>
        <v>140.3</v>
      </c>
      <c r="W46" s="139">
        <f t="shared" si="9"/>
        <v>371.1</v>
      </c>
      <c r="X46" s="139">
        <f t="shared" si="9"/>
        <v>155</v>
      </c>
      <c r="Y46" s="139">
        <f t="shared" si="9"/>
        <v>179.9</v>
      </c>
      <c r="Z46" s="139">
        <f t="shared" si="9"/>
        <v>582.3</v>
      </c>
      <c r="AA46" s="144">
        <f aca="true" t="shared" si="10" ref="AA46:AI46">SUM(AA6:AA45)</f>
        <v>1405</v>
      </c>
      <c r="AB46" s="140">
        <f t="shared" si="10"/>
        <v>236.9</v>
      </c>
      <c r="AC46" s="145">
        <f t="shared" si="10"/>
        <v>2916.2</v>
      </c>
      <c r="AD46" s="144">
        <f t="shared" si="10"/>
        <v>7145.4</v>
      </c>
      <c r="AE46" s="141">
        <f t="shared" si="10"/>
        <v>1330.1</v>
      </c>
      <c r="AF46" s="141">
        <f>SUM(AF6:AF45)</f>
        <v>4034</v>
      </c>
      <c r="AG46" s="141">
        <f>SUM(AG6:AG45)</f>
        <v>826</v>
      </c>
      <c r="AH46" s="141">
        <f>SUM(AH6:AH45)</f>
        <v>562.3</v>
      </c>
      <c r="AI46" s="142">
        <f t="shared" si="10"/>
        <v>538</v>
      </c>
      <c r="AJ46" s="86"/>
      <c r="AK46" s="92"/>
      <c r="AL46" s="92"/>
      <c r="AM46" s="92"/>
      <c r="AN46" s="92"/>
      <c r="AO46" s="92"/>
    </row>
    <row r="47" spans="1:41" ht="11.25">
      <c r="A47" s="146" t="s">
        <v>44</v>
      </c>
      <c r="B47" s="147" t="s">
        <v>68</v>
      </c>
      <c r="C47" s="148">
        <f t="shared" si="0"/>
        <v>132</v>
      </c>
      <c r="D47" s="149">
        <v>0</v>
      </c>
      <c r="E47" s="149">
        <v>0</v>
      </c>
      <c r="F47" s="150">
        <v>132</v>
      </c>
      <c r="G47" s="148">
        <f t="shared" si="7"/>
        <v>6</v>
      </c>
      <c r="H47" s="149">
        <v>0</v>
      </c>
      <c r="I47" s="149">
        <v>0</v>
      </c>
      <c r="J47" s="150">
        <v>6</v>
      </c>
      <c r="K47" s="151">
        <f t="shared" si="8"/>
        <v>13.5</v>
      </c>
      <c r="L47" s="152">
        <f>M47+N47+O47+P47</f>
        <v>11.7</v>
      </c>
      <c r="M47" s="149">
        <f aca="true" t="shared" si="11" ref="M47:P48">Q47+U47</f>
        <v>0.2</v>
      </c>
      <c r="N47" s="149">
        <f t="shared" si="11"/>
        <v>2</v>
      </c>
      <c r="O47" s="149">
        <f t="shared" si="11"/>
        <v>7.9</v>
      </c>
      <c r="P47" s="150">
        <f t="shared" si="11"/>
        <v>1.6</v>
      </c>
      <c r="Q47" s="153">
        <v>0</v>
      </c>
      <c r="R47" s="149">
        <v>0</v>
      </c>
      <c r="S47" s="149">
        <v>0</v>
      </c>
      <c r="T47" s="149">
        <v>0</v>
      </c>
      <c r="U47" s="149">
        <v>0.17</v>
      </c>
      <c r="V47" s="149">
        <v>2.02</v>
      </c>
      <c r="W47" s="149">
        <v>7.89</v>
      </c>
      <c r="X47" s="149">
        <v>1.56</v>
      </c>
      <c r="Y47" s="154">
        <v>0.3</v>
      </c>
      <c r="Z47" s="155">
        <v>1.5</v>
      </c>
      <c r="AA47" s="153">
        <v>0</v>
      </c>
      <c r="AB47" s="156">
        <v>0</v>
      </c>
      <c r="AC47" s="157">
        <v>0</v>
      </c>
      <c r="AD47" s="158">
        <f>AE47+AH47+AI47</f>
        <v>0</v>
      </c>
      <c r="AE47" s="149">
        <v>0</v>
      </c>
      <c r="AF47" s="149">
        <v>0</v>
      </c>
      <c r="AG47" s="149">
        <v>0</v>
      </c>
      <c r="AH47" s="149">
        <v>0</v>
      </c>
      <c r="AI47" s="150">
        <v>0</v>
      </c>
      <c r="AJ47" s="87"/>
      <c r="AK47" s="93"/>
      <c r="AL47" s="93"/>
      <c r="AM47" s="93"/>
      <c r="AN47" s="93"/>
      <c r="AO47" s="93"/>
    </row>
    <row r="48" spans="1:41" ht="11.25">
      <c r="A48" s="126" t="s">
        <v>53</v>
      </c>
      <c r="B48" s="127" t="s">
        <v>69</v>
      </c>
      <c r="C48" s="128">
        <f t="shared" si="0"/>
        <v>223</v>
      </c>
      <c r="D48" s="129">
        <v>0</v>
      </c>
      <c r="E48" s="129">
        <v>0</v>
      </c>
      <c r="F48" s="130">
        <v>223</v>
      </c>
      <c r="G48" s="128">
        <f>H45+I45+J45</f>
        <v>4.3</v>
      </c>
      <c r="H48" s="129">
        <v>0</v>
      </c>
      <c r="I48" s="129">
        <v>0</v>
      </c>
      <c r="J48" s="130">
        <v>9</v>
      </c>
      <c r="K48" s="131">
        <f t="shared" si="8"/>
        <v>21.8</v>
      </c>
      <c r="L48" s="132">
        <f>M48+N48+O48+P48</f>
        <v>21</v>
      </c>
      <c r="M48" s="129">
        <f t="shared" si="11"/>
        <v>0.6</v>
      </c>
      <c r="N48" s="129">
        <f t="shared" si="11"/>
        <v>2.9</v>
      </c>
      <c r="O48" s="129">
        <f t="shared" si="11"/>
        <v>12</v>
      </c>
      <c r="P48" s="130">
        <f t="shared" si="11"/>
        <v>5.5</v>
      </c>
      <c r="Q48" s="133">
        <v>0</v>
      </c>
      <c r="R48" s="129">
        <v>0</v>
      </c>
      <c r="S48" s="129">
        <v>0</v>
      </c>
      <c r="T48" s="129">
        <v>0</v>
      </c>
      <c r="U48" s="129">
        <v>0.59</v>
      </c>
      <c r="V48" s="129">
        <v>2.93</v>
      </c>
      <c r="W48" s="129">
        <v>12.04</v>
      </c>
      <c r="X48" s="129">
        <v>5.46</v>
      </c>
      <c r="Y48" s="134">
        <v>0.3</v>
      </c>
      <c r="Z48" s="135">
        <v>0.5</v>
      </c>
      <c r="AA48" s="133">
        <v>0</v>
      </c>
      <c r="AB48" s="136">
        <v>0</v>
      </c>
      <c r="AC48" s="137">
        <v>0</v>
      </c>
      <c r="AD48" s="138">
        <f>AE48+AH48+AI48</f>
        <v>0</v>
      </c>
      <c r="AE48" s="129">
        <v>0</v>
      </c>
      <c r="AF48" s="129">
        <v>0</v>
      </c>
      <c r="AG48" s="129">
        <v>0</v>
      </c>
      <c r="AH48" s="129">
        <v>0</v>
      </c>
      <c r="AI48" s="130">
        <v>0</v>
      </c>
      <c r="AJ48" s="87"/>
      <c r="AK48" s="93"/>
      <c r="AL48" s="93"/>
      <c r="AM48" s="93"/>
      <c r="AN48" s="93"/>
      <c r="AO48" s="93"/>
    </row>
    <row r="49" spans="1:41" s="122" customFormat="1" ht="10.5">
      <c r="A49" s="139" t="s">
        <v>3</v>
      </c>
      <c r="B49" s="140"/>
      <c r="C49" s="139">
        <f aca="true" t="shared" si="12" ref="C49:AI49">SUM(C46:C48)</f>
        <v>23980</v>
      </c>
      <c r="D49" s="141">
        <f t="shared" si="12"/>
        <v>1087.2</v>
      </c>
      <c r="E49" s="141">
        <f t="shared" si="12"/>
        <v>14542.8</v>
      </c>
      <c r="F49" s="142">
        <f t="shared" si="12"/>
        <v>8350</v>
      </c>
      <c r="G49" s="139">
        <f t="shared" si="12"/>
        <v>974.4</v>
      </c>
      <c r="H49" s="141">
        <f t="shared" si="12"/>
        <v>45.7</v>
      </c>
      <c r="I49" s="141">
        <f t="shared" si="12"/>
        <v>607.6</v>
      </c>
      <c r="J49" s="142">
        <f t="shared" si="12"/>
        <v>325.8</v>
      </c>
      <c r="K49" s="143">
        <f t="shared" si="12"/>
        <v>2827.4</v>
      </c>
      <c r="L49" s="139">
        <f t="shared" si="12"/>
        <v>2062.6</v>
      </c>
      <c r="M49" s="139">
        <f t="shared" si="12"/>
        <v>119.4</v>
      </c>
      <c r="N49" s="139">
        <f t="shared" si="12"/>
        <v>350</v>
      </c>
      <c r="O49" s="139">
        <f t="shared" si="12"/>
        <v>1223.4</v>
      </c>
      <c r="P49" s="139">
        <f t="shared" si="12"/>
        <v>369.8</v>
      </c>
      <c r="Q49" s="139">
        <f t="shared" si="12"/>
        <v>73.6</v>
      </c>
      <c r="R49" s="139">
        <f t="shared" si="12"/>
        <v>204.5</v>
      </c>
      <c r="S49" s="139">
        <f t="shared" si="12"/>
        <v>831.8</v>
      </c>
      <c r="T49" s="139">
        <f t="shared" si="12"/>
        <v>207.7</v>
      </c>
      <c r="U49" s="139">
        <f t="shared" si="12"/>
        <v>45.8</v>
      </c>
      <c r="V49" s="139">
        <f t="shared" si="12"/>
        <v>145.3</v>
      </c>
      <c r="W49" s="139">
        <f t="shared" si="12"/>
        <v>391</v>
      </c>
      <c r="X49" s="139">
        <f t="shared" si="12"/>
        <v>162</v>
      </c>
      <c r="Y49" s="139">
        <f t="shared" si="12"/>
        <v>180.5</v>
      </c>
      <c r="Z49" s="139">
        <f t="shared" si="12"/>
        <v>584.3</v>
      </c>
      <c r="AA49" s="144">
        <f t="shared" si="12"/>
        <v>1405</v>
      </c>
      <c r="AB49" s="140">
        <f t="shared" si="12"/>
        <v>236.9</v>
      </c>
      <c r="AC49" s="145">
        <f t="shared" si="12"/>
        <v>2916.2</v>
      </c>
      <c r="AD49" s="144">
        <f t="shared" si="12"/>
        <v>7145.4</v>
      </c>
      <c r="AE49" s="141">
        <f t="shared" si="12"/>
        <v>1330.1</v>
      </c>
      <c r="AF49" s="141">
        <f t="shared" si="12"/>
        <v>4034</v>
      </c>
      <c r="AG49" s="141">
        <f t="shared" si="12"/>
        <v>826</v>
      </c>
      <c r="AH49" s="141">
        <f t="shared" si="12"/>
        <v>562.3</v>
      </c>
      <c r="AI49" s="142">
        <f t="shared" si="12"/>
        <v>538</v>
      </c>
      <c r="AJ49" s="86"/>
      <c r="AK49" s="92"/>
      <c r="AL49" s="92"/>
      <c r="AM49" s="92"/>
      <c r="AN49" s="92"/>
      <c r="AO49" s="92"/>
    </row>
    <row r="50" spans="1:41" ht="11.25">
      <c r="A50" s="123"/>
      <c r="C50" s="93"/>
      <c r="D50" s="93"/>
      <c r="E50" s="93"/>
      <c r="F50" s="93"/>
      <c r="G50" s="93"/>
      <c r="H50" s="93"/>
      <c r="I50" s="93"/>
      <c r="J50" s="93"/>
      <c r="K50" s="93"/>
      <c r="L50" s="93"/>
      <c r="AJ50" s="93"/>
      <c r="AK50" s="93"/>
      <c r="AL50" s="93"/>
      <c r="AM50" s="93"/>
      <c r="AN50" s="93"/>
      <c r="AO50" s="93"/>
    </row>
    <row r="51" ht="11.25">
      <c r="L51" s="88"/>
    </row>
  </sheetData>
  <mergeCells count="6">
    <mergeCell ref="A2:AI2"/>
    <mergeCell ref="AD4:AI4"/>
    <mergeCell ref="K4:Z4"/>
    <mergeCell ref="A4:A5"/>
    <mergeCell ref="C4:F4"/>
    <mergeCell ref="AA4:AB4"/>
  </mergeCells>
  <printOptions verticalCentered="1"/>
  <pageMargins left="0.64" right="0.48" top="0.88" bottom="0.1968503937007874" header="0.37" footer="0.37"/>
  <pageSetup horizontalDpi="300" verticalDpi="300" orientation="landscape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35"/>
  <sheetViews>
    <sheetView showZeros="0" workbookViewId="0" topLeftCell="A1">
      <pane xSplit="1" ySplit="6" topLeftCell="BA74" activePane="bottomRight" state="frozen"/>
      <selection pane="topLeft" activeCell="T44" sqref="T44"/>
      <selection pane="topRight" activeCell="T44" sqref="T44"/>
      <selection pane="bottomLeft" activeCell="T44" sqref="T44"/>
      <selection pane="bottomRight" activeCell="BL1" sqref="BL1"/>
    </sheetView>
  </sheetViews>
  <sheetFormatPr defaultColWidth="9.00390625" defaultRowHeight="12.75"/>
  <cols>
    <col min="1" max="1" width="24.75390625" style="294" customWidth="1"/>
    <col min="2" max="3" width="9.00390625" style="1" hidden="1" customWidth="1"/>
    <col min="4" max="4" width="6.375" style="1" hidden="1" customWidth="1"/>
    <col min="5" max="5" width="8.375" style="1" hidden="1" customWidth="1"/>
    <col min="6" max="6" width="8.75390625" style="2" hidden="1" customWidth="1"/>
    <col min="7" max="7" width="7.00390625" style="1" hidden="1" customWidth="1"/>
    <col min="8" max="8" width="6.375" style="1" hidden="1" customWidth="1"/>
    <col min="9" max="9" width="6.25390625" style="1" hidden="1" customWidth="1"/>
    <col min="10" max="10" width="6.75390625" style="1" hidden="1" customWidth="1"/>
    <col min="11" max="11" width="7.125" style="1" hidden="1" customWidth="1"/>
    <col min="12" max="12" width="6.375" style="1" hidden="1" customWidth="1"/>
    <col min="13" max="13" width="8.375" style="1" hidden="1" customWidth="1"/>
    <col min="14" max="14" width="9.75390625" style="1" hidden="1" customWidth="1"/>
    <col min="15" max="15" width="0" style="1" hidden="1" customWidth="1"/>
    <col min="16" max="16" width="9.25390625" style="1" hidden="1" customWidth="1"/>
    <col min="17" max="17" width="6.875" style="1" hidden="1" customWidth="1"/>
    <col min="18" max="18" width="8.25390625" style="1" hidden="1" customWidth="1"/>
    <col min="19" max="19" width="5.75390625" style="1" hidden="1" customWidth="1"/>
    <col min="20" max="20" width="8.75390625" style="1" hidden="1" customWidth="1"/>
    <col min="21" max="21" width="9.00390625" style="1" hidden="1" customWidth="1"/>
    <col min="22" max="22" width="9.375" style="1" hidden="1" customWidth="1"/>
    <col min="23" max="24" width="9.00390625" style="1" hidden="1" customWidth="1"/>
    <col min="25" max="25" width="6.375" style="1" hidden="1" customWidth="1"/>
    <col min="26" max="26" width="8.375" style="1" hidden="1" customWidth="1"/>
    <col min="27" max="27" width="8.00390625" style="2" hidden="1" customWidth="1"/>
    <col min="28" max="28" width="7.00390625" style="1" hidden="1" customWidth="1"/>
    <col min="29" max="29" width="6.375" style="1" hidden="1" customWidth="1"/>
    <col min="30" max="30" width="6.25390625" style="1" hidden="1" customWidth="1"/>
    <col min="31" max="31" width="6.75390625" style="1" hidden="1" customWidth="1"/>
    <col min="32" max="32" width="7.25390625" style="1" hidden="1" customWidth="1"/>
    <col min="33" max="33" width="6.375" style="1" hidden="1" customWidth="1"/>
    <col min="34" max="34" width="9.875" style="1" hidden="1" customWidth="1"/>
    <col min="35" max="35" width="9.75390625" style="1" hidden="1" customWidth="1"/>
    <col min="36" max="36" width="10.125" style="1" hidden="1" customWidth="1"/>
    <col min="37" max="37" width="9.25390625" style="1" hidden="1" customWidth="1"/>
    <col min="38" max="38" width="6.875" style="1" hidden="1" customWidth="1"/>
    <col min="39" max="39" width="8.25390625" style="1" hidden="1" customWidth="1"/>
    <col min="40" max="40" width="5.75390625" style="1" hidden="1" customWidth="1"/>
    <col min="41" max="41" width="8.75390625" style="1" hidden="1" customWidth="1"/>
    <col min="42" max="42" width="9.00390625" style="1" hidden="1" customWidth="1"/>
    <col min="43" max="43" width="1.25" style="1" hidden="1" customWidth="1"/>
    <col min="44" max="44" width="6.125" style="13" customWidth="1"/>
    <col min="45" max="45" width="1.25" style="1" hidden="1" customWidth="1"/>
    <col min="46" max="46" width="7.875" style="295" customWidth="1"/>
    <col min="47" max="47" width="8.625" style="1" hidden="1" customWidth="1"/>
    <col min="48" max="48" width="7.125" style="296" customWidth="1"/>
    <col min="49" max="49" width="6.125" style="297" customWidth="1"/>
    <col min="50" max="50" width="6.375" style="297" customWidth="1"/>
    <col min="51" max="51" width="6.25390625" style="297" customWidth="1"/>
    <col min="52" max="52" width="6.75390625" style="297" customWidth="1"/>
    <col min="53" max="53" width="5.875" style="297" customWidth="1"/>
    <col min="54" max="54" width="6.25390625" style="297" customWidth="1"/>
    <col min="55" max="55" width="8.125" style="297" customWidth="1"/>
    <col min="56" max="56" width="9.75390625" style="1" hidden="1" customWidth="1"/>
    <col min="57" max="57" width="9.875" style="1" customWidth="1"/>
    <col min="58" max="58" width="5.625" style="1" customWidth="1"/>
    <col min="59" max="59" width="5.25390625" style="1" customWidth="1"/>
    <col min="60" max="60" width="8.375" style="1" customWidth="1"/>
    <col min="61" max="61" width="4.125" style="1" customWidth="1"/>
    <col min="62" max="62" width="8.25390625" style="1" customWidth="1"/>
    <col min="63" max="63" width="6.25390625" style="1" customWidth="1"/>
    <col min="64" max="64" width="7.625" style="1" customWidth="1"/>
    <col min="65" max="16384" width="9.125" style="1" customWidth="1"/>
  </cols>
  <sheetData>
    <row r="1" ht="21.75" customHeight="1">
      <c r="BL1" s="309" t="s">
        <v>278</v>
      </c>
    </row>
    <row r="2" spans="1:64" ht="16.5">
      <c r="A2" s="630" t="s">
        <v>295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630"/>
      <c r="BK2" s="630"/>
      <c r="BL2" s="630"/>
    </row>
    <row r="3" spans="1:64" ht="12">
      <c r="A3" s="3"/>
      <c r="B3" s="13"/>
      <c r="C3" s="13"/>
      <c r="D3" s="13"/>
      <c r="E3" s="13"/>
      <c r="F3" s="298"/>
      <c r="G3" s="13"/>
      <c r="H3" s="13"/>
      <c r="I3" s="13"/>
      <c r="J3" s="13"/>
      <c r="K3" s="704" t="s">
        <v>205</v>
      </c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 t="s">
        <v>206</v>
      </c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704"/>
      <c r="BK3" s="704"/>
      <c r="BL3" s="704"/>
    </row>
    <row r="4" spans="1:64" s="89" customFormat="1" ht="11.25">
      <c r="A4" s="672" t="s">
        <v>207</v>
      </c>
      <c r="B4" s="368"/>
      <c r="C4" s="368"/>
      <c r="D4" s="398"/>
      <c r="E4" s="398" t="s">
        <v>208</v>
      </c>
      <c r="F4" s="398" t="s">
        <v>209</v>
      </c>
      <c r="G4" s="398"/>
      <c r="H4" s="398"/>
      <c r="I4" s="398"/>
      <c r="J4" s="398"/>
      <c r="K4" s="398"/>
      <c r="L4" s="398"/>
      <c r="M4" s="398"/>
      <c r="N4" s="366" t="s">
        <v>210</v>
      </c>
      <c r="O4" s="366"/>
      <c r="P4" s="710" t="s">
        <v>211</v>
      </c>
      <c r="Q4" s="710"/>
      <c r="R4" s="710"/>
      <c r="S4" s="710"/>
      <c r="T4" s="710"/>
      <c r="U4" s="710"/>
      <c r="V4" s="398" t="s">
        <v>2</v>
      </c>
      <c r="W4" s="368"/>
      <c r="X4" s="368"/>
      <c r="Y4" s="398"/>
      <c r="Z4" s="398" t="s">
        <v>208</v>
      </c>
      <c r="AA4" s="398" t="s">
        <v>209</v>
      </c>
      <c r="AB4" s="398"/>
      <c r="AC4" s="398"/>
      <c r="AD4" s="398"/>
      <c r="AE4" s="398"/>
      <c r="AF4" s="398"/>
      <c r="AG4" s="398"/>
      <c r="AH4" s="398"/>
      <c r="AI4" s="366" t="s">
        <v>210</v>
      </c>
      <c r="AJ4" s="366"/>
      <c r="AK4" s="710" t="s">
        <v>211</v>
      </c>
      <c r="AL4" s="710"/>
      <c r="AM4" s="710"/>
      <c r="AN4" s="710"/>
      <c r="AO4" s="710"/>
      <c r="AP4" s="710"/>
      <c r="AQ4" s="398" t="s">
        <v>2</v>
      </c>
      <c r="AR4" s="715" t="s">
        <v>220</v>
      </c>
      <c r="AS4" s="674"/>
      <c r="AT4" s="674" t="s">
        <v>252</v>
      </c>
      <c r="AU4" s="398" t="s">
        <v>208</v>
      </c>
      <c r="AV4" s="399" t="s">
        <v>121</v>
      </c>
      <c r="AW4" s="400"/>
      <c r="AX4" s="400"/>
      <c r="AY4" s="400"/>
      <c r="AZ4" s="400"/>
      <c r="BA4" s="400"/>
      <c r="BB4" s="400"/>
      <c r="BC4" s="701" t="s">
        <v>130</v>
      </c>
      <c r="BD4" s="401" t="s">
        <v>210</v>
      </c>
      <c r="BE4" s="711" t="s">
        <v>210</v>
      </c>
      <c r="BF4" s="712"/>
      <c r="BG4" s="712"/>
      <c r="BH4" s="712"/>
      <c r="BI4" s="712"/>
      <c r="BJ4" s="712"/>
      <c r="BK4" s="713"/>
      <c r="BL4" s="694" t="s">
        <v>130</v>
      </c>
    </row>
    <row r="5" spans="1:64" s="89" customFormat="1" ht="11.25">
      <c r="A5" s="691"/>
      <c r="B5" s="366" t="s">
        <v>212</v>
      </c>
      <c r="C5" s="366" t="s">
        <v>213</v>
      </c>
      <c r="D5" s="366" t="s">
        <v>212</v>
      </c>
      <c r="E5" s="366" t="s">
        <v>214</v>
      </c>
      <c r="F5" s="705" t="s">
        <v>215</v>
      </c>
      <c r="G5" s="718"/>
      <c r="H5" s="718"/>
      <c r="I5" s="718"/>
      <c r="J5" s="706"/>
      <c r="K5" s="366" t="s">
        <v>216</v>
      </c>
      <c r="L5" s="366" t="s">
        <v>217</v>
      </c>
      <c r="M5" s="366" t="s">
        <v>192</v>
      </c>
      <c r="N5" s="366"/>
      <c r="O5" s="710" t="s">
        <v>218</v>
      </c>
      <c r="P5" s="710"/>
      <c r="Q5" s="710"/>
      <c r="R5" s="710"/>
      <c r="S5" s="710"/>
      <c r="T5" s="710"/>
      <c r="U5" s="402" t="s">
        <v>219</v>
      </c>
      <c r="V5" s="366"/>
      <c r="W5" s="705" t="s">
        <v>220</v>
      </c>
      <c r="X5" s="706"/>
      <c r="Y5" s="366" t="s">
        <v>212</v>
      </c>
      <c r="Z5" s="366" t="s">
        <v>214</v>
      </c>
      <c r="AA5" s="705" t="s">
        <v>215</v>
      </c>
      <c r="AB5" s="718"/>
      <c r="AC5" s="718"/>
      <c r="AD5" s="718"/>
      <c r="AE5" s="706"/>
      <c r="AF5" s="366" t="s">
        <v>216</v>
      </c>
      <c r="AG5" s="366" t="s">
        <v>217</v>
      </c>
      <c r="AH5" s="366" t="s">
        <v>192</v>
      </c>
      <c r="AI5" s="366"/>
      <c r="AJ5" s="710" t="s">
        <v>218</v>
      </c>
      <c r="AK5" s="710"/>
      <c r="AL5" s="710"/>
      <c r="AM5" s="710"/>
      <c r="AN5" s="710"/>
      <c r="AO5" s="710"/>
      <c r="AP5" s="402" t="s">
        <v>219</v>
      </c>
      <c r="AQ5" s="366"/>
      <c r="AR5" s="716"/>
      <c r="AS5" s="714"/>
      <c r="AT5" s="714"/>
      <c r="AU5" s="366" t="s">
        <v>214</v>
      </c>
      <c r="AV5" s="707" t="s">
        <v>253</v>
      </c>
      <c r="AW5" s="708"/>
      <c r="AX5" s="708"/>
      <c r="AY5" s="708"/>
      <c r="AZ5" s="709"/>
      <c r="BA5" s="697" t="s">
        <v>256</v>
      </c>
      <c r="BB5" s="699" t="s">
        <v>217</v>
      </c>
      <c r="BC5" s="702"/>
      <c r="BD5" s="401"/>
      <c r="BE5" s="710" t="s">
        <v>218</v>
      </c>
      <c r="BF5" s="710"/>
      <c r="BG5" s="710"/>
      <c r="BH5" s="710"/>
      <c r="BI5" s="710"/>
      <c r="BJ5" s="710"/>
      <c r="BK5" s="692" t="s">
        <v>257</v>
      </c>
      <c r="BL5" s="695"/>
    </row>
    <row r="6" spans="1:64" s="89" customFormat="1" ht="33.75">
      <c r="A6" s="673"/>
      <c r="B6" s="368" t="s">
        <v>221</v>
      </c>
      <c r="C6" s="368"/>
      <c r="D6" s="368" t="s">
        <v>222</v>
      </c>
      <c r="E6" s="356" t="s">
        <v>134</v>
      </c>
      <c r="F6" s="368"/>
      <c r="G6" s="366" t="s">
        <v>223</v>
      </c>
      <c r="H6" s="366" t="s">
        <v>224</v>
      </c>
      <c r="I6" s="366" t="s">
        <v>225</v>
      </c>
      <c r="J6" s="366" t="s">
        <v>226</v>
      </c>
      <c r="K6" s="358"/>
      <c r="L6" s="358"/>
      <c r="M6" s="358"/>
      <c r="N6" s="358" t="s">
        <v>134</v>
      </c>
      <c r="O6" s="403" t="s">
        <v>227</v>
      </c>
      <c r="P6" s="403" t="s">
        <v>228</v>
      </c>
      <c r="Q6" s="403" t="s">
        <v>229</v>
      </c>
      <c r="R6" s="403" t="s">
        <v>230</v>
      </c>
      <c r="S6" s="403" t="s">
        <v>231</v>
      </c>
      <c r="T6" s="403" t="s">
        <v>232</v>
      </c>
      <c r="U6" s="404" t="s">
        <v>233</v>
      </c>
      <c r="V6" s="368"/>
      <c r="W6" s="368" t="s">
        <v>192</v>
      </c>
      <c r="X6" s="368" t="s">
        <v>213</v>
      </c>
      <c r="Y6" s="368" t="s">
        <v>222</v>
      </c>
      <c r="Z6" s="356" t="s">
        <v>134</v>
      </c>
      <c r="AA6" s="368"/>
      <c r="AB6" s="366" t="s">
        <v>223</v>
      </c>
      <c r="AC6" s="366" t="s">
        <v>224</v>
      </c>
      <c r="AD6" s="366" t="s">
        <v>225</v>
      </c>
      <c r="AE6" s="366" t="s">
        <v>226</v>
      </c>
      <c r="AF6" s="358"/>
      <c r="AG6" s="358"/>
      <c r="AH6" s="358"/>
      <c r="AI6" s="358" t="s">
        <v>134</v>
      </c>
      <c r="AJ6" s="403" t="s">
        <v>227</v>
      </c>
      <c r="AK6" s="403" t="s">
        <v>228</v>
      </c>
      <c r="AL6" s="403" t="s">
        <v>229</v>
      </c>
      <c r="AM6" s="403" t="s">
        <v>230</v>
      </c>
      <c r="AN6" s="403" t="s">
        <v>231</v>
      </c>
      <c r="AO6" s="403" t="s">
        <v>232</v>
      </c>
      <c r="AP6" s="404" t="s">
        <v>233</v>
      </c>
      <c r="AQ6" s="368"/>
      <c r="AR6" s="717"/>
      <c r="AS6" s="675"/>
      <c r="AT6" s="675"/>
      <c r="AU6" s="356" t="s">
        <v>134</v>
      </c>
      <c r="AV6" s="405" t="s">
        <v>254</v>
      </c>
      <c r="AW6" s="406" t="s">
        <v>274</v>
      </c>
      <c r="AX6" s="406" t="s">
        <v>224</v>
      </c>
      <c r="AY6" s="406" t="s">
        <v>255</v>
      </c>
      <c r="AZ6" s="406" t="s">
        <v>226</v>
      </c>
      <c r="BA6" s="698"/>
      <c r="BB6" s="700"/>
      <c r="BC6" s="703"/>
      <c r="BD6" s="363" t="s">
        <v>134</v>
      </c>
      <c r="BE6" s="402" t="s">
        <v>227</v>
      </c>
      <c r="BF6" s="407" t="s">
        <v>228</v>
      </c>
      <c r="BG6" s="407" t="s">
        <v>229</v>
      </c>
      <c r="BH6" s="407" t="s">
        <v>230</v>
      </c>
      <c r="BI6" s="407" t="s">
        <v>231</v>
      </c>
      <c r="BJ6" s="407" t="s">
        <v>232</v>
      </c>
      <c r="BK6" s="693"/>
      <c r="BL6" s="696"/>
    </row>
    <row r="7" spans="1:64" s="89" customFormat="1" ht="11.25">
      <c r="A7" s="408" t="s">
        <v>234</v>
      </c>
      <c r="B7" s="409">
        <v>24</v>
      </c>
      <c r="C7" s="409"/>
      <c r="D7" s="410">
        <v>5</v>
      </c>
      <c r="E7" s="410">
        <v>13.65</v>
      </c>
      <c r="F7" s="410">
        <f>G7+H7+I7+J7</f>
        <v>11.03</v>
      </c>
      <c r="G7" s="410">
        <v>0</v>
      </c>
      <c r="H7" s="410">
        <v>3.47</v>
      </c>
      <c r="I7" s="410">
        <v>3.04</v>
      </c>
      <c r="J7" s="410">
        <v>4.52</v>
      </c>
      <c r="K7" s="410">
        <v>0.5</v>
      </c>
      <c r="L7" s="410">
        <v>1.75</v>
      </c>
      <c r="M7" s="410">
        <f>F7+K7+L7</f>
        <v>13.28</v>
      </c>
      <c r="N7" s="409">
        <v>247</v>
      </c>
      <c r="O7" s="409">
        <v>205</v>
      </c>
      <c r="P7" s="409">
        <v>0</v>
      </c>
      <c r="Q7" s="411">
        <v>0</v>
      </c>
      <c r="R7" s="411">
        <v>8</v>
      </c>
      <c r="S7" s="411">
        <v>1</v>
      </c>
      <c r="T7" s="411">
        <v>41</v>
      </c>
      <c r="U7" s="411">
        <v>13</v>
      </c>
      <c r="V7" s="411">
        <f>O7+U7</f>
        <v>218</v>
      </c>
      <c r="W7" s="409">
        <v>26</v>
      </c>
      <c r="X7" s="409"/>
      <c r="Y7" s="410">
        <v>5</v>
      </c>
      <c r="Z7" s="410">
        <v>13.65</v>
      </c>
      <c r="AA7" s="410">
        <f>AB7+AC7+AD7+AE7</f>
        <v>11.87</v>
      </c>
      <c r="AB7" s="410">
        <v>0</v>
      </c>
      <c r="AC7" s="410">
        <v>3.25</v>
      </c>
      <c r="AD7" s="410">
        <v>3.12</v>
      </c>
      <c r="AE7" s="410">
        <v>5.5</v>
      </c>
      <c r="AF7" s="410">
        <v>0.5</v>
      </c>
      <c r="AG7" s="410">
        <v>1.75</v>
      </c>
      <c r="AH7" s="410">
        <f>AA7+AF7+AG7</f>
        <v>14.12</v>
      </c>
      <c r="AI7" s="409">
        <v>247</v>
      </c>
      <c r="AJ7" s="409">
        <v>213</v>
      </c>
      <c r="AK7" s="409">
        <v>0</v>
      </c>
      <c r="AL7" s="411">
        <v>0</v>
      </c>
      <c r="AM7" s="411">
        <v>14</v>
      </c>
      <c r="AN7" s="411">
        <v>2</v>
      </c>
      <c r="AO7" s="411">
        <v>41</v>
      </c>
      <c r="AP7" s="411">
        <v>17</v>
      </c>
      <c r="AQ7" s="411">
        <f>AJ7+AP7</f>
        <v>230</v>
      </c>
      <c r="AR7" s="409">
        <f aca="true" t="shared" si="0" ref="AR7:BA10">(B7*8+W7*4)/12</f>
        <v>25</v>
      </c>
      <c r="AS7" s="409">
        <f t="shared" si="0"/>
        <v>0</v>
      </c>
      <c r="AT7" s="412">
        <f t="shared" si="0"/>
        <v>5</v>
      </c>
      <c r="AU7" s="409">
        <f t="shared" si="0"/>
        <v>14</v>
      </c>
      <c r="AV7" s="410">
        <f t="shared" si="0"/>
        <v>11.31</v>
      </c>
      <c r="AW7" s="410">
        <f t="shared" si="0"/>
        <v>0</v>
      </c>
      <c r="AX7" s="410">
        <f t="shared" si="0"/>
        <v>3.4</v>
      </c>
      <c r="AY7" s="410">
        <f t="shared" si="0"/>
        <v>3.07</v>
      </c>
      <c r="AZ7" s="410">
        <f t="shared" si="0"/>
        <v>4.85</v>
      </c>
      <c r="BA7" s="410">
        <f t="shared" si="0"/>
        <v>0.5</v>
      </c>
      <c r="BB7" s="410">
        <f aca="true" t="shared" si="1" ref="BB7:BK10">(L7*8+AG7*4)/12</f>
        <v>1.75</v>
      </c>
      <c r="BC7" s="413">
        <f t="shared" si="1"/>
        <v>13.56</v>
      </c>
      <c r="BD7" s="414">
        <f t="shared" si="1"/>
        <v>247</v>
      </c>
      <c r="BE7" s="409">
        <f t="shared" si="1"/>
        <v>208</v>
      </c>
      <c r="BF7" s="409">
        <f t="shared" si="1"/>
        <v>0</v>
      </c>
      <c r="BG7" s="409">
        <f t="shared" si="1"/>
        <v>0</v>
      </c>
      <c r="BH7" s="409">
        <f t="shared" si="1"/>
        <v>10</v>
      </c>
      <c r="BI7" s="409">
        <f t="shared" si="1"/>
        <v>1</v>
      </c>
      <c r="BJ7" s="409">
        <f t="shared" si="1"/>
        <v>41</v>
      </c>
      <c r="BK7" s="409">
        <f t="shared" si="1"/>
        <v>14</v>
      </c>
      <c r="BL7" s="415">
        <f>BE7+BK7</f>
        <v>222</v>
      </c>
    </row>
    <row r="8" spans="1:64" s="89" customFormat="1" ht="11.25">
      <c r="A8" s="416" t="s">
        <v>141</v>
      </c>
      <c r="B8" s="417">
        <v>101</v>
      </c>
      <c r="C8" s="417">
        <v>11</v>
      </c>
      <c r="D8" s="418">
        <v>11</v>
      </c>
      <c r="E8" s="418">
        <v>35.28</v>
      </c>
      <c r="F8" s="418">
        <f>G8+H8+I8+J8</f>
        <v>30.16</v>
      </c>
      <c r="G8" s="418">
        <v>1.44</v>
      </c>
      <c r="H8" s="418">
        <v>6.45</v>
      </c>
      <c r="I8" s="418">
        <v>12.97</v>
      </c>
      <c r="J8" s="418">
        <v>9.3</v>
      </c>
      <c r="K8" s="418">
        <v>3</v>
      </c>
      <c r="L8" s="418">
        <v>7</v>
      </c>
      <c r="M8" s="418">
        <f>F8+K8+L8</f>
        <v>40.16</v>
      </c>
      <c r="N8" s="417">
        <v>610</v>
      </c>
      <c r="O8" s="417">
        <v>340</v>
      </c>
      <c r="P8" s="417">
        <v>0</v>
      </c>
      <c r="Q8" s="419">
        <v>0</v>
      </c>
      <c r="R8" s="419">
        <v>68</v>
      </c>
      <c r="S8" s="419">
        <v>8</v>
      </c>
      <c r="T8" s="419">
        <v>131</v>
      </c>
      <c r="U8" s="419">
        <v>4</v>
      </c>
      <c r="V8" s="419">
        <f>O8+U8</f>
        <v>344</v>
      </c>
      <c r="W8" s="417">
        <v>173</v>
      </c>
      <c r="X8" s="417">
        <v>64</v>
      </c>
      <c r="Y8" s="418">
        <v>21</v>
      </c>
      <c r="Z8" s="418">
        <v>35.28</v>
      </c>
      <c r="AA8" s="418">
        <f>AB8+AC8+AD8+AE8</f>
        <v>43.38</v>
      </c>
      <c r="AB8" s="418">
        <v>2.61</v>
      </c>
      <c r="AC8" s="418">
        <v>9.91</v>
      </c>
      <c r="AD8" s="418">
        <v>19.78</v>
      </c>
      <c r="AE8" s="418">
        <v>11.08</v>
      </c>
      <c r="AF8" s="418">
        <v>3.5</v>
      </c>
      <c r="AG8" s="418">
        <v>7.25</v>
      </c>
      <c r="AH8" s="418">
        <f>AA8+AF8+AG8</f>
        <v>54.13</v>
      </c>
      <c r="AI8" s="417">
        <v>610</v>
      </c>
      <c r="AJ8" s="417">
        <v>623</v>
      </c>
      <c r="AK8" s="417">
        <v>0</v>
      </c>
      <c r="AL8" s="419">
        <v>0</v>
      </c>
      <c r="AM8" s="419">
        <v>58</v>
      </c>
      <c r="AN8" s="419">
        <v>7</v>
      </c>
      <c r="AO8" s="419">
        <f>20+33+76</f>
        <v>129</v>
      </c>
      <c r="AP8" s="419">
        <v>4</v>
      </c>
      <c r="AQ8" s="419">
        <f>AJ8+AP8</f>
        <v>627</v>
      </c>
      <c r="AR8" s="417">
        <f t="shared" si="0"/>
        <v>125</v>
      </c>
      <c r="AS8" s="417">
        <f t="shared" si="0"/>
        <v>29</v>
      </c>
      <c r="AT8" s="420">
        <f t="shared" si="0"/>
        <v>14.3</v>
      </c>
      <c r="AU8" s="417">
        <f t="shared" si="0"/>
        <v>35</v>
      </c>
      <c r="AV8" s="418">
        <f t="shared" si="0"/>
        <v>34.57</v>
      </c>
      <c r="AW8" s="418">
        <f t="shared" si="0"/>
        <v>1.83</v>
      </c>
      <c r="AX8" s="418">
        <f t="shared" si="0"/>
        <v>7.6</v>
      </c>
      <c r="AY8" s="418">
        <f t="shared" si="0"/>
        <v>15.24</v>
      </c>
      <c r="AZ8" s="418">
        <f t="shared" si="0"/>
        <v>9.89</v>
      </c>
      <c r="BA8" s="418">
        <f t="shared" si="0"/>
        <v>3.17</v>
      </c>
      <c r="BB8" s="418">
        <f t="shared" si="1"/>
        <v>7.08</v>
      </c>
      <c r="BC8" s="421">
        <f t="shared" si="1"/>
        <v>44.82</v>
      </c>
      <c r="BD8" s="422">
        <f t="shared" si="1"/>
        <v>610</v>
      </c>
      <c r="BE8" s="417">
        <f t="shared" si="1"/>
        <v>434</v>
      </c>
      <c r="BF8" s="417">
        <f t="shared" si="1"/>
        <v>0</v>
      </c>
      <c r="BG8" s="417">
        <f t="shared" si="1"/>
        <v>0</v>
      </c>
      <c r="BH8" s="417">
        <f t="shared" si="1"/>
        <v>65</v>
      </c>
      <c r="BI8" s="417">
        <f t="shared" si="1"/>
        <v>8</v>
      </c>
      <c r="BJ8" s="417">
        <f t="shared" si="1"/>
        <v>130</v>
      </c>
      <c r="BK8" s="417">
        <f t="shared" si="1"/>
        <v>4</v>
      </c>
      <c r="BL8" s="423">
        <f>BE8+BK8</f>
        <v>438</v>
      </c>
    </row>
    <row r="9" spans="1:64" s="89" customFormat="1" ht="11.25">
      <c r="A9" s="416" t="s">
        <v>235</v>
      </c>
      <c r="B9" s="417">
        <v>62</v>
      </c>
      <c r="C9" s="417">
        <v>14</v>
      </c>
      <c r="D9" s="418">
        <v>8</v>
      </c>
      <c r="E9" s="418">
        <v>14.65</v>
      </c>
      <c r="F9" s="418">
        <f>G9+H9+I9+J9</f>
        <v>9.84</v>
      </c>
      <c r="G9" s="418">
        <v>0</v>
      </c>
      <c r="H9" s="418">
        <v>2.35</v>
      </c>
      <c r="I9" s="418">
        <v>5.22</v>
      </c>
      <c r="J9" s="418">
        <v>2.27</v>
      </c>
      <c r="K9" s="418">
        <v>0.75</v>
      </c>
      <c r="L9" s="418">
        <v>0</v>
      </c>
      <c r="M9" s="418">
        <f>F9+K9+L9</f>
        <v>10.59</v>
      </c>
      <c r="N9" s="417">
        <v>270</v>
      </c>
      <c r="O9" s="417">
        <v>170</v>
      </c>
      <c r="P9" s="417">
        <v>0</v>
      </c>
      <c r="Q9" s="419">
        <v>0</v>
      </c>
      <c r="R9" s="419">
        <v>0</v>
      </c>
      <c r="S9" s="419">
        <v>0</v>
      </c>
      <c r="T9" s="419">
        <v>0</v>
      </c>
      <c r="U9" s="419">
        <v>15</v>
      </c>
      <c r="V9" s="419">
        <f>O9+U9</f>
        <v>185</v>
      </c>
      <c r="W9" s="417">
        <v>0</v>
      </c>
      <c r="X9" s="417">
        <v>0</v>
      </c>
      <c r="Y9" s="418">
        <v>0</v>
      </c>
      <c r="Z9" s="418">
        <v>14.65</v>
      </c>
      <c r="AA9" s="418">
        <f>AB9+AC9+AD9+AE9</f>
        <v>0</v>
      </c>
      <c r="AB9" s="418">
        <v>0</v>
      </c>
      <c r="AC9" s="418">
        <v>0</v>
      </c>
      <c r="AD9" s="418">
        <v>0</v>
      </c>
      <c r="AE9" s="418">
        <v>0</v>
      </c>
      <c r="AF9" s="418">
        <v>0</v>
      </c>
      <c r="AG9" s="418">
        <v>0</v>
      </c>
      <c r="AH9" s="418">
        <f>AA9+AF9+AG9</f>
        <v>0</v>
      </c>
      <c r="AI9" s="417">
        <v>270</v>
      </c>
      <c r="AJ9" s="417">
        <v>0</v>
      </c>
      <c r="AK9" s="417">
        <v>0</v>
      </c>
      <c r="AL9" s="419">
        <v>0</v>
      </c>
      <c r="AM9" s="419">
        <v>0</v>
      </c>
      <c r="AN9" s="419">
        <v>0</v>
      </c>
      <c r="AO9" s="419">
        <v>0</v>
      </c>
      <c r="AP9" s="419">
        <v>0</v>
      </c>
      <c r="AQ9" s="419">
        <f>AJ9+AP9</f>
        <v>0</v>
      </c>
      <c r="AR9" s="417">
        <f t="shared" si="0"/>
        <v>41</v>
      </c>
      <c r="AS9" s="417">
        <f t="shared" si="0"/>
        <v>9</v>
      </c>
      <c r="AT9" s="420">
        <f t="shared" si="0"/>
        <v>5.3</v>
      </c>
      <c r="AU9" s="417">
        <f t="shared" si="0"/>
        <v>15</v>
      </c>
      <c r="AV9" s="418">
        <f t="shared" si="0"/>
        <v>6.56</v>
      </c>
      <c r="AW9" s="418">
        <f t="shared" si="0"/>
        <v>0</v>
      </c>
      <c r="AX9" s="418">
        <f t="shared" si="0"/>
        <v>1.57</v>
      </c>
      <c r="AY9" s="418">
        <f t="shared" si="0"/>
        <v>3.48</v>
      </c>
      <c r="AZ9" s="418">
        <f t="shared" si="0"/>
        <v>1.51</v>
      </c>
      <c r="BA9" s="418">
        <f t="shared" si="0"/>
        <v>0.5</v>
      </c>
      <c r="BB9" s="418">
        <f t="shared" si="1"/>
        <v>0</v>
      </c>
      <c r="BC9" s="421">
        <f t="shared" si="1"/>
        <v>7.06</v>
      </c>
      <c r="BD9" s="422">
        <f t="shared" si="1"/>
        <v>270</v>
      </c>
      <c r="BE9" s="417">
        <f t="shared" si="1"/>
        <v>113</v>
      </c>
      <c r="BF9" s="417">
        <f t="shared" si="1"/>
        <v>0</v>
      </c>
      <c r="BG9" s="417">
        <f t="shared" si="1"/>
        <v>0</v>
      </c>
      <c r="BH9" s="417">
        <f t="shared" si="1"/>
        <v>0</v>
      </c>
      <c r="BI9" s="417">
        <f t="shared" si="1"/>
        <v>0</v>
      </c>
      <c r="BJ9" s="417">
        <f t="shared" si="1"/>
        <v>0</v>
      </c>
      <c r="BK9" s="417">
        <f t="shared" si="1"/>
        <v>10</v>
      </c>
      <c r="BL9" s="423">
        <f>BE9+BK9</f>
        <v>123</v>
      </c>
    </row>
    <row r="10" spans="1:64" s="89" customFormat="1" ht="11.25">
      <c r="A10" s="424" t="s">
        <v>143</v>
      </c>
      <c r="B10" s="425">
        <v>106</v>
      </c>
      <c r="C10" s="425">
        <v>14</v>
      </c>
      <c r="D10" s="426">
        <v>15</v>
      </c>
      <c r="E10" s="426">
        <v>29.4</v>
      </c>
      <c r="F10" s="426">
        <f>G10+H10+I10+J10</f>
        <v>39.7</v>
      </c>
      <c r="G10" s="426">
        <v>1</v>
      </c>
      <c r="H10" s="426">
        <v>5.4</v>
      </c>
      <c r="I10" s="426">
        <v>25.3</v>
      </c>
      <c r="J10" s="426">
        <v>8</v>
      </c>
      <c r="K10" s="426">
        <v>2</v>
      </c>
      <c r="L10" s="426">
        <v>10</v>
      </c>
      <c r="M10" s="426">
        <f>F10+K10+L10</f>
        <v>51.7</v>
      </c>
      <c r="N10" s="425">
        <v>556</v>
      </c>
      <c r="O10" s="425">
        <v>694</v>
      </c>
      <c r="P10" s="425">
        <v>0</v>
      </c>
      <c r="Q10" s="427">
        <v>0</v>
      </c>
      <c r="R10" s="427">
        <v>72</v>
      </c>
      <c r="S10" s="427">
        <v>7</v>
      </c>
      <c r="T10" s="427">
        <v>0</v>
      </c>
      <c r="U10" s="427">
        <v>3</v>
      </c>
      <c r="V10" s="427">
        <f>O10+U10</f>
        <v>697</v>
      </c>
      <c r="W10" s="425">
        <v>95</v>
      </c>
      <c r="X10" s="425">
        <v>13</v>
      </c>
      <c r="Y10" s="426">
        <v>14</v>
      </c>
      <c r="Z10" s="426">
        <v>29.4</v>
      </c>
      <c r="AA10" s="426">
        <f>AB10+AC10+AD10+AE10</f>
        <v>35.11</v>
      </c>
      <c r="AB10" s="426">
        <v>0</v>
      </c>
      <c r="AC10" s="426">
        <v>6</v>
      </c>
      <c r="AD10" s="426">
        <v>22.06</v>
      </c>
      <c r="AE10" s="426">
        <v>7.05</v>
      </c>
      <c r="AF10" s="426">
        <v>2</v>
      </c>
      <c r="AG10" s="426">
        <v>9</v>
      </c>
      <c r="AH10" s="426">
        <f>AA10+AF10+AG10</f>
        <v>46.11</v>
      </c>
      <c r="AI10" s="425">
        <v>556</v>
      </c>
      <c r="AJ10" s="425">
        <v>653</v>
      </c>
      <c r="AK10" s="425">
        <v>0</v>
      </c>
      <c r="AL10" s="427">
        <v>0</v>
      </c>
      <c r="AM10" s="427">
        <v>84</v>
      </c>
      <c r="AN10" s="427">
        <v>7</v>
      </c>
      <c r="AO10" s="427">
        <v>21</v>
      </c>
      <c r="AP10" s="427">
        <v>3</v>
      </c>
      <c r="AQ10" s="427">
        <f>AJ10+AP10</f>
        <v>656</v>
      </c>
      <c r="AR10" s="425">
        <f t="shared" si="0"/>
        <v>102</v>
      </c>
      <c r="AS10" s="425">
        <f t="shared" si="0"/>
        <v>14</v>
      </c>
      <c r="AT10" s="428">
        <f t="shared" si="0"/>
        <v>14.7</v>
      </c>
      <c r="AU10" s="425">
        <f t="shared" si="0"/>
        <v>29</v>
      </c>
      <c r="AV10" s="426">
        <f t="shared" si="0"/>
        <v>38.17</v>
      </c>
      <c r="AW10" s="426">
        <f t="shared" si="0"/>
        <v>0.67</v>
      </c>
      <c r="AX10" s="426">
        <f t="shared" si="0"/>
        <v>5.6</v>
      </c>
      <c r="AY10" s="426">
        <f t="shared" si="0"/>
        <v>24.22</v>
      </c>
      <c r="AZ10" s="426">
        <f t="shared" si="0"/>
        <v>7.68</v>
      </c>
      <c r="BA10" s="426">
        <f t="shared" si="0"/>
        <v>2</v>
      </c>
      <c r="BB10" s="426">
        <f t="shared" si="1"/>
        <v>9.67</v>
      </c>
      <c r="BC10" s="429">
        <f t="shared" si="1"/>
        <v>49.84</v>
      </c>
      <c r="BD10" s="430">
        <f t="shared" si="1"/>
        <v>556</v>
      </c>
      <c r="BE10" s="425">
        <f t="shared" si="1"/>
        <v>680</v>
      </c>
      <c r="BF10" s="425">
        <f t="shared" si="1"/>
        <v>0</v>
      </c>
      <c r="BG10" s="425">
        <f t="shared" si="1"/>
        <v>0</v>
      </c>
      <c r="BH10" s="425">
        <f t="shared" si="1"/>
        <v>76</v>
      </c>
      <c r="BI10" s="425">
        <f t="shared" si="1"/>
        <v>7</v>
      </c>
      <c r="BJ10" s="425">
        <f t="shared" si="1"/>
        <v>7</v>
      </c>
      <c r="BK10" s="425">
        <f t="shared" si="1"/>
        <v>3</v>
      </c>
      <c r="BL10" s="431">
        <f>BE10+BK10</f>
        <v>683</v>
      </c>
    </row>
    <row r="11" spans="1:64" s="122" customFormat="1" ht="21">
      <c r="A11" s="432" t="s">
        <v>273</v>
      </c>
      <c r="B11" s="433">
        <f aca="true" t="shared" si="2" ref="B11:AG11">SUM(B7:B10)</f>
        <v>293</v>
      </c>
      <c r="C11" s="433">
        <f t="shared" si="2"/>
        <v>39</v>
      </c>
      <c r="D11" s="433">
        <f t="shared" si="2"/>
        <v>39</v>
      </c>
      <c r="E11" s="433">
        <f t="shared" si="2"/>
        <v>93</v>
      </c>
      <c r="F11" s="433">
        <f t="shared" si="2"/>
        <v>90.7</v>
      </c>
      <c r="G11" s="433">
        <f t="shared" si="2"/>
        <v>2.4</v>
      </c>
      <c r="H11" s="433">
        <f t="shared" si="2"/>
        <v>17.7</v>
      </c>
      <c r="I11" s="433">
        <f t="shared" si="2"/>
        <v>46.5</v>
      </c>
      <c r="J11" s="433">
        <f t="shared" si="2"/>
        <v>24.1</v>
      </c>
      <c r="K11" s="433">
        <f t="shared" si="2"/>
        <v>6.3</v>
      </c>
      <c r="L11" s="433">
        <f t="shared" si="2"/>
        <v>18.8</v>
      </c>
      <c r="M11" s="433">
        <f t="shared" si="2"/>
        <v>115.7</v>
      </c>
      <c r="N11" s="433">
        <f t="shared" si="2"/>
        <v>1683</v>
      </c>
      <c r="O11" s="433">
        <f t="shared" si="2"/>
        <v>1409</v>
      </c>
      <c r="P11" s="433">
        <f t="shared" si="2"/>
        <v>0</v>
      </c>
      <c r="Q11" s="433">
        <f t="shared" si="2"/>
        <v>0</v>
      </c>
      <c r="R11" s="433">
        <f t="shared" si="2"/>
        <v>148</v>
      </c>
      <c r="S11" s="433">
        <f t="shared" si="2"/>
        <v>16</v>
      </c>
      <c r="T11" s="433">
        <f t="shared" si="2"/>
        <v>172</v>
      </c>
      <c r="U11" s="433">
        <f t="shared" si="2"/>
        <v>35</v>
      </c>
      <c r="V11" s="433">
        <f t="shared" si="2"/>
        <v>1444</v>
      </c>
      <c r="W11" s="433">
        <f t="shared" si="2"/>
        <v>294</v>
      </c>
      <c r="X11" s="433">
        <f t="shared" si="2"/>
        <v>77</v>
      </c>
      <c r="Y11" s="433">
        <f t="shared" si="2"/>
        <v>40</v>
      </c>
      <c r="Z11" s="433">
        <f t="shared" si="2"/>
        <v>93</v>
      </c>
      <c r="AA11" s="433">
        <f t="shared" si="2"/>
        <v>90.4</v>
      </c>
      <c r="AB11" s="433">
        <f t="shared" si="2"/>
        <v>2.6</v>
      </c>
      <c r="AC11" s="433">
        <f t="shared" si="2"/>
        <v>19.2</v>
      </c>
      <c r="AD11" s="433">
        <f t="shared" si="2"/>
        <v>45</v>
      </c>
      <c r="AE11" s="433">
        <f t="shared" si="2"/>
        <v>23.6</v>
      </c>
      <c r="AF11" s="433">
        <f t="shared" si="2"/>
        <v>6</v>
      </c>
      <c r="AG11" s="433">
        <f t="shared" si="2"/>
        <v>18</v>
      </c>
      <c r="AH11" s="433">
        <f aca="true" t="shared" si="3" ref="AH11:BL11">SUM(AH7:AH10)</f>
        <v>114.4</v>
      </c>
      <c r="AI11" s="433">
        <f t="shared" si="3"/>
        <v>1683</v>
      </c>
      <c r="AJ11" s="433">
        <f t="shared" si="3"/>
        <v>1489</v>
      </c>
      <c r="AK11" s="433">
        <f t="shared" si="3"/>
        <v>0</v>
      </c>
      <c r="AL11" s="433">
        <f t="shared" si="3"/>
        <v>0</v>
      </c>
      <c r="AM11" s="433">
        <f t="shared" si="3"/>
        <v>156</v>
      </c>
      <c r="AN11" s="433">
        <f t="shared" si="3"/>
        <v>16</v>
      </c>
      <c r="AO11" s="433">
        <f t="shared" si="3"/>
        <v>191</v>
      </c>
      <c r="AP11" s="433">
        <f t="shared" si="3"/>
        <v>24</v>
      </c>
      <c r="AQ11" s="433">
        <f t="shared" si="3"/>
        <v>1513</v>
      </c>
      <c r="AR11" s="434">
        <f t="shared" si="3"/>
        <v>293</v>
      </c>
      <c r="AS11" s="433">
        <f t="shared" si="3"/>
        <v>52</v>
      </c>
      <c r="AT11" s="433">
        <f t="shared" si="3"/>
        <v>39.3</v>
      </c>
      <c r="AU11" s="433">
        <f t="shared" si="3"/>
        <v>93</v>
      </c>
      <c r="AV11" s="435">
        <f t="shared" si="3"/>
        <v>90.61</v>
      </c>
      <c r="AW11" s="435">
        <f t="shared" si="3"/>
        <v>2.5</v>
      </c>
      <c r="AX11" s="435">
        <f t="shared" si="3"/>
        <v>18.17</v>
      </c>
      <c r="AY11" s="435">
        <f t="shared" si="3"/>
        <v>46.01</v>
      </c>
      <c r="AZ11" s="435">
        <f t="shared" si="3"/>
        <v>23.93</v>
      </c>
      <c r="BA11" s="435">
        <f t="shared" si="3"/>
        <v>6.17</v>
      </c>
      <c r="BB11" s="435">
        <f t="shared" si="3"/>
        <v>18.5</v>
      </c>
      <c r="BC11" s="436">
        <f t="shared" si="3"/>
        <v>115.28</v>
      </c>
      <c r="BD11" s="437">
        <f t="shared" si="3"/>
        <v>1683</v>
      </c>
      <c r="BE11" s="434">
        <f t="shared" si="3"/>
        <v>1435</v>
      </c>
      <c r="BF11" s="434">
        <f t="shared" si="3"/>
        <v>0</v>
      </c>
      <c r="BG11" s="434">
        <f t="shared" si="3"/>
        <v>0</v>
      </c>
      <c r="BH11" s="434">
        <f t="shared" si="3"/>
        <v>151</v>
      </c>
      <c r="BI11" s="434">
        <f t="shared" si="3"/>
        <v>16</v>
      </c>
      <c r="BJ11" s="434">
        <f t="shared" si="3"/>
        <v>178</v>
      </c>
      <c r="BK11" s="434">
        <f t="shared" si="3"/>
        <v>31</v>
      </c>
      <c r="BL11" s="438">
        <f t="shared" si="3"/>
        <v>1466</v>
      </c>
    </row>
    <row r="12" spans="1:64" s="89" customFormat="1" ht="11.25">
      <c r="A12" s="439" t="s">
        <v>234</v>
      </c>
      <c r="B12" s="440">
        <v>20</v>
      </c>
      <c r="C12" s="440"/>
      <c r="D12" s="441">
        <v>3</v>
      </c>
      <c r="E12" s="441">
        <v>4.15</v>
      </c>
      <c r="F12" s="441">
        <f>G12+H12+I12+J12</f>
        <v>7.77</v>
      </c>
      <c r="G12" s="441">
        <v>0.5</v>
      </c>
      <c r="H12" s="441">
        <v>0.31</v>
      </c>
      <c r="I12" s="441">
        <v>3.36</v>
      </c>
      <c r="J12" s="441">
        <v>3.6</v>
      </c>
      <c r="K12" s="441">
        <v>0.25</v>
      </c>
      <c r="L12" s="441">
        <v>0.5</v>
      </c>
      <c r="M12" s="441">
        <f>F12+K12+L12</f>
        <v>8.52</v>
      </c>
      <c r="N12" s="440">
        <v>75</v>
      </c>
      <c r="O12" s="440">
        <v>129</v>
      </c>
      <c r="P12" s="440">
        <v>0</v>
      </c>
      <c r="Q12" s="442">
        <v>0</v>
      </c>
      <c r="R12" s="442">
        <v>2</v>
      </c>
      <c r="S12" s="442">
        <v>1</v>
      </c>
      <c r="T12" s="442">
        <v>15</v>
      </c>
      <c r="U12" s="442">
        <v>4</v>
      </c>
      <c r="V12" s="442">
        <f>O12+U12</f>
        <v>133</v>
      </c>
      <c r="W12" s="440">
        <v>16</v>
      </c>
      <c r="X12" s="440">
        <v>0</v>
      </c>
      <c r="Y12" s="441">
        <v>3</v>
      </c>
      <c r="Z12" s="441">
        <v>4.15</v>
      </c>
      <c r="AA12" s="441">
        <f>AB12+AC12+AD12+AE12</f>
        <v>7.92</v>
      </c>
      <c r="AB12" s="441">
        <v>0</v>
      </c>
      <c r="AC12" s="441">
        <v>0.6</v>
      </c>
      <c r="AD12" s="441">
        <v>4.14</v>
      </c>
      <c r="AE12" s="441">
        <v>3.18</v>
      </c>
      <c r="AF12" s="441">
        <v>0.25</v>
      </c>
      <c r="AG12" s="441">
        <v>0.5</v>
      </c>
      <c r="AH12" s="441">
        <f>AA12+AF12+AG12</f>
        <v>8.67</v>
      </c>
      <c r="AI12" s="440">
        <v>75</v>
      </c>
      <c r="AJ12" s="440">
        <v>145</v>
      </c>
      <c r="AK12" s="440">
        <v>0</v>
      </c>
      <c r="AL12" s="442">
        <v>0</v>
      </c>
      <c r="AM12" s="442">
        <v>22</v>
      </c>
      <c r="AN12" s="442">
        <v>2</v>
      </c>
      <c r="AO12" s="442">
        <v>15</v>
      </c>
      <c r="AP12" s="442">
        <v>4</v>
      </c>
      <c r="AQ12" s="442">
        <f>AJ12+AP12</f>
        <v>149</v>
      </c>
      <c r="AR12" s="440">
        <f aca="true" t="shared" si="4" ref="AR12:BA16">(B12*8+W12*4)/12</f>
        <v>19</v>
      </c>
      <c r="AS12" s="440">
        <f t="shared" si="4"/>
        <v>0</v>
      </c>
      <c r="AT12" s="443">
        <f t="shared" si="4"/>
        <v>3</v>
      </c>
      <c r="AU12" s="440">
        <f t="shared" si="4"/>
        <v>4</v>
      </c>
      <c r="AV12" s="441">
        <f t="shared" si="4"/>
        <v>7.82</v>
      </c>
      <c r="AW12" s="441">
        <f t="shared" si="4"/>
        <v>0.33</v>
      </c>
      <c r="AX12" s="441">
        <f t="shared" si="4"/>
        <v>0.41</v>
      </c>
      <c r="AY12" s="441">
        <f t="shared" si="4"/>
        <v>3.62</v>
      </c>
      <c r="AZ12" s="441">
        <f t="shared" si="4"/>
        <v>3.46</v>
      </c>
      <c r="BA12" s="441">
        <f t="shared" si="4"/>
        <v>0.25</v>
      </c>
      <c r="BB12" s="441">
        <f aca="true" t="shared" si="5" ref="BB12:BK16">(L12*8+AG12*4)/12</f>
        <v>0.5</v>
      </c>
      <c r="BC12" s="444">
        <f t="shared" si="5"/>
        <v>8.57</v>
      </c>
      <c r="BD12" s="445">
        <f t="shared" si="5"/>
        <v>75</v>
      </c>
      <c r="BE12" s="440">
        <f t="shared" si="5"/>
        <v>134</v>
      </c>
      <c r="BF12" s="440">
        <f t="shared" si="5"/>
        <v>0</v>
      </c>
      <c r="BG12" s="440">
        <f t="shared" si="5"/>
        <v>0</v>
      </c>
      <c r="BH12" s="440">
        <f t="shared" si="5"/>
        <v>9</v>
      </c>
      <c r="BI12" s="440">
        <f t="shared" si="5"/>
        <v>1</v>
      </c>
      <c r="BJ12" s="440">
        <f t="shared" si="5"/>
        <v>15</v>
      </c>
      <c r="BK12" s="440">
        <f t="shared" si="5"/>
        <v>4</v>
      </c>
      <c r="BL12" s="446">
        <f>BE12+BK12</f>
        <v>138</v>
      </c>
    </row>
    <row r="13" spans="1:64" s="89" customFormat="1" ht="11.25">
      <c r="A13" s="416" t="s">
        <v>141</v>
      </c>
      <c r="B13" s="417">
        <v>92</v>
      </c>
      <c r="C13" s="417">
        <v>4</v>
      </c>
      <c r="D13" s="418">
        <v>8</v>
      </c>
      <c r="E13" s="418">
        <v>18.39</v>
      </c>
      <c r="F13" s="418">
        <f>G13+H13+I13+J13</f>
        <v>27.1</v>
      </c>
      <c r="G13" s="418">
        <v>0</v>
      </c>
      <c r="H13" s="418">
        <v>4.29</v>
      </c>
      <c r="I13" s="418">
        <v>16.42</v>
      </c>
      <c r="J13" s="418">
        <v>6.39</v>
      </c>
      <c r="K13" s="418">
        <v>1</v>
      </c>
      <c r="L13" s="418">
        <v>4.5</v>
      </c>
      <c r="M13" s="418">
        <f>F13+K13+L13</f>
        <v>32.6</v>
      </c>
      <c r="N13" s="417">
        <v>320</v>
      </c>
      <c r="O13" s="417">
        <v>481</v>
      </c>
      <c r="P13" s="417">
        <v>0</v>
      </c>
      <c r="Q13" s="419">
        <v>0</v>
      </c>
      <c r="R13" s="419">
        <v>160</v>
      </c>
      <c r="S13" s="419">
        <v>16</v>
      </c>
      <c r="T13" s="419">
        <v>57</v>
      </c>
      <c r="U13" s="419">
        <v>2</v>
      </c>
      <c r="V13" s="419">
        <f>O13+U13</f>
        <v>483</v>
      </c>
      <c r="W13" s="417">
        <v>109</v>
      </c>
      <c r="X13" s="417">
        <v>41</v>
      </c>
      <c r="Y13" s="418">
        <v>9</v>
      </c>
      <c r="Z13" s="418">
        <v>18.39</v>
      </c>
      <c r="AA13" s="418">
        <f>AB13+AC13+AD13+AE13</f>
        <v>27.57</v>
      </c>
      <c r="AB13" s="418">
        <v>0.38</v>
      </c>
      <c r="AC13" s="418">
        <v>5.62</v>
      </c>
      <c r="AD13" s="418">
        <v>9.11</v>
      </c>
      <c r="AE13" s="418">
        <v>12.46</v>
      </c>
      <c r="AF13" s="418">
        <v>1.5</v>
      </c>
      <c r="AG13" s="418">
        <v>4.5</v>
      </c>
      <c r="AH13" s="418">
        <f>AA13+AF13+AG13</f>
        <v>33.57</v>
      </c>
      <c r="AI13" s="417">
        <v>320</v>
      </c>
      <c r="AJ13" s="417">
        <v>495</v>
      </c>
      <c r="AK13" s="417">
        <v>0</v>
      </c>
      <c r="AL13" s="419">
        <v>0</v>
      </c>
      <c r="AM13" s="419">
        <v>110</v>
      </c>
      <c r="AN13" s="419">
        <v>11</v>
      </c>
      <c r="AO13" s="419">
        <v>68</v>
      </c>
      <c r="AP13" s="419">
        <v>2</v>
      </c>
      <c r="AQ13" s="419">
        <f>AJ13+AP13</f>
        <v>497</v>
      </c>
      <c r="AR13" s="417">
        <f t="shared" si="4"/>
        <v>98</v>
      </c>
      <c r="AS13" s="417">
        <f t="shared" si="4"/>
        <v>16</v>
      </c>
      <c r="AT13" s="420">
        <f t="shared" si="4"/>
        <v>8.3</v>
      </c>
      <c r="AU13" s="417">
        <f t="shared" si="4"/>
        <v>18</v>
      </c>
      <c r="AV13" s="418">
        <f t="shared" si="4"/>
        <v>27.26</v>
      </c>
      <c r="AW13" s="418">
        <f t="shared" si="4"/>
        <v>0.13</v>
      </c>
      <c r="AX13" s="418">
        <f t="shared" si="4"/>
        <v>4.73</v>
      </c>
      <c r="AY13" s="418">
        <f t="shared" si="4"/>
        <v>13.98</v>
      </c>
      <c r="AZ13" s="418">
        <f t="shared" si="4"/>
        <v>8.41</v>
      </c>
      <c r="BA13" s="418">
        <f t="shared" si="4"/>
        <v>1.17</v>
      </c>
      <c r="BB13" s="418">
        <f t="shared" si="5"/>
        <v>4.5</v>
      </c>
      <c r="BC13" s="421">
        <f t="shared" si="5"/>
        <v>32.92</v>
      </c>
      <c r="BD13" s="422">
        <f t="shared" si="5"/>
        <v>320</v>
      </c>
      <c r="BE13" s="417">
        <f t="shared" si="5"/>
        <v>486</v>
      </c>
      <c r="BF13" s="417">
        <f t="shared" si="5"/>
        <v>0</v>
      </c>
      <c r="BG13" s="417">
        <f t="shared" si="5"/>
        <v>0</v>
      </c>
      <c r="BH13" s="417">
        <f t="shared" si="5"/>
        <v>143</v>
      </c>
      <c r="BI13" s="417">
        <f t="shared" si="5"/>
        <v>14</v>
      </c>
      <c r="BJ13" s="417">
        <f t="shared" si="5"/>
        <v>61</v>
      </c>
      <c r="BK13" s="417">
        <f t="shared" si="5"/>
        <v>2</v>
      </c>
      <c r="BL13" s="423">
        <f>BE13+BK13</f>
        <v>488</v>
      </c>
    </row>
    <row r="14" spans="1:64" s="89" customFormat="1" ht="11.25">
      <c r="A14" s="416" t="s">
        <v>235</v>
      </c>
      <c r="B14" s="417">
        <v>19</v>
      </c>
      <c r="C14" s="417">
        <v>7</v>
      </c>
      <c r="D14" s="418">
        <v>2</v>
      </c>
      <c r="E14" s="418">
        <v>4.15</v>
      </c>
      <c r="F14" s="418">
        <f>G14+H14+I14+J14</f>
        <v>4.67</v>
      </c>
      <c r="G14" s="418">
        <v>0</v>
      </c>
      <c r="H14" s="418">
        <v>2.13</v>
      </c>
      <c r="I14" s="418">
        <v>1.22</v>
      </c>
      <c r="J14" s="418">
        <v>1.32</v>
      </c>
      <c r="K14" s="418">
        <v>0.75</v>
      </c>
      <c r="L14" s="418">
        <v>0</v>
      </c>
      <c r="M14" s="418">
        <f>F14+K14+L14</f>
        <v>5.42</v>
      </c>
      <c r="N14" s="417">
        <v>106</v>
      </c>
      <c r="O14" s="417">
        <v>92</v>
      </c>
      <c r="P14" s="417">
        <v>0</v>
      </c>
      <c r="Q14" s="419">
        <v>0</v>
      </c>
      <c r="R14" s="419">
        <v>0</v>
      </c>
      <c r="S14" s="419">
        <v>0</v>
      </c>
      <c r="T14" s="419">
        <v>0</v>
      </c>
      <c r="U14" s="419">
        <v>0</v>
      </c>
      <c r="V14" s="419">
        <f>O14+U14</f>
        <v>92</v>
      </c>
      <c r="W14" s="417">
        <v>0</v>
      </c>
      <c r="X14" s="417">
        <v>0</v>
      </c>
      <c r="Y14" s="418">
        <v>0</v>
      </c>
      <c r="Z14" s="418">
        <v>4.15</v>
      </c>
      <c r="AA14" s="418">
        <v>0</v>
      </c>
      <c r="AB14" s="418">
        <v>0</v>
      </c>
      <c r="AC14" s="418">
        <v>0</v>
      </c>
      <c r="AD14" s="418">
        <v>0</v>
      </c>
      <c r="AE14" s="418">
        <v>0</v>
      </c>
      <c r="AF14" s="418">
        <v>0</v>
      </c>
      <c r="AG14" s="418">
        <v>0</v>
      </c>
      <c r="AH14" s="418">
        <f>AA14+AF14+AG14</f>
        <v>0</v>
      </c>
      <c r="AI14" s="417">
        <v>106</v>
      </c>
      <c r="AJ14" s="417">
        <v>0</v>
      </c>
      <c r="AK14" s="417">
        <v>0</v>
      </c>
      <c r="AL14" s="419">
        <v>0</v>
      </c>
      <c r="AM14" s="419">
        <v>0</v>
      </c>
      <c r="AN14" s="419">
        <v>0</v>
      </c>
      <c r="AO14" s="419">
        <v>0</v>
      </c>
      <c r="AP14" s="419">
        <v>0</v>
      </c>
      <c r="AQ14" s="419">
        <f>AJ14+AP14</f>
        <v>0</v>
      </c>
      <c r="AR14" s="417">
        <f t="shared" si="4"/>
        <v>13</v>
      </c>
      <c r="AS14" s="417">
        <f t="shared" si="4"/>
        <v>5</v>
      </c>
      <c r="AT14" s="420">
        <f t="shared" si="4"/>
        <v>1.3</v>
      </c>
      <c r="AU14" s="417">
        <f t="shared" si="4"/>
        <v>4</v>
      </c>
      <c r="AV14" s="418">
        <f t="shared" si="4"/>
        <v>3.11</v>
      </c>
      <c r="AW14" s="418">
        <f t="shared" si="4"/>
        <v>0</v>
      </c>
      <c r="AX14" s="418">
        <f t="shared" si="4"/>
        <v>1.42</v>
      </c>
      <c r="AY14" s="418">
        <f t="shared" si="4"/>
        <v>0.81</v>
      </c>
      <c r="AZ14" s="418">
        <f t="shared" si="4"/>
        <v>0.88</v>
      </c>
      <c r="BA14" s="418">
        <f t="shared" si="4"/>
        <v>0.5</v>
      </c>
      <c r="BB14" s="418">
        <f t="shared" si="5"/>
        <v>0</v>
      </c>
      <c r="BC14" s="421">
        <f t="shared" si="5"/>
        <v>3.61</v>
      </c>
      <c r="BD14" s="422">
        <f t="shared" si="5"/>
        <v>106</v>
      </c>
      <c r="BE14" s="417">
        <f t="shared" si="5"/>
        <v>61</v>
      </c>
      <c r="BF14" s="417">
        <f t="shared" si="5"/>
        <v>0</v>
      </c>
      <c r="BG14" s="417">
        <f t="shared" si="5"/>
        <v>0</v>
      </c>
      <c r="BH14" s="417">
        <f t="shared" si="5"/>
        <v>0</v>
      </c>
      <c r="BI14" s="417">
        <f t="shared" si="5"/>
        <v>0</v>
      </c>
      <c r="BJ14" s="417">
        <f t="shared" si="5"/>
        <v>0</v>
      </c>
      <c r="BK14" s="417">
        <f t="shared" si="5"/>
        <v>0</v>
      </c>
      <c r="BL14" s="423">
        <f>BE14+BK14</f>
        <v>61</v>
      </c>
    </row>
    <row r="15" spans="1:64" s="89" customFormat="1" ht="11.25">
      <c r="A15" s="416" t="s">
        <v>143</v>
      </c>
      <c r="B15" s="417">
        <v>35</v>
      </c>
      <c r="C15" s="417">
        <v>16</v>
      </c>
      <c r="D15" s="418">
        <v>4</v>
      </c>
      <c r="E15" s="418">
        <v>6.8</v>
      </c>
      <c r="F15" s="418">
        <f>G15+H15+I15+J15</f>
        <v>8.7</v>
      </c>
      <c r="G15" s="418">
        <v>1.2</v>
      </c>
      <c r="H15" s="418">
        <v>1</v>
      </c>
      <c r="I15" s="418">
        <v>6.5</v>
      </c>
      <c r="J15" s="418">
        <v>0</v>
      </c>
      <c r="K15" s="418">
        <v>1</v>
      </c>
      <c r="L15" s="418">
        <v>1.5</v>
      </c>
      <c r="M15" s="418">
        <f>F15+K15+L15</f>
        <v>11.2</v>
      </c>
      <c r="N15" s="417">
        <v>123</v>
      </c>
      <c r="O15" s="417">
        <v>163</v>
      </c>
      <c r="P15" s="417">
        <v>0</v>
      </c>
      <c r="Q15" s="419">
        <v>0</v>
      </c>
      <c r="R15" s="419">
        <v>10</v>
      </c>
      <c r="S15" s="419">
        <v>1</v>
      </c>
      <c r="T15" s="419">
        <v>0</v>
      </c>
      <c r="U15" s="419">
        <v>10</v>
      </c>
      <c r="V15" s="419">
        <f>O15+U15</f>
        <v>173</v>
      </c>
      <c r="W15" s="417">
        <v>33</v>
      </c>
      <c r="X15" s="417">
        <v>15</v>
      </c>
      <c r="Y15" s="418">
        <v>4</v>
      </c>
      <c r="Z15" s="418">
        <v>6.8</v>
      </c>
      <c r="AA15" s="418">
        <f>AB15+AC15+AD15+AE15</f>
        <v>10.7</v>
      </c>
      <c r="AB15" s="418">
        <v>1.22</v>
      </c>
      <c r="AC15" s="418">
        <v>0</v>
      </c>
      <c r="AD15" s="418">
        <v>7.64</v>
      </c>
      <c r="AE15" s="418">
        <v>1.84</v>
      </c>
      <c r="AF15" s="418">
        <v>1</v>
      </c>
      <c r="AG15" s="418">
        <v>1.5</v>
      </c>
      <c r="AH15" s="418">
        <f>AA15+AF15+AG15</f>
        <v>13.2</v>
      </c>
      <c r="AI15" s="417">
        <v>123</v>
      </c>
      <c r="AJ15" s="417">
        <v>161</v>
      </c>
      <c r="AK15" s="417">
        <v>0</v>
      </c>
      <c r="AL15" s="419">
        <v>0</v>
      </c>
      <c r="AM15" s="419">
        <v>0</v>
      </c>
      <c r="AN15" s="419">
        <v>0</v>
      </c>
      <c r="AO15" s="419">
        <v>5</v>
      </c>
      <c r="AP15" s="419">
        <v>10</v>
      </c>
      <c r="AQ15" s="419">
        <f>AJ15+AP15</f>
        <v>171</v>
      </c>
      <c r="AR15" s="417">
        <f t="shared" si="4"/>
        <v>34</v>
      </c>
      <c r="AS15" s="417">
        <f t="shared" si="4"/>
        <v>16</v>
      </c>
      <c r="AT15" s="420">
        <f t="shared" si="4"/>
        <v>4</v>
      </c>
      <c r="AU15" s="417">
        <f t="shared" si="4"/>
        <v>7</v>
      </c>
      <c r="AV15" s="418">
        <f t="shared" si="4"/>
        <v>9.37</v>
      </c>
      <c r="AW15" s="418">
        <f t="shared" si="4"/>
        <v>1.21</v>
      </c>
      <c r="AX15" s="418">
        <f t="shared" si="4"/>
        <v>0.67</v>
      </c>
      <c r="AY15" s="418">
        <f t="shared" si="4"/>
        <v>6.88</v>
      </c>
      <c r="AZ15" s="418">
        <f t="shared" si="4"/>
        <v>0.61</v>
      </c>
      <c r="BA15" s="418">
        <f t="shared" si="4"/>
        <v>1</v>
      </c>
      <c r="BB15" s="418">
        <f t="shared" si="5"/>
        <v>1.5</v>
      </c>
      <c r="BC15" s="421">
        <f t="shared" si="5"/>
        <v>11.87</v>
      </c>
      <c r="BD15" s="422">
        <f t="shared" si="5"/>
        <v>123</v>
      </c>
      <c r="BE15" s="417">
        <f t="shared" si="5"/>
        <v>162</v>
      </c>
      <c r="BF15" s="417">
        <f t="shared" si="5"/>
        <v>0</v>
      </c>
      <c r="BG15" s="417">
        <f t="shared" si="5"/>
        <v>0</v>
      </c>
      <c r="BH15" s="417">
        <f t="shared" si="5"/>
        <v>7</v>
      </c>
      <c r="BI15" s="417">
        <f t="shared" si="5"/>
        <v>1</v>
      </c>
      <c r="BJ15" s="417">
        <f t="shared" si="5"/>
        <v>2</v>
      </c>
      <c r="BK15" s="417">
        <f t="shared" si="5"/>
        <v>10</v>
      </c>
      <c r="BL15" s="423">
        <f>BE15+BK15</f>
        <v>172</v>
      </c>
    </row>
    <row r="16" spans="1:64" s="89" customFormat="1" ht="11.25">
      <c r="A16" s="424" t="s">
        <v>145</v>
      </c>
      <c r="B16" s="425">
        <v>21</v>
      </c>
      <c r="C16" s="425">
        <v>5</v>
      </c>
      <c r="D16" s="426">
        <v>2</v>
      </c>
      <c r="E16" s="426">
        <v>5.86</v>
      </c>
      <c r="F16" s="426">
        <f>G16+H16+I16+J16</f>
        <v>7.15</v>
      </c>
      <c r="G16" s="426">
        <v>0</v>
      </c>
      <c r="H16" s="426">
        <v>1.79</v>
      </c>
      <c r="I16" s="426">
        <v>3.79</v>
      </c>
      <c r="J16" s="426">
        <v>1.57</v>
      </c>
      <c r="K16" s="426">
        <v>1</v>
      </c>
      <c r="L16" s="426">
        <v>1.5</v>
      </c>
      <c r="M16" s="426">
        <f>F16+K16+L16</f>
        <v>9.65</v>
      </c>
      <c r="N16" s="425">
        <v>112</v>
      </c>
      <c r="O16" s="425">
        <v>98</v>
      </c>
      <c r="P16" s="425">
        <v>0</v>
      </c>
      <c r="Q16" s="427">
        <v>0</v>
      </c>
      <c r="R16" s="427"/>
      <c r="S16" s="427">
        <v>2</v>
      </c>
      <c r="T16" s="427">
        <v>8</v>
      </c>
      <c r="U16" s="427">
        <v>2</v>
      </c>
      <c r="V16" s="427">
        <f>O16+U16</f>
        <v>100</v>
      </c>
      <c r="W16" s="425">
        <v>9</v>
      </c>
      <c r="X16" s="425">
        <v>2</v>
      </c>
      <c r="Y16" s="426">
        <v>1</v>
      </c>
      <c r="Z16" s="426">
        <v>5.86</v>
      </c>
      <c r="AA16" s="426">
        <f>AB16+AC16+AD16+AE16</f>
        <v>6.36</v>
      </c>
      <c r="AB16" s="426">
        <v>0</v>
      </c>
      <c r="AC16" s="426">
        <v>1.38</v>
      </c>
      <c r="AD16" s="426">
        <v>2.9</v>
      </c>
      <c r="AE16" s="426">
        <v>2.08</v>
      </c>
      <c r="AF16" s="426">
        <v>1</v>
      </c>
      <c r="AG16" s="426">
        <v>1.5</v>
      </c>
      <c r="AH16" s="426">
        <f>AA16+AF16+AG16</f>
        <v>8.86</v>
      </c>
      <c r="AI16" s="425">
        <v>112</v>
      </c>
      <c r="AJ16" s="425">
        <v>59</v>
      </c>
      <c r="AK16" s="425">
        <v>0</v>
      </c>
      <c r="AL16" s="427">
        <v>0</v>
      </c>
      <c r="AM16" s="427"/>
      <c r="AN16" s="427">
        <v>1</v>
      </c>
      <c r="AO16" s="427">
        <v>5</v>
      </c>
      <c r="AP16" s="427">
        <v>2</v>
      </c>
      <c r="AQ16" s="427">
        <f>AJ16+AP16</f>
        <v>61</v>
      </c>
      <c r="AR16" s="425">
        <f t="shared" si="4"/>
        <v>17</v>
      </c>
      <c r="AS16" s="425">
        <f t="shared" si="4"/>
        <v>4</v>
      </c>
      <c r="AT16" s="428">
        <f t="shared" si="4"/>
        <v>1.7</v>
      </c>
      <c r="AU16" s="425">
        <f t="shared" si="4"/>
        <v>6</v>
      </c>
      <c r="AV16" s="426">
        <f t="shared" si="4"/>
        <v>6.89</v>
      </c>
      <c r="AW16" s="426">
        <f t="shared" si="4"/>
        <v>0</v>
      </c>
      <c r="AX16" s="426">
        <f t="shared" si="4"/>
        <v>1.65</v>
      </c>
      <c r="AY16" s="426">
        <f t="shared" si="4"/>
        <v>3.49</v>
      </c>
      <c r="AZ16" s="426">
        <f t="shared" si="4"/>
        <v>1.74</v>
      </c>
      <c r="BA16" s="426">
        <f t="shared" si="4"/>
        <v>1</v>
      </c>
      <c r="BB16" s="426">
        <f t="shared" si="5"/>
        <v>1.5</v>
      </c>
      <c r="BC16" s="429">
        <f t="shared" si="5"/>
        <v>9.39</v>
      </c>
      <c r="BD16" s="430">
        <f t="shared" si="5"/>
        <v>112</v>
      </c>
      <c r="BE16" s="425">
        <f t="shared" si="5"/>
        <v>85</v>
      </c>
      <c r="BF16" s="425">
        <f t="shared" si="5"/>
        <v>0</v>
      </c>
      <c r="BG16" s="425">
        <f t="shared" si="5"/>
        <v>0</v>
      </c>
      <c r="BH16" s="425">
        <f t="shared" si="5"/>
        <v>0</v>
      </c>
      <c r="BI16" s="425">
        <f t="shared" si="5"/>
        <v>2</v>
      </c>
      <c r="BJ16" s="425">
        <f t="shared" si="5"/>
        <v>7</v>
      </c>
      <c r="BK16" s="425">
        <f t="shared" si="5"/>
        <v>2</v>
      </c>
      <c r="BL16" s="431">
        <f>BE16+BK16</f>
        <v>87</v>
      </c>
    </row>
    <row r="17" spans="1:64" s="122" customFormat="1" ht="14.25" customHeight="1">
      <c r="A17" s="432" t="s">
        <v>279</v>
      </c>
      <c r="B17" s="433">
        <f aca="true" t="shared" si="6" ref="B17:AG17">SUM(B12:B16)</f>
        <v>187</v>
      </c>
      <c r="C17" s="433">
        <f t="shared" si="6"/>
        <v>32</v>
      </c>
      <c r="D17" s="433">
        <f t="shared" si="6"/>
        <v>19</v>
      </c>
      <c r="E17" s="433">
        <f t="shared" si="6"/>
        <v>39.4</v>
      </c>
      <c r="F17" s="433">
        <f t="shared" si="6"/>
        <v>55.4</v>
      </c>
      <c r="G17" s="433">
        <f t="shared" si="6"/>
        <v>1.7</v>
      </c>
      <c r="H17" s="433">
        <f t="shared" si="6"/>
        <v>9.5</v>
      </c>
      <c r="I17" s="433">
        <f t="shared" si="6"/>
        <v>31.3</v>
      </c>
      <c r="J17" s="433">
        <f t="shared" si="6"/>
        <v>12.9</v>
      </c>
      <c r="K17" s="433">
        <f t="shared" si="6"/>
        <v>4</v>
      </c>
      <c r="L17" s="433">
        <f t="shared" si="6"/>
        <v>8</v>
      </c>
      <c r="M17" s="433">
        <f t="shared" si="6"/>
        <v>67.4</v>
      </c>
      <c r="N17" s="433">
        <f t="shared" si="6"/>
        <v>736</v>
      </c>
      <c r="O17" s="433">
        <f t="shared" si="6"/>
        <v>963</v>
      </c>
      <c r="P17" s="433">
        <f t="shared" si="6"/>
        <v>0</v>
      </c>
      <c r="Q17" s="433">
        <f t="shared" si="6"/>
        <v>0</v>
      </c>
      <c r="R17" s="433">
        <f t="shared" si="6"/>
        <v>172</v>
      </c>
      <c r="S17" s="433">
        <f t="shared" si="6"/>
        <v>20</v>
      </c>
      <c r="T17" s="433">
        <f t="shared" si="6"/>
        <v>80</v>
      </c>
      <c r="U17" s="433">
        <f t="shared" si="6"/>
        <v>18</v>
      </c>
      <c r="V17" s="433">
        <f t="shared" si="6"/>
        <v>981</v>
      </c>
      <c r="W17" s="433">
        <f t="shared" si="6"/>
        <v>167</v>
      </c>
      <c r="X17" s="433">
        <f t="shared" si="6"/>
        <v>58</v>
      </c>
      <c r="Y17" s="433">
        <f t="shared" si="6"/>
        <v>17</v>
      </c>
      <c r="Z17" s="433">
        <f t="shared" si="6"/>
        <v>39.4</v>
      </c>
      <c r="AA17" s="433">
        <f t="shared" si="6"/>
        <v>52.6</v>
      </c>
      <c r="AB17" s="433">
        <f t="shared" si="6"/>
        <v>1.6</v>
      </c>
      <c r="AC17" s="433">
        <f t="shared" si="6"/>
        <v>7.6</v>
      </c>
      <c r="AD17" s="433">
        <f t="shared" si="6"/>
        <v>23.8</v>
      </c>
      <c r="AE17" s="433">
        <f t="shared" si="6"/>
        <v>19.6</v>
      </c>
      <c r="AF17" s="433">
        <f t="shared" si="6"/>
        <v>3.8</v>
      </c>
      <c r="AG17" s="433">
        <f t="shared" si="6"/>
        <v>8</v>
      </c>
      <c r="AH17" s="433">
        <f aca="true" t="shared" si="7" ref="AH17:BL17">SUM(AH12:AH16)</f>
        <v>64.3</v>
      </c>
      <c r="AI17" s="433">
        <f t="shared" si="7"/>
        <v>736</v>
      </c>
      <c r="AJ17" s="433">
        <f t="shared" si="7"/>
        <v>860</v>
      </c>
      <c r="AK17" s="433">
        <f t="shared" si="7"/>
        <v>0</v>
      </c>
      <c r="AL17" s="433">
        <f t="shared" si="7"/>
        <v>0</v>
      </c>
      <c r="AM17" s="433">
        <f t="shared" si="7"/>
        <v>132</v>
      </c>
      <c r="AN17" s="433">
        <f t="shared" si="7"/>
        <v>14</v>
      </c>
      <c r="AO17" s="433">
        <f t="shared" si="7"/>
        <v>93</v>
      </c>
      <c r="AP17" s="433">
        <f t="shared" si="7"/>
        <v>18</v>
      </c>
      <c r="AQ17" s="433">
        <f t="shared" si="7"/>
        <v>878</v>
      </c>
      <c r="AR17" s="434">
        <f t="shared" si="7"/>
        <v>181</v>
      </c>
      <c r="AS17" s="433">
        <f t="shared" si="7"/>
        <v>41</v>
      </c>
      <c r="AT17" s="433">
        <f t="shared" si="7"/>
        <v>18.3</v>
      </c>
      <c r="AU17" s="433">
        <f t="shared" si="7"/>
        <v>39</v>
      </c>
      <c r="AV17" s="435">
        <f t="shared" si="7"/>
        <v>54.45</v>
      </c>
      <c r="AW17" s="435">
        <f t="shared" si="7"/>
        <v>1.67</v>
      </c>
      <c r="AX17" s="435">
        <f t="shared" si="7"/>
        <v>8.88</v>
      </c>
      <c r="AY17" s="435">
        <f t="shared" si="7"/>
        <v>28.78</v>
      </c>
      <c r="AZ17" s="435">
        <f t="shared" si="7"/>
        <v>15.1</v>
      </c>
      <c r="BA17" s="435">
        <f t="shared" si="7"/>
        <v>3.92</v>
      </c>
      <c r="BB17" s="435">
        <f t="shared" si="7"/>
        <v>8</v>
      </c>
      <c r="BC17" s="436">
        <f t="shared" si="7"/>
        <v>66.36</v>
      </c>
      <c r="BD17" s="437">
        <f t="shared" si="7"/>
        <v>736</v>
      </c>
      <c r="BE17" s="434">
        <f t="shared" si="7"/>
        <v>928</v>
      </c>
      <c r="BF17" s="434">
        <f t="shared" si="7"/>
        <v>0</v>
      </c>
      <c r="BG17" s="434">
        <f t="shared" si="7"/>
        <v>0</v>
      </c>
      <c r="BH17" s="434">
        <f t="shared" si="7"/>
        <v>159</v>
      </c>
      <c r="BI17" s="434">
        <f t="shared" si="7"/>
        <v>18</v>
      </c>
      <c r="BJ17" s="434">
        <f t="shared" si="7"/>
        <v>85</v>
      </c>
      <c r="BK17" s="434">
        <f t="shared" si="7"/>
        <v>18</v>
      </c>
      <c r="BL17" s="438">
        <f t="shared" si="7"/>
        <v>946</v>
      </c>
    </row>
    <row r="18" spans="1:64" s="89" customFormat="1" ht="11.25">
      <c r="A18" s="439" t="s">
        <v>262</v>
      </c>
      <c r="B18" s="440">
        <v>586</v>
      </c>
      <c r="C18" s="440">
        <v>189</v>
      </c>
      <c r="D18" s="441">
        <v>17</v>
      </c>
      <c r="E18" s="441">
        <v>45.06</v>
      </c>
      <c r="F18" s="441">
        <f aca="true" t="shared" si="8" ref="F18:F31">G18+H18+I18+J18</f>
        <v>48.57</v>
      </c>
      <c r="G18" s="441">
        <v>2.22</v>
      </c>
      <c r="H18" s="441">
        <v>12.29</v>
      </c>
      <c r="I18" s="441">
        <v>29.96</v>
      </c>
      <c r="J18" s="441">
        <v>4.1</v>
      </c>
      <c r="K18" s="441">
        <v>4.58</v>
      </c>
      <c r="L18" s="441">
        <v>9.73</v>
      </c>
      <c r="M18" s="441">
        <f aca="true" t="shared" si="9" ref="M18:M31">F18+K18+L18</f>
        <v>62.88</v>
      </c>
      <c r="N18" s="440">
        <v>806</v>
      </c>
      <c r="O18" s="440">
        <v>797</v>
      </c>
      <c r="P18" s="440">
        <v>0</v>
      </c>
      <c r="Q18" s="442">
        <v>0</v>
      </c>
      <c r="R18" s="442">
        <v>0</v>
      </c>
      <c r="S18" s="442">
        <v>0</v>
      </c>
      <c r="T18" s="442">
        <v>86</v>
      </c>
      <c r="U18" s="442">
        <v>71</v>
      </c>
      <c r="V18" s="442">
        <f aca="true" t="shared" si="10" ref="V18:V31">O18+U18</f>
        <v>868</v>
      </c>
      <c r="W18" s="440">
        <v>563</v>
      </c>
      <c r="X18" s="440">
        <v>141</v>
      </c>
      <c r="Y18" s="441">
        <v>16</v>
      </c>
      <c r="Z18" s="441">
        <v>45.06</v>
      </c>
      <c r="AA18" s="441">
        <f aca="true" t="shared" si="11" ref="AA18:AA31">AB18+AC18+AD18+AE18</f>
        <v>46.98</v>
      </c>
      <c r="AB18" s="441">
        <v>1.5</v>
      </c>
      <c r="AC18" s="441">
        <v>10.68</v>
      </c>
      <c r="AD18" s="441">
        <v>28.3</v>
      </c>
      <c r="AE18" s="441">
        <v>6.5</v>
      </c>
      <c r="AF18" s="441">
        <v>4.75</v>
      </c>
      <c r="AG18" s="441">
        <v>10.9</v>
      </c>
      <c r="AH18" s="441">
        <f aca="true" t="shared" si="12" ref="AH18:AH31">AA18+AF18+AG18</f>
        <v>62.63</v>
      </c>
      <c r="AI18" s="440">
        <v>806</v>
      </c>
      <c r="AJ18" s="440">
        <v>798</v>
      </c>
      <c r="AK18" s="440">
        <v>0</v>
      </c>
      <c r="AL18" s="442">
        <v>0</v>
      </c>
      <c r="AM18" s="442">
        <v>3</v>
      </c>
      <c r="AN18" s="442">
        <v>1</v>
      </c>
      <c r="AO18" s="442">
        <v>86</v>
      </c>
      <c r="AP18" s="442">
        <v>46</v>
      </c>
      <c r="AQ18" s="442">
        <f aca="true" t="shared" si="13" ref="AQ18:AQ31">AJ18+AP18</f>
        <v>844</v>
      </c>
      <c r="AR18" s="440">
        <f aca="true" t="shared" si="14" ref="AR18:AR31">(B18*8+W18*4)/12</f>
        <v>578</v>
      </c>
      <c r="AS18" s="440">
        <f aca="true" t="shared" si="15" ref="AS18:AS31">(C18*8+X18*4)/12</f>
        <v>173</v>
      </c>
      <c r="AT18" s="443">
        <f aca="true" t="shared" si="16" ref="AT18:AT31">(D18*8+Y18*4)/12</f>
        <v>16.7</v>
      </c>
      <c r="AU18" s="440">
        <f aca="true" t="shared" si="17" ref="AU18:AU31">(E18*8+Z18*4)/12</f>
        <v>45</v>
      </c>
      <c r="AV18" s="441">
        <f aca="true" t="shared" si="18" ref="AV18:AV31">(F18*8+AA18*4)/12</f>
        <v>48.04</v>
      </c>
      <c r="AW18" s="441">
        <f aca="true" t="shared" si="19" ref="AW18:AW31">(G18*8+AB18*4)/12</f>
        <v>1.98</v>
      </c>
      <c r="AX18" s="441">
        <f aca="true" t="shared" si="20" ref="AX18:AX31">(H18*8+AC18*4)/12</f>
        <v>11.75</v>
      </c>
      <c r="AY18" s="441">
        <f aca="true" t="shared" si="21" ref="AY18:AY31">(I18*8+AD18*4)/12</f>
        <v>29.41</v>
      </c>
      <c r="AZ18" s="441">
        <f aca="true" t="shared" si="22" ref="AZ18:AZ31">(J18*8+AE18*4)/12</f>
        <v>4.9</v>
      </c>
      <c r="BA18" s="441">
        <f aca="true" t="shared" si="23" ref="BA18:BA31">(K18*8+AF18*4)/12</f>
        <v>4.64</v>
      </c>
      <c r="BB18" s="441">
        <f aca="true" t="shared" si="24" ref="BB18:BB31">(L18*8+AG18*4)/12</f>
        <v>10.12</v>
      </c>
      <c r="BC18" s="444">
        <f aca="true" t="shared" si="25" ref="BC18:BC31">(M18*8+AH18*4)/12</f>
        <v>62.8</v>
      </c>
      <c r="BD18" s="445">
        <f aca="true" t="shared" si="26" ref="BD18:BD31">(N18*8+AI18*4)/12</f>
        <v>806</v>
      </c>
      <c r="BE18" s="440">
        <f aca="true" t="shared" si="27" ref="BE18:BE31">(O18*8+AJ18*4)/12</f>
        <v>797</v>
      </c>
      <c r="BF18" s="440">
        <f aca="true" t="shared" si="28" ref="BF18:BF31">(P18*8+AK18*4)/12</f>
        <v>0</v>
      </c>
      <c r="BG18" s="440">
        <f aca="true" t="shared" si="29" ref="BG18:BG31">(Q18*8+AL18*4)/12</f>
        <v>0</v>
      </c>
      <c r="BH18" s="440">
        <f aca="true" t="shared" si="30" ref="BH18:BH31">(R18*8+AM18*4)/12</f>
        <v>1</v>
      </c>
      <c r="BI18" s="440">
        <f aca="true" t="shared" si="31" ref="BI18:BI31">(S18*8+AN18*4)/12</f>
        <v>0</v>
      </c>
      <c r="BJ18" s="440">
        <f aca="true" t="shared" si="32" ref="BJ18:BJ31">(T18*8+AO18*4)/12</f>
        <v>86</v>
      </c>
      <c r="BK18" s="440">
        <f aca="true" t="shared" si="33" ref="BK18:BK31">(U18*8+AP18*4)/12</f>
        <v>63</v>
      </c>
      <c r="BL18" s="446">
        <f aca="true" t="shared" si="34" ref="BL18:BL31">BE18+BK18</f>
        <v>860</v>
      </c>
    </row>
    <row r="19" spans="1:64" s="89" customFormat="1" ht="11.25">
      <c r="A19" s="416" t="s">
        <v>263</v>
      </c>
      <c r="B19" s="417">
        <v>721</v>
      </c>
      <c r="C19" s="417">
        <v>53</v>
      </c>
      <c r="D19" s="418">
        <v>23</v>
      </c>
      <c r="E19" s="418">
        <v>80.47</v>
      </c>
      <c r="F19" s="418">
        <f t="shared" si="8"/>
        <v>57.08</v>
      </c>
      <c r="G19" s="418">
        <v>1.54</v>
      </c>
      <c r="H19" s="418">
        <v>7.29</v>
      </c>
      <c r="I19" s="418">
        <v>36.97</v>
      </c>
      <c r="J19" s="418">
        <v>11.28</v>
      </c>
      <c r="K19" s="418">
        <v>5</v>
      </c>
      <c r="L19" s="418">
        <v>14.5</v>
      </c>
      <c r="M19" s="418">
        <f t="shared" si="9"/>
        <v>76.58</v>
      </c>
      <c r="N19" s="417">
        <v>1438</v>
      </c>
      <c r="O19" s="417">
        <v>954</v>
      </c>
      <c r="P19" s="417">
        <v>61</v>
      </c>
      <c r="Q19" s="419">
        <v>0</v>
      </c>
      <c r="R19" s="419">
        <v>12</v>
      </c>
      <c r="S19" s="419">
        <v>1</v>
      </c>
      <c r="T19" s="419">
        <v>110</v>
      </c>
      <c r="U19" s="419">
        <v>60</v>
      </c>
      <c r="V19" s="419">
        <f t="shared" si="10"/>
        <v>1014</v>
      </c>
      <c r="W19" s="417">
        <v>606</v>
      </c>
      <c r="X19" s="417">
        <v>35</v>
      </c>
      <c r="Y19" s="418">
        <v>20</v>
      </c>
      <c r="Z19" s="418">
        <v>80.47</v>
      </c>
      <c r="AA19" s="418">
        <f t="shared" si="11"/>
        <v>54.91</v>
      </c>
      <c r="AB19" s="418">
        <v>1.53</v>
      </c>
      <c r="AC19" s="418">
        <v>4.55</v>
      </c>
      <c r="AD19" s="418">
        <v>34.44</v>
      </c>
      <c r="AE19" s="418">
        <v>14.39</v>
      </c>
      <c r="AF19" s="418">
        <v>5</v>
      </c>
      <c r="AG19" s="418">
        <v>14.5</v>
      </c>
      <c r="AH19" s="418">
        <f t="shared" si="12"/>
        <v>74.41</v>
      </c>
      <c r="AI19" s="417">
        <v>1438</v>
      </c>
      <c r="AJ19" s="417">
        <v>915</v>
      </c>
      <c r="AK19" s="417">
        <v>56</v>
      </c>
      <c r="AL19" s="419">
        <v>0</v>
      </c>
      <c r="AM19" s="419">
        <v>0</v>
      </c>
      <c r="AN19" s="419">
        <v>0</v>
      </c>
      <c r="AO19" s="419">
        <v>110</v>
      </c>
      <c r="AP19" s="419">
        <v>36</v>
      </c>
      <c r="AQ19" s="419">
        <f t="shared" si="13"/>
        <v>951</v>
      </c>
      <c r="AR19" s="417">
        <f t="shared" si="14"/>
        <v>683</v>
      </c>
      <c r="AS19" s="417">
        <f t="shared" si="15"/>
        <v>47</v>
      </c>
      <c r="AT19" s="420">
        <f t="shared" si="16"/>
        <v>22</v>
      </c>
      <c r="AU19" s="417">
        <f t="shared" si="17"/>
        <v>80</v>
      </c>
      <c r="AV19" s="418">
        <f t="shared" si="18"/>
        <v>56.36</v>
      </c>
      <c r="AW19" s="418">
        <f t="shared" si="19"/>
        <v>1.54</v>
      </c>
      <c r="AX19" s="418">
        <f t="shared" si="20"/>
        <v>6.38</v>
      </c>
      <c r="AY19" s="418">
        <f t="shared" si="21"/>
        <v>36.13</v>
      </c>
      <c r="AZ19" s="418">
        <f t="shared" si="22"/>
        <v>12.32</v>
      </c>
      <c r="BA19" s="418">
        <f t="shared" si="23"/>
        <v>5</v>
      </c>
      <c r="BB19" s="418">
        <f t="shared" si="24"/>
        <v>14.5</v>
      </c>
      <c r="BC19" s="421">
        <f t="shared" si="25"/>
        <v>75.86</v>
      </c>
      <c r="BD19" s="422">
        <f t="shared" si="26"/>
        <v>1438</v>
      </c>
      <c r="BE19" s="417">
        <f t="shared" si="27"/>
        <v>941</v>
      </c>
      <c r="BF19" s="417">
        <f t="shared" si="28"/>
        <v>59</v>
      </c>
      <c r="BG19" s="417">
        <f t="shared" si="29"/>
        <v>0</v>
      </c>
      <c r="BH19" s="417">
        <f t="shared" si="30"/>
        <v>8</v>
      </c>
      <c r="BI19" s="417">
        <f t="shared" si="31"/>
        <v>1</v>
      </c>
      <c r="BJ19" s="417">
        <f t="shared" si="32"/>
        <v>110</v>
      </c>
      <c r="BK19" s="417">
        <f t="shared" si="33"/>
        <v>52</v>
      </c>
      <c r="BL19" s="423">
        <f t="shared" si="34"/>
        <v>993</v>
      </c>
    </row>
    <row r="20" spans="1:64" s="89" customFormat="1" ht="11.25">
      <c r="A20" s="416" t="s">
        <v>149</v>
      </c>
      <c r="B20" s="417">
        <v>679</v>
      </c>
      <c r="C20" s="417">
        <v>361</v>
      </c>
      <c r="D20" s="418">
        <v>22</v>
      </c>
      <c r="E20" s="418">
        <v>94</v>
      </c>
      <c r="F20" s="418">
        <f t="shared" si="8"/>
        <v>73.21</v>
      </c>
      <c r="G20" s="418">
        <v>1.33</v>
      </c>
      <c r="H20" s="418">
        <v>9.44</v>
      </c>
      <c r="I20" s="418">
        <v>32.72</v>
      </c>
      <c r="J20" s="418">
        <v>29.72</v>
      </c>
      <c r="K20" s="418">
        <v>6.5</v>
      </c>
      <c r="L20" s="418">
        <v>14.75</v>
      </c>
      <c r="M20" s="418">
        <f t="shared" si="9"/>
        <v>94.46</v>
      </c>
      <c r="N20" s="417">
        <v>1952</v>
      </c>
      <c r="O20" s="417">
        <v>1338</v>
      </c>
      <c r="P20" s="417">
        <v>100</v>
      </c>
      <c r="Q20" s="419">
        <v>202</v>
      </c>
      <c r="R20" s="419">
        <v>6</v>
      </c>
      <c r="S20" s="419">
        <v>1</v>
      </c>
      <c r="T20" s="419">
        <v>150</v>
      </c>
      <c r="U20" s="419">
        <v>20</v>
      </c>
      <c r="V20" s="419">
        <f t="shared" si="10"/>
        <v>1358</v>
      </c>
      <c r="W20" s="417">
        <v>659</v>
      </c>
      <c r="X20" s="417">
        <v>357</v>
      </c>
      <c r="Y20" s="418">
        <v>22</v>
      </c>
      <c r="Z20" s="418">
        <v>94</v>
      </c>
      <c r="AA20" s="418">
        <f t="shared" si="11"/>
        <v>66.78</v>
      </c>
      <c r="AB20" s="418">
        <v>1.39</v>
      </c>
      <c r="AC20" s="418">
        <v>5.17</v>
      </c>
      <c r="AD20" s="418">
        <v>29.44</v>
      </c>
      <c r="AE20" s="418">
        <v>30.78</v>
      </c>
      <c r="AF20" s="418">
        <v>7</v>
      </c>
      <c r="AG20" s="418">
        <v>14.75</v>
      </c>
      <c r="AH20" s="418">
        <f t="shared" si="12"/>
        <v>88.53</v>
      </c>
      <c r="AI20" s="417">
        <v>1952</v>
      </c>
      <c r="AJ20" s="417">
        <v>1153</v>
      </c>
      <c r="AK20" s="417">
        <v>99</v>
      </c>
      <c r="AL20" s="419">
        <v>220</v>
      </c>
      <c r="AM20" s="419">
        <v>0</v>
      </c>
      <c r="AN20" s="419">
        <v>0</v>
      </c>
      <c r="AO20" s="419">
        <v>150</v>
      </c>
      <c r="AP20" s="419">
        <v>109</v>
      </c>
      <c r="AQ20" s="419">
        <f t="shared" si="13"/>
        <v>1262</v>
      </c>
      <c r="AR20" s="417">
        <f t="shared" si="14"/>
        <v>672</v>
      </c>
      <c r="AS20" s="417">
        <f t="shared" si="15"/>
        <v>360</v>
      </c>
      <c r="AT20" s="420">
        <f t="shared" si="16"/>
        <v>22</v>
      </c>
      <c r="AU20" s="417">
        <f t="shared" si="17"/>
        <v>94</v>
      </c>
      <c r="AV20" s="418">
        <f t="shared" si="18"/>
        <v>71.07</v>
      </c>
      <c r="AW20" s="418">
        <f t="shared" si="19"/>
        <v>1.35</v>
      </c>
      <c r="AX20" s="418">
        <f t="shared" si="20"/>
        <v>8.02</v>
      </c>
      <c r="AY20" s="418">
        <f t="shared" si="21"/>
        <v>31.63</v>
      </c>
      <c r="AZ20" s="418">
        <f t="shared" si="22"/>
        <v>30.07</v>
      </c>
      <c r="BA20" s="418">
        <f t="shared" si="23"/>
        <v>6.67</v>
      </c>
      <c r="BB20" s="418">
        <f t="shared" si="24"/>
        <v>14.75</v>
      </c>
      <c r="BC20" s="421">
        <f t="shared" si="25"/>
        <v>92.48</v>
      </c>
      <c r="BD20" s="422">
        <f t="shared" si="26"/>
        <v>1952</v>
      </c>
      <c r="BE20" s="417">
        <f t="shared" si="27"/>
        <v>1276</v>
      </c>
      <c r="BF20" s="417">
        <f t="shared" si="28"/>
        <v>100</v>
      </c>
      <c r="BG20" s="417">
        <f t="shared" si="29"/>
        <v>208</v>
      </c>
      <c r="BH20" s="417">
        <f t="shared" si="30"/>
        <v>4</v>
      </c>
      <c r="BI20" s="417">
        <f t="shared" si="31"/>
        <v>1</v>
      </c>
      <c r="BJ20" s="417">
        <f t="shared" si="32"/>
        <v>150</v>
      </c>
      <c r="BK20" s="417">
        <f t="shared" si="33"/>
        <v>50</v>
      </c>
      <c r="BL20" s="423">
        <f t="shared" si="34"/>
        <v>1326</v>
      </c>
    </row>
    <row r="21" spans="1:64" s="89" customFormat="1" ht="11.25">
      <c r="A21" s="416" t="s">
        <v>150</v>
      </c>
      <c r="B21" s="417">
        <v>633</v>
      </c>
      <c r="C21" s="417">
        <v>24</v>
      </c>
      <c r="D21" s="418">
        <v>21</v>
      </c>
      <c r="E21" s="418">
        <v>61</v>
      </c>
      <c r="F21" s="418">
        <f t="shared" si="8"/>
        <v>55.2</v>
      </c>
      <c r="G21" s="418">
        <v>1.57</v>
      </c>
      <c r="H21" s="418">
        <v>6.68</v>
      </c>
      <c r="I21" s="418">
        <v>34.25</v>
      </c>
      <c r="J21" s="418">
        <v>12.7</v>
      </c>
      <c r="K21" s="418">
        <v>4</v>
      </c>
      <c r="L21" s="418">
        <v>10</v>
      </c>
      <c r="M21" s="418">
        <f t="shared" si="9"/>
        <v>69.2</v>
      </c>
      <c r="N21" s="417">
        <v>1100</v>
      </c>
      <c r="O21" s="417">
        <v>980</v>
      </c>
      <c r="P21" s="417">
        <v>0</v>
      </c>
      <c r="Q21" s="419">
        <v>0</v>
      </c>
      <c r="R21" s="419">
        <v>13</v>
      </c>
      <c r="S21" s="419">
        <v>3</v>
      </c>
      <c r="T21" s="419">
        <v>80</v>
      </c>
      <c r="U21" s="419">
        <v>20</v>
      </c>
      <c r="V21" s="419">
        <f t="shared" si="10"/>
        <v>1000</v>
      </c>
      <c r="W21" s="417">
        <v>595</v>
      </c>
      <c r="X21" s="417">
        <v>15</v>
      </c>
      <c r="Y21" s="418">
        <v>20</v>
      </c>
      <c r="Z21" s="418">
        <v>61</v>
      </c>
      <c r="AA21" s="418">
        <f t="shared" si="11"/>
        <v>56</v>
      </c>
      <c r="AB21" s="418">
        <v>1.55</v>
      </c>
      <c r="AC21" s="418">
        <v>8.17</v>
      </c>
      <c r="AD21" s="418">
        <v>28.67</v>
      </c>
      <c r="AE21" s="418">
        <v>17.61</v>
      </c>
      <c r="AF21" s="418">
        <v>4</v>
      </c>
      <c r="AG21" s="418">
        <v>10</v>
      </c>
      <c r="AH21" s="418">
        <f t="shared" si="12"/>
        <v>70</v>
      </c>
      <c r="AI21" s="417">
        <v>1100</v>
      </c>
      <c r="AJ21" s="417">
        <v>920</v>
      </c>
      <c r="AK21" s="417">
        <v>0</v>
      </c>
      <c r="AL21" s="419">
        <v>0</v>
      </c>
      <c r="AM21" s="419">
        <v>20</v>
      </c>
      <c r="AN21" s="419">
        <v>3</v>
      </c>
      <c r="AO21" s="419">
        <v>50</v>
      </c>
      <c r="AP21" s="419">
        <v>13</v>
      </c>
      <c r="AQ21" s="419">
        <f t="shared" si="13"/>
        <v>933</v>
      </c>
      <c r="AR21" s="417">
        <f t="shared" si="14"/>
        <v>620</v>
      </c>
      <c r="AS21" s="417">
        <f t="shared" si="15"/>
        <v>21</v>
      </c>
      <c r="AT21" s="420">
        <f t="shared" si="16"/>
        <v>20.7</v>
      </c>
      <c r="AU21" s="417">
        <f t="shared" si="17"/>
        <v>61</v>
      </c>
      <c r="AV21" s="418">
        <f t="shared" si="18"/>
        <v>55.47</v>
      </c>
      <c r="AW21" s="418">
        <f t="shared" si="19"/>
        <v>1.56</v>
      </c>
      <c r="AX21" s="418">
        <f t="shared" si="20"/>
        <v>7.18</v>
      </c>
      <c r="AY21" s="418">
        <f t="shared" si="21"/>
        <v>32.39</v>
      </c>
      <c r="AZ21" s="418">
        <f t="shared" si="22"/>
        <v>14.34</v>
      </c>
      <c r="BA21" s="418">
        <f t="shared" si="23"/>
        <v>4</v>
      </c>
      <c r="BB21" s="418">
        <f t="shared" si="24"/>
        <v>10</v>
      </c>
      <c r="BC21" s="421">
        <f t="shared" si="25"/>
        <v>69.47</v>
      </c>
      <c r="BD21" s="422">
        <f t="shared" si="26"/>
        <v>1100</v>
      </c>
      <c r="BE21" s="417">
        <f t="shared" si="27"/>
        <v>960</v>
      </c>
      <c r="BF21" s="417">
        <f t="shared" si="28"/>
        <v>0</v>
      </c>
      <c r="BG21" s="417">
        <f t="shared" si="29"/>
        <v>0</v>
      </c>
      <c r="BH21" s="417">
        <f t="shared" si="30"/>
        <v>15</v>
      </c>
      <c r="BI21" s="417">
        <f t="shared" si="31"/>
        <v>3</v>
      </c>
      <c r="BJ21" s="417">
        <f t="shared" si="32"/>
        <v>70</v>
      </c>
      <c r="BK21" s="417">
        <f t="shared" si="33"/>
        <v>18</v>
      </c>
      <c r="BL21" s="423">
        <f t="shared" si="34"/>
        <v>978</v>
      </c>
    </row>
    <row r="22" spans="1:64" s="89" customFormat="1" ht="11.25">
      <c r="A22" s="416" t="s">
        <v>261</v>
      </c>
      <c r="B22" s="417">
        <v>396</v>
      </c>
      <c r="C22" s="417">
        <v>45</v>
      </c>
      <c r="D22" s="418">
        <v>17</v>
      </c>
      <c r="E22" s="418">
        <v>39</v>
      </c>
      <c r="F22" s="418">
        <f t="shared" si="8"/>
        <v>47.81</v>
      </c>
      <c r="G22" s="418">
        <v>1.8</v>
      </c>
      <c r="H22" s="418">
        <v>12.77</v>
      </c>
      <c r="I22" s="418">
        <v>23.28</v>
      </c>
      <c r="J22" s="418">
        <v>9.96</v>
      </c>
      <c r="K22" s="418">
        <v>4</v>
      </c>
      <c r="L22" s="418">
        <v>8</v>
      </c>
      <c r="M22" s="418">
        <f t="shared" si="9"/>
        <v>59.81</v>
      </c>
      <c r="N22" s="417">
        <v>673</v>
      </c>
      <c r="O22" s="417">
        <v>824</v>
      </c>
      <c r="P22" s="417">
        <v>0</v>
      </c>
      <c r="Q22" s="419">
        <v>0</v>
      </c>
      <c r="R22" s="419">
        <v>130</v>
      </c>
      <c r="S22" s="419">
        <v>12</v>
      </c>
      <c r="T22" s="419">
        <v>85</v>
      </c>
      <c r="U22" s="419">
        <v>37</v>
      </c>
      <c r="V22" s="419">
        <f t="shared" si="10"/>
        <v>861</v>
      </c>
      <c r="W22" s="417">
        <v>457</v>
      </c>
      <c r="X22" s="417">
        <v>46</v>
      </c>
      <c r="Y22" s="418">
        <v>17</v>
      </c>
      <c r="Z22" s="418">
        <v>39</v>
      </c>
      <c r="AA22" s="418">
        <f t="shared" si="11"/>
        <v>50.65</v>
      </c>
      <c r="AB22" s="418">
        <v>2.34</v>
      </c>
      <c r="AC22" s="418">
        <v>18.25</v>
      </c>
      <c r="AD22" s="418">
        <v>17.14</v>
      </c>
      <c r="AE22" s="418">
        <v>12.92</v>
      </c>
      <c r="AF22" s="418">
        <v>4</v>
      </c>
      <c r="AG22" s="418">
        <v>9</v>
      </c>
      <c r="AH22" s="418">
        <f t="shared" si="12"/>
        <v>63.65</v>
      </c>
      <c r="AI22" s="417">
        <v>673</v>
      </c>
      <c r="AJ22" s="417">
        <v>824</v>
      </c>
      <c r="AK22" s="417">
        <v>0</v>
      </c>
      <c r="AL22" s="419">
        <v>0</v>
      </c>
      <c r="AM22" s="419">
        <v>86</v>
      </c>
      <c r="AN22" s="419">
        <v>8</v>
      </c>
      <c r="AO22" s="419">
        <v>85</v>
      </c>
      <c r="AP22" s="419">
        <v>29</v>
      </c>
      <c r="AQ22" s="419">
        <f t="shared" si="13"/>
        <v>853</v>
      </c>
      <c r="AR22" s="417">
        <f t="shared" si="14"/>
        <v>416</v>
      </c>
      <c r="AS22" s="417">
        <f t="shared" si="15"/>
        <v>45</v>
      </c>
      <c r="AT22" s="420">
        <f t="shared" si="16"/>
        <v>17</v>
      </c>
      <c r="AU22" s="417">
        <f t="shared" si="17"/>
        <v>39</v>
      </c>
      <c r="AV22" s="418">
        <f t="shared" si="18"/>
        <v>48.76</v>
      </c>
      <c r="AW22" s="418">
        <f t="shared" si="19"/>
        <v>1.98</v>
      </c>
      <c r="AX22" s="418">
        <f t="shared" si="20"/>
        <v>14.6</v>
      </c>
      <c r="AY22" s="418">
        <f t="shared" si="21"/>
        <v>21.23</v>
      </c>
      <c r="AZ22" s="418">
        <f t="shared" si="22"/>
        <v>10.95</v>
      </c>
      <c r="BA22" s="418">
        <f t="shared" si="23"/>
        <v>4</v>
      </c>
      <c r="BB22" s="418">
        <f t="shared" si="24"/>
        <v>8.33</v>
      </c>
      <c r="BC22" s="421">
        <f t="shared" si="25"/>
        <v>61.09</v>
      </c>
      <c r="BD22" s="422">
        <f t="shared" si="26"/>
        <v>673</v>
      </c>
      <c r="BE22" s="417">
        <f t="shared" si="27"/>
        <v>824</v>
      </c>
      <c r="BF22" s="417">
        <f t="shared" si="28"/>
        <v>0</v>
      </c>
      <c r="BG22" s="417">
        <f t="shared" si="29"/>
        <v>0</v>
      </c>
      <c r="BH22" s="417">
        <f t="shared" si="30"/>
        <v>115</v>
      </c>
      <c r="BI22" s="417">
        <f t="shared" si="31"/>
        <v>11</v>
      </c>
      <c r="BJ22" s="417">
        <f t="shared" si="32"/>
        <v>85</v>
      </c>
      <c r="BK22" s="417">
        <f t="shared" si="33"/>
        <v>34</v>
      </c>
      <c r="BL22" s="423">
        <f t="shared" si="34"/>
        <v>858</v>
      </c>
    </row>
    <row r="23" spans="1:64" s="89" customFormat="1" ht="11.25">
      <c r="A23" s="416" t="s">
        <v>152</v>
      </c>
      <c r="B23" s="417">
        <v>582</v>
      </c>
      <c r="C23" s="417">
        <v>144</v>
      </c>
      <c r="D23" s="418">
        <v>18</v>
      </c>
      <c r="E23" s="418">
        <v>53.63</v>
      </c>
      <c r="F23" s="418">
        <f t="shared" si="8"/>
        <v>48.16</v>
      </c>
      <c r="G23" s="418">
        <v>3.42</v>
      </c>
      <c r="H23" s="418">
        <v>2.33</v>
      </c>
      <c r="I23" s="418">
        <v>22.99</v>
      </c>
      <c r="J23" s="418">
        <v>19.42</v>
      </c>
      <c r="K23" s="418">
        <v>4</v>
      </c>
      <c r="L23" s="418">
        <v>10.59</v>
      </c>
      <c r="M23" s="418">
        <f t="shared" si="9"/>
        <v>62.75</v>
      </c>
      <c r="N23" s="417">
        <v>871</v>
      </c>
      <c r="O23" s="417">
        <v>823</v>
      </c>
      <c r="P23" s="417">
        <v>0</v>
      </c>
      <c r="Q23" s="419">
        <v>0</v>
      </c>
      <c r="R23" s="419">
        <v>0</v>
      </c>
      <c r="S23" s="419">
        <v>0</v>
      </c>
      <c r="T23" s="419">
        <v>80</v>
      </c>
      <c r="U23" s="419">
        <v>54</v>
      </c>
      <c r="V23" s="419">
        <f t="shared" si="10"/>
        <v>877</v>
      </c>
      <c r="W23" s="417">
        <v>579</v>
      </c>
      <c r="X23" s="417">
        <v>154</v>
      </c>
      <c r="Y23" s="418">
        <v>18</v>
      </c>
      <c r="Z23" s="418">
        <v>53.63</v>
      </c>
      <c r="AA23" s="418">
        <f t="shared" si="11"/>
        <v>50.66</v>
      </c>
      <c r="AB23" s="418">
        <v>3</v>
      </c>
      <c r="AC23" s="418">
        <v>1.49</v>
      </c>
      <c r="AD23" s="418">
        <v>22.4</v>
      </c>
      <c r="AE23" s="418">
        <v>23.77</v>
      </c>
      <c r="AF23" s="418">
        <v>4</v>
      </c>
      <c r="AG23" s="418">
        <v>10.45</v>
      </c>
      <c r="AH23" s="418">
        <f t="shared" si="12"/>
        <v>65.11</v>
      </c>
      <c r="AI23" s="417">
        <v>871</v>
      </c>
      <c r="AJ23" s="417">
        <v>882</v>
      </c>
      <c r="AK23" s="417">
        <v>0</v>
      </c>
      <c r="AL23" s="419">
        <v>0</v>
      </c>
      <c r="AM23" s="419">
        <v>0</v>
      </c>
      <c r="AN23" s="419">
        <v>0</v>
      </c>
      <c r="AO23" s="419">
        <v>90</v>
      </c>
      <c r="AP23" s="419">
        <v>36</v>
      </c>
      <c r="AQ23" s="419">
        <f t="shared" si="13"/>
        <v>918</v>
      </c>
      <c r="AR23" s="417">
        <f t="shared" si="14"/>
        <v>581</v>
      </c>
      <c r="AS23" s="417">
        <f t="shared" si="15"/>
        <v>147</v>
      </c>
      <c r="AT23" s="420">
        <f t="shared" si="16"/>
        <v>18</v>
      </c>
      <c r="AU23" s="417">
        <f t="shared" si="17"/>
        <v>54</v>
      </c>
      <c r="AV23" s="418">
        <f t="shared" si="18"/>
        <v>48.99</v>
      </c>
      <c r="AW23" s="418">
        <f t="shared" si="19"/>
        <v>3.28</v>
      </c>
      <c r="AX23" s="418">
        <f t="shared" si="20"/>
        <v>2.05</v>
      </c>
      <c r="AY23" s="418">
        <f t="shared" si="21"/>
        <v>22.79</v>
      </c>
      <c r="AZ23" s="418">
        <f t="shared" si="22"/>
        <v>20.87</v>
      </c>
      <c r="BA23" s="418">
        <f t="shared" si="23"/>
        <v>4</v>
      </c>
      <c r="BB23" s="418">
        <f t="shared" si="24"/>
        <v>10.54</v>
      </c>
      <c r="BC23" s="421">
        <f t="shared" si="25"/>
        <v>63.54</v>
      </c>
      <c r="BD23" s="422">
        <f t="shared" si="26"/>
        <v>871</v>
      </c>
      <c r="BE23" s="417">
        <f t="shared" si="27"/>
        <v>843</v>
      </c>
      <c r="BF23" s="417">
        <f t="shared" si="28"/>
        <v>0</v>
      </c>
      <c r="BG23" s="417">
        <f t="shared" si="29"/>
        <v>0</v>
      </c>
      <c r="BH23" s="417">
        <f t="shared" si="30"/>
        <v>0</v>
      </c>
      <c r="BI23" s="417">
        <f t="shared" si="31"/>
        <v>0</v>
      </c>
      <c r="BJ23" s="417">
        <f t="shared" si="32"/>
        <v>83</v>
      </c>
      <c r="BK23" s="417">
        <f t="shared" si="33"/>
        <v>48</v>
      </c>
      <c r="BL23" s="423">
        <f t="shared" si="34"/>
        <v>891</v>
      </c>
    </row>
    <row r="24" spans="1:64" s="89" customFormat="1" ht="11.25">
      <c r="A24" s="416" t="s">
        <v>153</v>
      </c>
      <c r="B24" s="417">
        <v>177</v>
      </c>
      <c r="C24" s="417">
        <v>41</v>
      </c>
      <c r="D24" s="418">
        <v>6</v>
      </c>
      <c r="E24" s="418">
        <v>23.87</v>
      </c>
      <c r="F24" s="418">
        <f t="shared" si="8"/>
        <v>18.41</v>
      </c>
      <c r="G24" s="418">
        <v>0</v>
      </c>
      <c r="H24" s="418">
        <v>0.22</v>
      </c>
      <c r="I24" s="418">
        <v>17</v>
      </c>
      <c r="J24" s="418">
        <v>1.19</v>
      </c>
      <c r="K24" s="418">
        <v>1.5</v>
      </c>
      <c r="L24" s="418">
        <v>4.5</v>
      </c>
      <c r="M24" s="418">
        <f t="shared" si="9"/>
        <v>24.41</v>
      </c>
      <c r="N24" s="417">
        <v>427</v>
      </c>
      <c r="O24" s="417">
        <v>269</v>
      </c>
      <c r="P24" s="417">
        <v>0</v>
      </c>
      <c r="Q24" s="419">
        <v>0</v>
      </c>
      <c r="R24" s="419">
        <v>0</v>
      </c>
      <c r="S24" s="419">
        <v>0</v>
      </c>
      <c r="T24" s="419">
        <v>26</v>
      </c>
      <c r="U24" s="419">
        <v>60</v>
      </c>
      <c r="V24" s="419">
        <f t="shared" si="10"/>
        <v>329</v>
      </c>
      <c r="W24" s="417">
        <v>184</v>
      </c>
      <c r="X24" s="417">
        <v>39</v>
      </c>
      <c r="Y24" s="418">
        <v>6</v>
      </c>
      <c r="Z24" s="418">
        <v>23.87</v>
      </c>
      <c r="AA24" s="418">
        <f t="shared" si="11"/>
        <v>20.44</v>
      </c>
      <c r="AB24" s="418">
        <v>1.95</v>
      </c>
      <c r="AC24" s="418">
        <v>3.73</v>
      </c>
      <c r="AD24" s="418">
        <v>13.82</v>
      </c>
      <c r="AE24" s="418">
        <v>0.94</v>
      </c>
      <c r="AF24" s="418">
        <v>1.5</v>
      </c>
      <c r="AG24" s="418">
        <v>4.5</v>
      </c>
      <c r="AH24" s="418">
        <f t="shared" si="12"/>
        <v>26.44</v>
      </c>
      <c r="AI24" s="417">
        <v>427</v>
      </c>
      <c r="AJ24" s="417">
        <v>298</v>
      </c>
      <c r="AK24" s="417">
        <v>0</v>
      </c>
      <c r="AL24" s="419">
        <v>0</v>
      </c>
      <c r="AM24" s="419">
        <v>0</v>
      </c>
      <c r="AN24" s="419">
        <v>0</v>
      </c>
      <c r="AO24" s="419">
        <v>27</v>
      </c>
      <c r="AP24" s="419">
        <v>66</v>
      </c>
      <c r="AQ24" s="419">
        <f t="shared" si="13"/>
        <v>364</v>
      </c>
      <c r="AR24" s="417">
        <f t="shared" si="14"/>
        <v>179</v>
      </c>
      <c r="AS24" s="417">
        <f t="shared" si="15"/>
        <v>40</v>
      </c>
      <c r="AT24" s="420">
        <f t="shared" si="16"/>
        <v>6</v>
      </c>
      <c r="AU24" s="417">
        <f t="shared" si="17"/>
        <v>24</v>
      </c>
      <c r="AV24" s="418">
        <f t="shared" si="18"/>
        <v>19.09</v>
      </c>
      <c r="AW24" s="418">
        <f t="shared" si="19"/>
        <v>0.65</v>
      </c>
      <c r="AX24" s="418">
        <f t="shared" si="20"/>
        <v>1.39</v>
      </c>
      <c r="AY24" s="418">
        <f t="shared" si="21"/>
        <v>15.94</v>
      </c>
      <c r="AZ24" s="418">
        <f t="shared" si="22"/>
        <v>1.11</v>
      </c>
      <c r="BA24" s="418">
        <f t="shared" si="23"/>
        <v>1.5</v>
      </c>
      <c r="BB24" s="418">
        <f t="shared" si="24"/>
        <v>4.5</v>
      </c>
      <c r="BC24" s="421">
        <f t="shared" si="25"/>
        <v>25.09</v>
      </c>
      <c r="BD24" s="422">
        <f t="shared" si="26"/>
        <v>427</v>
      </c>
      <c r="BE24" s="417">
        <f t="shared" si="27"/>
        <v>279</v>
      </c>
      <c r="BF24" s="417">
        <f t="shared" si="28"/>
        <v>0</v>
      </c>
      <c r="BG24" s="417">
        <f t="shared" si="29"/>
        <v>0</v>
      </c>
      <c r="BH24" s="417">
        <f t="shared" si="30"/>
        <v>0</v>
      </c>
      <c r="BI24" s="417">
        <f t="shared" si="31"/>
        <v>0</v>
      </c>
      <c r="BJ24" s="417">
        <f t="shared" si="32"/>
        <v>26</v>
      </c>
      <c r="BK24" s="417">
        <f t="shared" si="33"/>
        <v>62</v>
      </c>
      <c r="BL24" s="423">
        <f t="shared" si="34"/>
        <v>341</v>
      </c>
    </row>
    <row r="25" spans="1:64" s="89" customFormat="1" ht="11.25">
      <c r="A25" s="416" t="s">
        <v>154</v>
      </c>
      <c r="B25" s="417">
        <v>408</v>
      </c>
      <c r="C25" s="417">
        <v>10</v>
      </c>
      <c r="D25" s="418">
        <v>15</v>
      </c>
      <c r="E25" s="418">
        <v>44.74</v>
      </c>
      <c r="F25" s="418">
        <f t="shared" si="8"/>
        <v>44.61</v>
      </c>
      <c r="G25" s="418">
        <v>2.85</v>
      </c>
      <c r="H25" s="418">
        <v>20.38</v>
      </c>
      <c r="I25" s="418">
        <v>20.06</v>
      </c>
      <c r="J25" s="418">
        <v>1.32</v>
      </c>
      <c r="K25" s="418">
        <v>1.5</v>
      </c>
      <c r="L25" s="418">
        <v>4.5</v>
      </c>
      <c r="M25" s="418">
        <f t="shared" si="9"/>
        <v>50.61</v>
      </c>
      <c r="N25" s="417">
        <v>740</v>
      </c>
      <c r="O25" s="417">
        <v>757</v>
      </c>
      <c r="P25" s="417">
        <v>0</v>
      </c>
      <c r="Q25" s="419">
        <v>0</v>
      </c>
      <c r="R25" s="419">
        <v>82</v>
      </c>
      <c r="S25" s="419">
        <v>11</v>
      </c>
      <c r="T25" s="419">
        <v>50</v>
      </c>
      <c r="U25" s="419">
        <v>45</v>
      </c>
      <c r="V25" s="419">
        <f t="shared" si="10"/>
        <v>802</v>
      </c>
      <c r="W25" s="417">
        <v>385</v>
      </c>
      <c r="X25" s="417">
        <v>15</v>
      </c>
      <c r="Y25" s="418">
        <v>15</v>
      </c>
      <c r="Z25" s="418">
        <v>44.74</v>
      </c>
      <c r="AA25" s="418">
        <f t="shared" si="11"/>
        <v>43.22</v>
      </c>
      <c r="AB25" s="418">
        <v>2.93</v>
      </c>
      <c r="AC25" s="418">
        <v>11.67</v>
      </c>
      <c r="AD25" s="418">
        <v>22.96</v>
      </c>
      <c r="AE25" s="418">
        <v>5.66</v>
      </c>
      <c r="AF25" s="418">
        <v>1.5</v>
      </c>
      <c r="AG25" s="418">
        <v>4.5</v>
      </c>
      <c r="AH25" s="418">
        <f t="shared" si="12"/>
        <v>49.22</v>
      </c>
      <c r="AI25" s="417">
        <v>740</v>
      </c>
      <c r="AJ25" s="417">
        <v>723</v>
      </c>
      <c r="AK25" s="417">
        <v>0</v>
      </c>
      <c r="AL25" s="419">
        <v>0</v>
      </c>
      <c r="AM25" s="419">
        <v>51</v>
      </c>
      <c r="AN25" s="419">
        <v>5</v>
      </c>
      <c r="AO25" s="419">
        <v>50</v>
      </c>
      <c r="AP25" s="419">
        <v>30</v>
      </c>
      <c r="AQ25" s="419">
        <f t="shared" si="13"/>
        <v>753</v>
      </c>
      <c r="AR25" s="417">
        <f t="shared" si="14"/>
        <v>400</v>
      </c>
      <c r="AS25" s="417">
        <f t="shared" si="15"/>
        <v>12</v>
      </c>
      <c r="AT25" s="420">
        <f t="shared" si="16"/>
        <v>15</v>
      </c>
      <c r="AU25" s="417">
        <f t="shared" si="17"/>
        <v>45</v>
      </c>
      <c r="AV25" s="418">
        <f t="shared" si="18"/>
        <v>44.15</v>
      </c>
      <c r="AW25" s="418">
        <f t="shared" si="19"/>
        <v>2.88</v>
      </c>
      <c r="AX25" s="418">
        <f t="shared" si="20"/>
        <v>17.48</v>
      </c>
      <c r="AY25" s="418">
        <f t="shared" si="21"/>
        <v>21.03</v>
      </c>
      <c r="AZ25" s="418">
        <f t="shared" si="22"/>
        <v>2.77</v>
      </c>
      <c r="BA25" s="418">
        <f t="shared" si="23"/>
        <v>1.5</v>
      </c>
      <c r="BB25" s="418">
        <f t="shared" si="24"/>
        <v>4.5</v>
      </c>
      <c r="BC25" s="421">
        <f t="shared" si="25"/>
        <v>50.15</v>
      </c>
      <c r="BD25" s="422">
        <f t="shared" si="26"/>
        <v>740</v>
      </c>
      <c r="BE25" s="417">
        <f t="shared" si="27"/>
        <v>746</v>
      </c>
      <c r="BF25" s="417">
        <f t="shared" si="28"/>
        <v>0</v>
      </c>
      <c r="BG25" s="417">
        <f t="shared" si="29"/>
        <v>0</v>
      </c>
      <c r="BH25" s="417">
        <f t="shared" si="30"/>
        <v>72</v>
      </c>
      <c r="BI25" s="417">
        <f t="shared" si="31"/>
        <v>9</v>
      </c>
      <c r="BJ25" s="417">
        <f t="shared" si="32"/>
        <v>50</v>
      </c>
      <c r="BK25" s="417">
        <f t="shared" si="33"/>
        <v>40</v>
      </c>
      <c r="BL25" s="423">
        <f t="shared" si="34"/>
        <v>786</v>
      </c>
    </row>
    <row r="26" spans="1:64" s="89" customFormat="1" ht="11.25">
      <c r="A26" s="416" t="s">
        <v>259</v>
      </c>
      <c r="B26" s="417">
        <v>578</v>
      </c>
      <c r="C26" s="417">
        <v>60</v>
      </c>
      <c r="D26" s="418">
        <v>17</v>
      </c>
      <c r="E26" s="418">
        <v>51.8</v>
      </c>
      <c r="F26" s="418">
        <f t="shared" si="8"/>
        <v>46.37</v>
      </c>
      <c r="G26" s="418">
        <v>1.98</v>
      </c>
      <c r="H26" s="418">
        <v>16.94</v>
      </c>
      <c r="I26" s="418">
        <v>19.65</v>
      </c>
      <c r="J26" s="418">
        <v>7.8</v>
      </c>
      <c r="K26" s="418">
        <v>3.5</v>
      </c>
      <c r="L26" s="418">
        <v>8.5</v>
      </c>
      <c r="M26" s="418">
        <f t="shared" si="9"/>
        <v>58.37</v>
      </c>
      <c r="N26" s="417">
        <v>942</v>
      </c>
      <c r="O26" s="417">
        <v>721</v>
      </c>
      <c r="P26" s="417">
        <v>0</v>
      </c>
      <c r="Q26" s="419">
        <v>0</v>
      </c>
      <c r="R26" s="419">
        <v>82</v>
      </c>
      <c r="S26" s="419">
        <v>13</v>
      </c>
      <c r="T26" s="419">
        <v>80</v>
      </c>
      <c r="U26" s="419">
        <v>51</v>
      </c>
      <c r="V26" s="419">
        <f t="shared" si="10"/>
        <v>772</v>
      </c>
      <c r="W26" s="417">
        <v>533</v>
      </c>
      <c r="X26" s="417">
        <v>82</v>
      </c>
      <c r="Y26" s="418">
        <v>16</v>
      </c>
      <c r="Z26" s="418">
        <v>51.8</v>
      </c>
      <c r="AA26" s="418">
        <f t="shared" si="11"/>
        <v>46.33</v>
      </c>
      <c r="AB26" s="418">
        <v>2.81</v>
      </c>
      <c r="AC26" s="418">
        <v>9.63</v>
      </c>
      <c r="AD26" s="418">
        <v>21.73</v>
      </c>
      <c r="AE26" s="418">
        <v>12.16</v>
      </c>
      <c r="AF26" s="418">
        <v>3.5</v>
      </c>
      <c r="AG26" s="418">
        <v>8.5</v>
      </c>
      <c r="AH26" s="418">
        <f t="shared" si="12"/>
        <v>58.33</v>
      </c>
      <c r="AI26" s="417">
        <v>942</v>
      </c>
      <c r="AJ26" s="417">
        <v>719</v>
      </c>
      <c r="AK26" s="417">
        <v>0</v>
      </c>
      <c r="AL26" s="419">
        <v>0</v>
      </c>
      <c r="AM26" s="419">
        <v>36</v>
      </c>
      <c r="AN26" s="419">
        <v>8</v>
      </c>
      <c r="AO26" s="419">
        <v>100</v>
      </c>
      <c r="AP26" s="419">
        <v>32</v>
      </c>
      <c r="AQ26" s="419">
        <f t="shared" si="13"/>
        <v>751</v>
      </c>
      <c r="AR26" s="417">
        <f t="shared" si="14"/>
        <v>563</v>
      </c>
      <c r="AS26" s="417">
        <f t="shared" si="15"/>
        <v>67</v>
      </c>
      <c r="AT26" s="420">
        <f t="shared" si="16"/>
        <v>16.7</v>
      </c>
      <c r="AU26" s="417">
        <f t="shared" si="17"/>
        <v>52</v>
      </c>
      <c r="AV26" s="418">
        <f t="shared" si="18"/>
        <v>46.36</v>
      </c>
      <c r="AW26" s="418">
        <f t="shared" si="19"/>
        <v>2.26</v>
      </c>
      <c r="AX26" s="418">
        <f t="shared" si="20"/>
        <v>14.5</v>
      </c>
      <c r="AY26" s="418">
        <f t="shared" si="21"/>
        <v>20.34</v>
      </c>
      <c r="AZ26" s="418">
        <f t="shared" si="22"/>
        <v>9.25</v>
      </c>
      <c r="BA26" s="418">
        <f t="shared" si="23"/>
        <v>3.5</v>
      </c>
      <c r="BB26" s="418">
        <f t="shared" si="24"/>
        <v>8.5</v>
      </c>
      <c r="BC26" s="421">
        <f t="shared" si="25"/>
        <v>58.36</v>
      </c>
      <c r="BD26" s="422">
        <f t="shared" si="26"/>
        <v>942</v>
      </c>
      <c r="BE26" s="417">
        <f t="shared" si="27"/>
        <v>720</v>
      </c>
      <c r="BF26" s="417">
        <f t="shared" si="28"/>
        <v>0</v>
      </c>
      <c r="BG26" s="417">
        <f t="shared" si="29"/>
        <v>0</v>
      </c>
      <c r="BH26" s="417">
        <f t="shared" si="30"/>
        <v>67</v>
      </c>
      <c r="BI26" s="417">
        <f t="shared" si="31"/>
        <v>11</v>
      </c>
      <c r="BJ26" s="417">
        <f t="shared" si="32"/>
        <v>87</v>
      </c>
      <c r="BK26" s="417">
        <f t="shared" si="33"/>
        <v>45</v>
      </c>
      <c r="BL26" s="423">
        <f t="shared" si="34"/>
        <v>765</v>
      </c>
    </row>
    <row r="27" spans="1:64" s="89" customFormat="1" ht="11.25">
      <c r="A27" s="416" t="s">
        <v>260</v>
      </c>
      <c r="B27" s="417">
        <v>424</v>
      </c>
      <c r="C27" s="417">
        <v>80</v>
      </c>
      <c r="D27" s="418">
        <v>14</v>
      </c>
      <c r="E27" s="418">
        <v>42</v>
      </c>
      <c r="F27" s="418">
        <f t="shared" si="8"/>
        <v>39.1</v>
      </c>
      <c r="G27" s="418">
        <v>3.9</v>
      </c>
      <c r="H27" s="418">
        <v>10.6</v>
      </c>
      <c r="I27" s="418">
        <v>17.1</v>
      </c>
      <c r="J27" s="418">
        <v>7.5</v>
      </c>
      <c r="K27" s="418">
        <v>3.7</v>
      </c>
      <c r="L27" s="418">
        <v>7.5</v>
      </c>
      <c r="M27" s="418">
        <f t="shared" si="9"/>
        <v>50.3</v>
      </c>
      <c r="N27" s="417">
        <v>758</v>
      </c>
      <c r="O27" s="417">
        <v>672</v>
      </c>
      <c r="P27" s="417">
        <v>0</v>
      </c>
      <c r="Q27" s="419">
        <v>0</v>
      </c>
      <c r="R27" s="419">
        <v>52</v>
      </c>
      <c r="S27" s="419">
        <v>3</v>
      </c>
      <c r="T27" s="419">
        <v>60</v>
      </c>
      <c r="U27" s="419">
        <v>42</v>
      </c>
      <c r="V27" s="419">
        <f t="shared" si="10"/>
        <v>714</v>
      </c>
      <c r="W27" s="417">
        <v>414</v>
      </c>
      <c r="X27" s="417">
        <v>104</v>
      </c>
      <c r="Y27" s="418">
        <v>14</v>
      </c>
      <c r="Z27" s="418">
        <v>42</v>
      </c>
      <c r="AA27" s="418">
        <f t="shared" si="11"/>
        <v>37.9</v>
      </c>
      <c r="AB27" s="418">
        <v>3.7</v>
      </c>
      <c r="AC27" s="418">
        <v>11.7</v>
      </c>
      <c r="AD27" s="418">
        <v>14.5</v>
      </c>
      <c r="AE27" s="418">
        <v>8</v>
      </c>
      <c r="AF27" s="418">
        <v>3.5</v>
      </c>
      <c r="AG27" s="418">
        <v>7.5</v>
      </c>
      <c r="AH27" s="418">
        <f t="shared" si="12"/>
        <v>48.9</v>
      </c>
      <c r="AI27" s="417">
        <v>758</v>
      </c>
      <c r="AJ27" s="417">
        <v>641</v>
      </c>
      <c r="AK27" s="417">
        <v>0</v>
      </c>
      <c r="AL27" s="419">
        <v>0</v>
      </c>
      <c r="AM27" s="419">
        <v>34</v>
      </c>
      <c r="AN27" s="419">
        <v>2</v>
      </c>
      <c r="AO27" s="419">
        <v>60</v>
      </c>
      <c r="AP27" s="419">
        <v>55</v>
      </c>
      <c r="AQ27" s="419">
        <f t="shared" si="13"/>
        <v>696</v>
      </c>
      <c r="AR27" s="417">
        <f t="shared" si="14"/>
        <v>421</v>
      </c>
      <c r="AS27" s="417">
        <f t="shared" si="15"/>
        <v>88</v>
      </c>
      <c r="AT27" s="420">
        <f t="shared" si="16"/>
        <v>14</v>
      </c>
      <c r="AU27" s="417">
        <f t="shared" si="17"/>
        <v>42</v>
      </c>
      <c r="AV27" s="418">
        <f t="shared" si="18"/>
        <v>38.7</v>
      </c>
      <c r="AW27" s="418">
        <f t="shared" si="19"/>
        <v>3.83</v>
      </c>
      <c r="AX27" s="418">
        <f t="shared" si="20"/>
        <v>10.97</v>
      </c>
      <c r="AY27" s="418">
        <f t="shared" si="21"/>
        <v>16.23</v>
      </c>
      <c r="AZ27" s="418">
        <f t="shared" si="22"/>
        <v>7.67</v>
      </c>
      <c r="BA27" s="418">
        <f t="shared" si="23"/>
        <v>3.63</v>
      </c>
      <c r="BB27" s="418">
        <f t="shared" si="24"/>
        <v>7.5</v>
      </c>
      <c r="BC27" s="421">
        <f t="shared" si="25"/>
        <v>49.83</v>
      </c>
      <c r="BD27" s="422">
        <f t="shared" si="26"/>
        <v>758</v>
      </c>
      <c r="BE27" s="417">
        <f t="shared" si="27"/>
        <v>662</v>
      </c>
      <c r="BF27" s="417">
        <f t="shared" si="28"/>
        <v>0</v>
      </c>
      <c r="BG27" s="417">
        <f t="shared" si="29"/>
        <v>0</v>
      </c>
      <c r="BH27" s="417">
        <f t="shared" si="30"/>
        <v>46</v>
      </c>
      <c r="BI27" s="417">
        <f t="shared" si="31"/>
        <v>3</v>
      </c>
      <c r="BJ27" s="417">
        <f t="shared" si="32"/>
        <v>60</v>
      </c>
      <c r="BK27" s="417">
        <f t="shared" si="33"/>
        <v>46</v>
      </c>
      <c r="BL27" s="423">
        <f t="shared" si="34"/>
        <v>708</v>
      </c>
    </row>
    <row r="28" spans="1:64" s="89" customFormat="1" ht="11.25">
      <c r="A28" s="416" t="s">
        <v>157</v>
      </c>
      <c r="B28" s="417">
        <v>331</v>
      </c>
      <c r="C28" s="417">
        <v>44</v>
      </c>
      <c r="D28" s="418">
        <v>11</v>
      </c>
      <c r="E28" s="418">
        <v>38.83</v>
      </c>
      <c r="F28" s="418">
        <f t="shared" si="8"/>
        <v>28.63</v>
      </c>
      <c r="G28" s="418">
        <v>0</v>
      </c>
      <c r="H28" s="418">
        <v>3.11</v>
      </c>
      <c r="I28" s="418">
        <v>11.71</v>
      </c>
      <c r="J28" s="418">
        <v>13.81</v>
      </c>
      <c r="K28" s="418">
        <v>3</v>
      </c>
      <c r="L28" s="418">
        <v>5</v>
      </c>
      <c r="M28" s="418">
        <f t="shared" si="9"/>
        <v>36.63</v>
      </c>
      <c r="N28" s="417">
        <v>701</v>
      </c>
      <c r="O28" s="417">
        <v>448</v>
      </c>
      <c r="P28" s="417">
        <v>0</v>
      </c>
      <c r="Q28" s="419">
        <v>0</v>
      </c>
      <c r="R28" s="419">
        <v>32</v>
      </c>
      <c r="S28" s="419">
        <v>4</v>
      </c>
      <c r="T28" s="419">
        <v>48</v>
      </c>
      <c r="U28" s="419">
        <v>20</v>
      </c>
      <c r="V28" s="419">
        <f t="shared" si="10"/>
        <v>468</v>
      </c>
      <c r="W28" s="417">
        <v>283</v>
      </c>
      <c r="X28" s="417">
        <v>47</v>
      </c>
      <c r="Y28" s="418">
        <v>9</v>
      </c>
      <c r="Z28" s="418">
        <v>38.83</v>
      </c>
      <c r="AA28" s="418">
        <f t="shared" si="11"/>
        <v>25.68</v>
      </c>
      <c r="AB28" s="418">
        <v>1</v>
      </c>
      <c r="AC28" s="418">
        <v>1.67</v>
      </c>
      <c r="AD28" s="418">
        <v>10.75</v>
      </c>
      <c r="AE28" s="418">
        <v>12.26</v>
      </c>
      <c r="AF28" s="418">
        <v>3</v>
      </c>
      <c r="AG28" s="418">
        <v>5</v>
      </c>
      <c r="AH28" s="418">
        <f t="shared" si="12"/>
        <v>33.68</v>
      </c>
      <c r="AI28" s="417">
        <v>701</v>
      </c>
      <c r="AJ28" s="417">
        <v>428</v>
      </c>
      <c r="AK28" s="417">
        <v>0</v>
      </c>
      <c r="AL28" s="419">
        <v>0</v>
      </c>
      <c r="AM28" s="419">
        <v>15</v>
      </c>
      <c r="AN28" s="419">
        <v>2</v>
      </c>
      <c r="AO28" s="419">
        <v>49</v>
      </c>
      <c r="AP28" s="419">
        <v>15</v>
      </c>
      <c r="AQ28" s="419">
        <f t="shared" si="13"/>
        <v>443</v>
      </c>
      <c r="AR28" s="417">
        <f t="shared" si="14"/>
        <v>315</v>
      </c>
      <c r="AS28" s="417">
        <f t="shared" si="15"/>
        <v>45</v>
      </c>
      <c r="AT28" s="420">
        <f t="shared" si="16"/>
        <v>10.3</v>
      </c>
      <c r="AU28" s="417">
        <f t="shared" si="17"/>
        <v>39</v>
      </c>
      <c r="AV28" s="418">
        <f t="shared" si="18"/>
        <v>27.65</v>
      </c>
      <c r="AW28" s="418">
        <f t="shared" si="19"/>
        <v>0.33</v>
      </c>
      <c r="AX28" s="418">
        <f t="shared" si="20"/>
        <v>2.63</v>
      </c>
      <c r="AY28" s="418">
        <f t="shared" si="21"/>
        <v>11.39</v>
      </c>
      <c r="AZ28" s="418">
        <f t="shared" si="22"/>
        <v>13.29</v>
      </c>
      <c r="BA28" s="418">
        <f t="shared" si="23"/>
        <v>3</v>
      </c>
      <c r="BB28" s="418">
        <f t="shared" si="24"/>
        <v>5</v>
      </c>
      <c r="BC28" s="421">
        <f t="shared" si="25"/>
        <v>35.65</v>
      </c>
      <c r="BD28" s="422">
        <f t="shared" si="26"/>
        <v>701</v>
      </c>
      <c r="BE28" s="417">
        <f t="shared" si="27"/>
        <v>441</v>
      </c>
      <c r="BF28" s="417">
        <f t="shared" si="28"/>
        <v>0</v>
      </c>
      <c r="BG28" s="417">
        <f t="shared" si="29"/>
        <v>0</v>
      </c>
      <c r="BH28" s="417">
        <f t="shared" si="30"/>
        <v>26</v>
      </c>
      <c r="BI28" s="417">
        <f t="shared" si="31"/>
        <v>3</v>
      </c>
      <c r="BJ28" s="417">
        <f t="shared" si="32"/>
        <v>48</v>
      </c>
      <c r="BK28" s="417">
        <f t="shared" si="33"/>
        <v>18</v>
      </c>
      <c r="BL28" s="423">
        <f t="shared" si="34"/>
        <v>459</v>
      </c>
    </row>
    <row r="29" spans="1:64" s="89" customFormat="1" ht="11.25">
      <c r="A29" s="416" t="s">
        <v>158</v>
      </c>
      <c r="B29" s="417">
        <v>385</v>
      </c>
      <c r="C29" s="417">
        <v>23</v>
      </c>
      <c r="D29" s="418">
        <v>14</v>
      </c>
      <c r="E29" s="418">
        <v>56.7</v>
      </c>
      <c r="F29" s="418">
        <f t="shared" si="8"/>
        <v>40.94</v>
      </c>
      <c r="G29" s="418">
        <v>0</v>
      </c>
      <c r="H29" s="418">
        <v>8.44</v>
      </c>
      <c r="I29" s="418">
        <v>28.28</v>
      </c>
      <c r="J29" s="418">
        <v>4.22</v>
      </c>
      <c r="K29" s="418">
        <v>3.5</v>
      </c>
      <c r="L29" s="418">
        <v>7.85</v>
      </c>
      <c r="M29" s="418">
        <f t="shared" si="9"/>
        <v>52.29</v>
      </c>
      <c r="N29" s="417">
        <v>967</v>
      </c>
      <c r="O29" s="417">
        <v>668</v>
      </c>
      <c r="P29" s="417">
        <v>0</v>
      </c>
      <c r="Q29" s="419">
        <v>0</v>
      </c>
      <c r="R29" s="419">
        <v>116</v>
      </c>
      <c r="S29" s="419">
        <v>13</v>
      </c>
      <c r="T29" s="419">
        <v>50</v>
      </c>
      <c r="U29" s="419">
        <v>36</v>
      </c>
      <c r="V29" s="419">
        <f t="shared" si="10"/>
        <v>704</v>
      </c>
      <c r="W29" s="417">
        <v>341</v>
      </c>
      <c r="X29" s="417">
        <v>16</v>
      </c>
      <c r="Y29" s="418">
        <v>13</v>
      </c>
      <c r="Z29" s="418">
        <v>56.7</v>
      </c>
      <c r="AA29" s="418">
        <f t="shared" si="11"/>
        <v>31.17</v>
      </c>
      <c r="AB29" s="418">
        <v>0.5</v>
      </c>
      <c r="AC29" s="418">
        <v>5.83</v>
      </c>
      <c r="AD29" s="418">
        <v>20.79</v>
      </c>
      <c r="AE29" s="418">
        <v>4.05</v>
      </c>
      <c r="AF29" s="418">
        <v>3.5</v>
      </c>
      <c r="AG29" s="418">
        <v>7.1</v>
      </c>
      <c r="AH29" s="418">
        <f t="shared" si="12"/>
        <v>41.77</v>
      </c>
      <c r="AI29" s="417">
        <v>967</v>
      </c>
      <c r="AJ29" s="417">
        <v>648</v>
      </c>
      <c r="AK29" s="417">
        <v>0</v>
      </c>
      <c r="AL29" s="419">
        <v>0</v>
      </c>
      <c r="AM29" s="419">
        <v>60</v>
      </c>
      <c r="AN29" s="419">
        <v>5</v>
      </c>
      <c r="AO29" s="419">
        <v>50</v>
      </c>
      <c r="AP29" s="419">
        <v>35</v>
      </c>
      <c r="AQ29" s="419">
        <f t="shared" si="13"/>
        <v>683</v>
      </c>
      <c r="AR29" s="417">
        <f t="shared" si="14"/>
        <v>370</v>
      </c>
      <c r="AS29" s="417">
        <f t="shared" si="15"/>
        <v>21</v>
      </c>
      <c r="AT29" s="420">
        <f t="shared" si="16"/>
        <v>13.7</v>
      </c>
      <c r="AU29" s="417">
        <f t="shared" si="17"/>
        <v>57</v>
      </c>
      <c r="AV29" s="418">
        <f t="shared" si="18"/>
        <v>37.68</v>
      </c>
      <c r="AW29" s="418">
        <f t="shared" si="19"/>
        <v>0.17</v>
      </c>
      <c r="AX29" s="418">
        <f t="shared" si="20"/>
        <v>7.57</v>
      </c>
      <c r="AY29" s="418">
        <f t="shared" si="21"/>
        <v>25.78</v>
      </c>
      <c r="AZ29" s="418">
        <f t="shared" si="22"/>
        <v>4.16</v>
      </c>
      <c r="BA29" s="418">
        <f t="shared" si="23"/>
        <v>3.5</v>
      </c>
      <c r="BB29" s="418">
        <f t="shared" si="24"/>
        <v>7.6</v>
      </c>
      <c r="BC29" s="421">
        <f t="shared" si="25"/>
        <v>48.78</v>
      </c>
      <c r="BD29" s="422">
        <f t="shared" si="26"/>
        <v>967</v>
      </c>
      <c r="BE29" s="417">
        <f t="shared" si="27"/>
        <v>661</v>
      </c>
      <c r="BF29" s="417">
        <f t="shared" si="28"/>
        <v>0</v>
      </c>
      <c r="BG29" s="417">
        <f t="shared" si="29"/>
        <v>0</v>
      </c>
      <c r="BH29" s="417">
        <f t="shared" si="30"/>
        <v>97</v>
      </c>
      <c r="BI29" s="417">
        <f t="shared" si="31"/>
        <v>10</v>
      </c>
      <c r="BJ29" s="417">
        <f t="shared" si="32"/>
        <v>50</v>
      </c>
      <c r="BK29" s="417">
        <f t="shared" si="33"/>
        <v>36</v>
      </c>
      <c r="BL29" s="423">
        <f t="shared" si="34"/>
        <v>697</v>
      </c>
    </row>
    <row r="30" spans="1:64" s="89" customFormat="1" ht="11.25">
      <c r="A30" s="416" t="s">
        <v>159</v>
      </c>
      <c r="B30" s="417">
        <v>580</v>
      </c>
      <c r="C30" s="417">
        <v>66</v>
      </c>
      <c r="D30" s="418">
        <v>24</v>
      </c>
      <c r="E30" s="418">
        <v>59.2</v>
      </c>
      <c r="F30" s="418">
        <f t="shared" si="8"/>
        <v>47.39</v>
      </c>
      <c r="G30" s="418">
        <v>2.84</v>
      </c>
      <c r="H30" s="418">
        <v>11.43</v>
      </c>
      <c r="I30" s="418">
        <v>20.67</v>
      </c>
      <c r="J30" s="418">
        <v>12.45</v>
      </c>
      <c r="K30" s="418">
        <v>4.75</v>
      </c>
      <c r="L30" s="418">
        <v>10.25</v>
      </c>
      <c r="M30" s="418">
        <f t="shared" si="9"/>
        <v>62.39</v>
      </c>
      <c r="N30" s="417">
        <v>1070</v>
      </c>
      <c r="O30" s="417">
        <v>830</v>
      </c>
      <c r="P30" s="417">
        <v>115</v>
      </c>
      <c r="Q30" s="419">
        <v>0</v>
      </c>
      <c r="R30" s="419">
        <v>12</v>
      </c>
      <c r="S30" s="419">
        <v>1</v>
      </c>
      <c r="T30" s="419">
        <v>50</v>
      </c>
      <c r="U30" s="419">
        <v>6</v>
      </c>
      <c r="V30" s="419">
        <f t="shared" si="10"/>
        <v>836</v>
      </c>
      <c r="W30" s="417">
        <v>595</v>
      </c>
      <c r="X30" s="417">
        <v>73</v>
      </c>
      <c r="Y30" s="418">
        <v>23</v>
      </c>
      <c r="Z30" s="418">
        <v>59.2</v>
      </c>
      <c r="AA30" s="418">
        <f t="shared" si="11"/>
        <v>48.66</v>
      </c>
      <c r="AB30" s="418">
        <v>3.33</v>
      </c>
      <c r="AC30" s="418">
        <v>5.09</v>
      </c>
      <c r="AD30" s="418">
        <v>25.52</v>
      </c>
      <c r="AE30" s="418">
        <v>14.72</v>
      </c>
      <c r="AF30" s="418">
        <v>4.75</v>
      </c>
      <c r="AG30" s="418">
        <v>10.25</v>
      </c>
      <c r="AH30" s="418">
        <f t="shared" si="12"/>
        <v>63.66</v>
      </c>
      <c r="AI30" s="417">
        <v>1070</v>
      </c>
      <c r="AJ30" s="417">
        <v>849</v>
      </c>
      <c r="AK30" s="417">
        <v>122</v>
      </c>
      <c r="AL30" s="419">
        <v>0</v>
      </c>
      <c r="AM30" s="419">
        <v>12</v>
      </c>
      <c r="AN30" s="419">
        <v>1</v>
      </c>
      <c r="AO30" s="419">
        <v>50</v>
      </c>
      <c r="AP30" s="419">
        <v>8</v>
      </c>
      <c r="AQ30" s="419">
        <f t="shared" si="13"/>
        <v>857</v>
      </c>
      <c r="AR30" s="417">
        <f t="shared" si="14"/>
        <v>585</v>
      </c>
      <c r="AS30" s="417">
        <f t="shared" si="15"/>
        <v>68</v>
      </c>
      <c r="AT30" s="420">
        <f t="shared" si="16"/>
        <v>23.7</v>
      </c>
      <c r="AU30" s="417">
        <f t="shared" si="17"/>
        <v>59</v>
      </c>
      <c r="AV30" s="418">
        <f t="shared" si="18"/>
        <v>47.81</v>
      </c>
      <c r="AW30" s="418">
        <f t="shared" si="19"/>
        <v>3</v>
      </c>
      <c r="AX30" s="418">
        <f t="shared" si="20"/>
        <v>9.32</v>
      </c>
      <c r="AY30" s="418">
        <f t="shared" si="21"/>
        <v>22.29</v>
      </c>
      <c r="AZ30" s="418">
        <f t="shared" si="22"/>
        <v>13.21</v>
      </c>
      <c r="BA30" s="418">
        <f t="shared" si="23"/>
        <v>4.75</v>
      </c>
      <c r="BB30" s="418">
        <f t="shared" si="24"/>
        <v>10.25</v>
      </c>
      <c r="BC30" s="421">
        <f t="shared" si="25"/>
        <v>62.81</v>
      </c>
      <c r="BD30" s="422">
        <f t="shared" si="26"/>
        <v>1070</v>
      </c>
      <c r="BE30" s="417">
        <f t="shared" si="27"/>
        <v>836</v>
      </c>
      <c r="BF30" s="417">
        <f t="shared" si="28"/>
        <v>117</v>
      </c>
      <c r="BG30" s="417">
        <f t="shared" si="29"/>
        <v>0</v>
      </c>
      <c r="BH30" s="417">
        <f t="shared" si="30"/>
        <v>12</v>
      </c>
      <c r="BI30" s="417">
        <f t="shared" si="31"/>
        <v>1</v>
      </c>
      <c r="BJ30" s="417">
        <f t="shared" si="32"/>
        <v>50</v>
      </c>
      <c r="BK30" s="417">
        <f t="shared" si="33"/>
        <v>7</v>
      </c>
      <c r="BL30" s="423">
        <f t="shared" si="34"/>
        <v>843</v>
      </c>
    </row>
    <row r="31" spans="1:64" s="89" customFormat="1" ht="14.25" customHeight="1">
      <c r="A31" s="424" t="s">
        <v>160</v>
      </c>
      <c r="B31" s="425">
        <v>329</v>
      </c>
      <c r="C31" s="425">
        <v>0</v>
      </c>
      <c r="D31" s="426">
        <v>13</v>
      </c>
      <c r="E31" s="426">
        <v>9.2</v>
      </c>
      <c r="F31" s="426">
        <f t="shared" si="8"/>
        <v>12.4</v>
      </c>
      <c r="G31" s="426">
        <v>1.3</v>
      </c>
      <c r="H31" s="426">
        <v>1.1</v>
      </c>
      <c r="I31" s="426">
        <v>7</v>
      </c>
      <c r="J31" s="426">
        <v>3</v>
      </c>
      <c r="K31" s="426">
        <v>2.5</v>
      </c>
      <c r="L31" s="426">
        <v>3.5</v>
      </c>
      <c r="M31" s="426">
        <f t="shared" si="9"/>
        <v>18.4</v>
      </c>
      <c r="N31" s="425">
        <v>634</v>
      </c>
      <c r="O31" s="425">
        <v>215</v>
      </c>
      <c r="P31" s="425">
        <v>0</v>
      </c>
      <c r="Q31" s="427">
        <v>0</v>
      </c>
      <c r="R31" s="427">
        <v>0</v>
      </c>
      <c r="S31" s="427">
        <v>0</v>
      </c>
      <c r="T31" s="427">
        <v>15</v>
      </c>
      <c r="U31" s="427">
        <v>0</v>
      </c>
      <c r="V31" s="427">
        <f t="shared" si="10"/>
        <v>215</v>
      </c>
      <c r="W31" s="425">
        <v>388</v>
      </c>
      <c r="X31" s="425"/>
      <c r="Y31" s="426">
        <v>13</v>
      </c>
      <c r="Z31" s="426">
        <v>9.2</v>
      </c>
      <c r="AA31" s="426">
        <f t="shared" si="11"/>
        <v>13.1</v>
      </c>
      <c r="AB31" s="426">
        <v>0</v>
      </c>
      <c r="AC31" s="426">
        <v>0.7</v>
      </c>
      <c r="AD31" s="426">
        <v>8.1</v>
      </c>
      <c r="AE31" s="426">
        <v>4.3</v>
      </c>
      <c r="AF31" s="426">
        <v>2.5</v>
      </c>
      <c r="AG31" s="426">
        <v>3.5</v>
      </c>
      <c r="AH31" s="426">
        <f t="shared" si="12"/>
        <v>19.1</v>
      </c>
      <c r="AI31" s="425">
        <v>634</v>
      </c>
      <c r="AJ31" s="425">
        <v>236</v>
      </c>
      <c r="AK31" s="425">
        <v>0</v>
      </c>
      <c r="AL31" s="427">
        <v>0</v>
      </c>
      <c r="AM31" s="427">
        <v>0</v>
      </c>
      <c r="AN31" s="427">
        <v>0</v>
      </c>
      <c r="AO31" s="427">
        <v>15</v>
      </c>
      <c r="AP31" s="427">
        <v>0</v>
      </c>
      <c r="AQ31" s="427">
        <f t="shared" si="13"/>
        <v>236</v>
      </c>
      <c r="AR31" s="425">
        <f t="shared" si="14"/>
        <v>349</v>
      </c>
      <c r="AS31" s="425">
        <f t="shared" si="15"/>
        <v>0</v>
      </c>
      <c r="AT31" s="428">
        <f t="shared" si="16"/>
        <v>13</v>
      </c>
      <c r="AU31" s="425">
        <f t="shared" si="17"/>
        <v>9</v>
      </c>
      <c r="AV31" s="426">
        <f t="shared" si="18"/>
        <v>12.63</v>
      </c>
      <c r="AW31" s="426">
        <f t="shared" si="19"/>
        <v>0.87</v>
      </c>
      <c r="AX31" s="426">
        <f t="shared" si="20"/>
        <v>0.97</v>
      </c>
      <c r="AY31" s="426">
        <f t="shared" si="21"/>
        <v>7.37</v>
      </c>
      <c r="AZ31" s="426">
        <f t="shared" si="22"/>
        <v>3.43</v>
      </c>
      <c r="BA31" s="426">
        <f t="shared" si="23"/>
        <v>2.5</v>
      </c>
      <c r="BB31" s="426">
        <f t="shared" si="24"/>
        <v>3.5</v>
      </c>
      <c r="BC31" s="429">
        <f t="shared" si="25"/>
        <v>18.63</v>
      </c>
      <c r="BD31" s="430">
        <f t="shared" si="26"/>
        <v>634</v>
      </c>
      <c r="BE31" s="425">
        <f t="shared" si="27"/>
        <v>222</v>
      </c>
      <c r="BF31" s="425">
        <f t="shared" si="28"/>
        <v>0</v>
      </c>
      <c r="BG31" s="425">
        <f t="shared" si="29"/>
        <v>0</v>
      </c>
      <c r="BH31" s="425">
        <f t="shared" si="30"/>
        <v>0</v>
      </c>
      <c r="BI31" s="425">
        <f t="shared" si="31"/>
        <v>0</v>
      </c>
      <c r="BJ31" s="425">
        <f t="shared" si="32"/>
        <v>15</v>
      </c>
      <c r="BK31" s="425">
        <f t="shared" si="33"/>
        <v>0</v>
      </c>
      <c r="BL31" s="431">
        <f t="shared" si="34"/>
        <v>222</v>
      </c>
    </row>
    <row r="32" spans="1:64" s="453" customFormat="1" ht="15" customHeight="1">
      <c r="A32" s="432" t="s">
        <v>280</v>
      </c>
      <c r="B32" s="447">
        <f aca="true" t="shared" si="35" ref="B32:AG32">SUM(B18:B31)</f>
        <v>6809</v>
      </c>
      <c r="C32" s="447">
        <f t="shared" si="35"/>
        <v>1140</v>
      </c>
      <c r="D32" s="447">
        <f t="shared" si="35"/>
        <v>232</v>
      </c>
      <c r="E32" s="447">
        <f t="shared" si="35"/>
        <v>699.5</v>
      </c>
      <c r="F32" s="447">
        <f t="shared" si="35"/>
        <v>607.9</v>
      </c>
      <c r="G32" s="447">
        <f t="shared" si="35"/>
        <v>24.8</v>
      </c>
      <c r="H32" s="447">
        <f t="shared" si="35"/>
        <v>123</v>
      </c>
      <c r="I32" s="447">
        <f t="shared" si="35"/>
        <v>321.6</v>
      </c>
      <c r="J32" s="447">
        <f t="shared" si="35"/>
        <v>138.5</v>
      </c>
      <c r="K32" s="447">
        <f t="shared" si="35"/>
        <v>52</v>
      </c>
      <c r="L32" s="447">
        <f t="shared" si="35"/>
        <v>119.2</v>
      </c>
      <c r="M32" s="447">
        <f t="shared" si="35"/>
        <v>779.1</v>
      </c>
      <c r="N32" s="447">
        <f t="shared" si="35"/>
        <v>13079</v>
      </c>
      <c r="O32" s="447">
        <f t="shared" si="35"/>
        <v>10296</v>
      </c>
      <c r="P32" s="447">
        <f t="shared" si="35"/>
        <v>276</v>
      </c>
      <c r="Q32" s="447">
        <f t="shared" si="35"/>
        <v>202</v>
      </c>
      <c r="R32" s="447">
        <f t="shared" si="35"/>
        <v>537</v>
      </c>
      <c r="S32" s="447">
        <f t="shared" si="35"/>
        <v>62</v>
      </c>
      <c r="T32" s="447">
        <f t="shared" si="35"/>
        <v>970</v>
      </c>
      <c r="U32" s="447">
        <f t="shared" si="35"/>
        <v>522</v>
      </c>
      <c r="V32" s="447">
        <f t="shared" si="35"/>
        <v>10818</v>
      </c>
      <c r="W32" s="447">
        <f t="shared" si="35"/>
        <v>6582</v>
      </c>
      <c r="X32" s="447">
        <f t="shared" si="35"/>
        <v>1124</v>
      </c>
      <c r="Y32" s="447">
        <f t="shared" si="35"/>
        <v>222</v>
      </c>
      <c r="Z32" s="447">
        <f t="shared" si="35"/>
        <v>699.5</v>
      </c>
      <c r="AA32" s="447">
        <f t="shared" si="35"/>
        <v>592.5</v>
      </c>
      <c r="AB32" s="447">
        <f t="shared" si="35"/>
        <v>27.5</v>
      </c>
      <c r="AC32" s="447">
        <f t="shared" si="35"/>
        <v>98.3</v>
      </c>
      <c r="AD32" s="447">
        <f t="shared" si="35"/>
        <v>298.6</v>
      </c>
      <c r="AE32" s="447">
        <f t="shared" si="35"/>
        <v>168.1</v>
      </c>
      <c r="AF32" s="447">
        <f t="shared" si="35"/>
        <v>52.5</v>
      </c>
      <c r="AG32" s="447">
        <f t="shared" si="35"/>
        <v>120.5</v>
      </c>
      <c r="AH32" s="447">
        <f aca="true" t="shared" si="36" ref="AH32:BL32">SUM(AH18:AH31)</f>
        <v>765.4</v>
      </c>
      <c r="AI32" s="447">
        <f t="shared" si="36"/>
        <v>13079</v>
      </c>
      <c r="AJ32" s="447">
        <f t="shared" si="36"/>
        <v>10034</v>
      </c>
      <c r="AK32" s="447">
        <f t="shared" si="36"/>
        <v>277</v>
      </c>
      <c r="AL32" s="447">
        <f t="shared" si="36"/>
        <v>220</v>
      </c>
      <c r="AM32" s="447">
        <f t="shared" si="36"/>
        <v>317</v>
      </c>
      <c r="AN32" s="447">
        <f t="shared" si="36"/>
        <v>35</v>
      </c>
      <c r="AO32" s="447">
        <f t="shared" si="36"/>
        <v>972</v>
      </c>
      <c r="AP32" s="447">
        <f t="shared" si="36"/>
        <v>510</v>
      </c>
      <c r="AQ32" s="447">
        <f t="shared" si="36"/>
        <v>10544</v>
      </c>
      <c r="AR32" s="448">
        <f t="shared" si="36"/>
        <v>6732</v>
      </c>
      <c r="AS32" s="447">
        <f t="shared" si="36"/>
        <v>1134</v>
      </c>
      <c r="AT32" s="447">
        <f t="shared" si="36"/>
        <v>228.8</v>
      </c>
      <c r="AU32" s="447">
        <f t="shared" si="36"/>
        <v>700</v>
      </c>
      <c r="AV32" s="449">
        <f t="shared" si="36"/>
        <v>602.76</v>
      </c>
      <c r="AW32" s="449">
        <f t="shared" si="36"/>
        <v>25.68</v>
      </c>
      <c r="AX32" s="449">
        <f t="shared" si="36"/>
        <v>114.81</v>
      </c>
      <c r="AY32" s="449">
        <f t="shared" si="36"/>
        <v>313.95</v>
      </c>
      <c r="AZ32" s="449">
        <f t="shared" si="36"/>
        <v>148.34</v>
      </c>
      <c r="BA32" s="449">
        <f t="shared" si="36"/>
        <v>52.19</v>
      </c>
      <c r="BB32" s="449">
        <f t="shared" si="36"/>
        <v>119.59</v>
      </c>
      <c r="BC32" s="450">
        <f t="shared" si="36"/>
        <v>774.54</v>
      </c>
      <c r="BD32" s="451">
        <f t="shared" si="36"/>
        <v>13079</v>
      </c>
      <c r="BE32" s="448">
        <f t="shared" si="36"/>
        <v>10208</v>
      </c>
      <c r="BF32" s="448">
        <f t="shared" si="36"/>
        <v>276</v>
      </c>
      <c r="BG32" s="448">
        <f t="shared" si="36"/>
        <v>208</v>
      </c>
      <c r="BH32" s="448">
        <f t="shared" si="36"/>
        <v>463</v>
      </c>
      <c r="BI32" s="448">
        <f t="shared" si="36"/>
        <v>53</v>
      </c>
      <c r="BJ32" s="448">
        <f t="shared" si="36"/>
        <v>970</v>
      </c>
      <c r="BK32" s="448">
        <f t="shared" si="36"/>
        <v>519</v>
      </c>
      <c r="BL32" s="452">
        <f t="shared" si="36"/>
        <v>10727</v>
      </c>
    </row>
    <row r="33" spans="1:64" s="453" customFormat="1" ht="15.75" customHeight="1">
      <c r="A33" s="454" t="s">
        <v>140</v>
      </c>
      <c r="B33" s="455">
        <v>0</v>
      </c>
      <c r="C33" s="455">
        <v>0</v>
      </c>
      <c r="D33" s="455">
        <v>0</v>
      </c>
      <c r="E33" s="456"/>
      <c r="F33" s="457">
        <f aca="true" t="shared" si="37" ref="F33:F41">G33+H33+I33+J33</f>
        <v>0</v>
      </c>
      <c r="G33" s="455">
        <v>0</v>
      </c>
      <c r="H33" s="455">
        <v>0</v>
      </c>
      <c r="I33" s="455">
        <v>0</v>
      </c>
      <c r="J33" s="455">
        <v>0</v>
      </c>
      <c r="K33" s="455">
        <v>0</v>
      </c>
      <c r="L33" s="455">
        <v>0</v>
      </c>
      <c r="M33" s="457">
        <f aca="true" t="shared" si="38" ref="M33:M41">F33+K33+L33</f>
        <v>0</v>
      </c>
      <c r="N33" s="456"/>
      <c r="O33" s="455">
        <v>0</v>
      </c>
      <c r="P33" s="455">
        <v>0</v>
      </c>
      <c r="Q33" s="455">
        <v>0</v>
      </c>
      <c r="R33" s="455">
        <v>0</v>
      </c>
      <c r="S33" s="455">
        <v>0</v>
      </c>
      <c r="T33" s="455">
        <v>0</v>
      </c>
      <c r="U33" s="455">
        <v>0</v>
      </c>
      <c r="V33" s="458">
        <f aca="true" t="shared" si="39" ref="V33:V41">O33+U33</f>
        <v>0</v>
      </c>
      <c r="W33" s="455">
        <v>5</v>
      </c>
      <c r="X33" s="455">
        <v>0</v>
      </c>
      <c r="Y33" s="455">
        <v>1</v>
      </c>
      <c r="Z33" s="456"/>
      <c r="AA33" s="457">
        <f aca="true" t="shared" si="40" ref="AA33:AA41">AB33+AC33+AD33+AE33</f>
        <v>1.7</v>
      </c>
      <c r="AB33" s="455">
        <v>0</v>
      </c>
      <c r="AC33" s="455">
        <v>0.3</v>
      </c>
      <c r="AD33" s="455">
        <v>0.5</v>
      </c>
      <c r="AE33" s="455">
        <v>0.9</v>
      </c>
      <c r="AF33" s="455">
        <v>0</v>
      </c>
      <c r="AG33" s="455">
        <v>0</v>
      </c>
      <c r="AH33" s="457">
        <f aca="true" t="shared" si="41" ref="AH33:AH41">AA33+AF33+AG33</f>
        <v>1.7</v>
      </c>
      <c r="AI33" s="456"/>
      <c r="AJ33" s="455">
        <v>38</v>
      </c>
      <c r="AK33" s="455">
        <v>0</v>
      </c>
      <c r="AL33" s="455">
        <v>0</v>
      </c>
      <c r="AM33" s="455">
        <v>0</v>
      </c>
      <c r="AN33" s="455">
        <v>0</v>
      </c>
      <c r="AO33" s="455">
        <v>0</v>
      </c>
      <c r="AP33" s="455">
        <v>3</v>
      </c>
      <c r="AQ33" s="458">
        <f aca="true" t="shared" si="42" ref="AQ33:AQ41">AJ33+AP33</f>
        <v>41</v>
      </c>
      <c r="AR33" s="459">
        <f aca="true" t="shared" si="43" ref="AR33:AR41">(B33*8+W33*4)/12</f>
        <v>2</v>
      </c>
      <c r="AS33" s="459">
        <f aca="true" t="shared" si="44" ref="AS33:AS41">(C33*8+X33*4)/12</f>
        <v>0</v>
      </c>
      <c r="AT33" s="460">
        <f aca="true" t="shared" si="45" ref="AT33:AT41">(D33*8+Y33*4)/12</f>
        <v>0.3</v>
      </c>
      <c r="AU33" s="459">
        <f aca="true" t="shared" si="46" ref="AU33:AU41">(E33*8+Z33*4)/12</f>
        <v>0</v>
      </c>
      <c r="AV33" s="457">
        <f aca="true" t="shared" si="47" ref="AV33:AV41">(F33*8+AA33*4)/12</f>
        <v>0.57</v>
      </c>
      <c r="AW33" s="457">
        <f aca="true" t="shared" si="48" ref="AW33:AW41">(G33*8+AB33*4)/12</f>
        <v>0</v>
      </c>
      <c r="AX33" s="457">
        <f aca="true" t="shared" si="49" ref="AX33:AX41">(H33*8+AC33*4)/12</f>
        <v>0.1</v>
      </c>
      <c r="AY33" s="457">
        <f aca="true" t="shared" si="50" ref="AY33:AY41">(I33*8+AD33*4)/12</f>
        <v>0.17</v>
      </c>
      <c r="AZ33" s="457">
        <f aca="true" t="shared" si="51" ref="AZ33:AZ41">(J33*8+AE33*4)/12</f>
        <v>0.3</v>
      </c>
      <c r="BA33" s="457">
        <f aca="true" t="shared" si="52" ref="BA33:BA41">(K33*8+AF33*4)/12</f>
        <v>0</v>
      </c>
      <c r="BB33" s="457">
        <f aca="true" t="shared" si="53" ref="BB33:BB41">(L33*8+AG33*4)/12</f>
        <v>0</v>
      </c>
      <c r="BC33" s="461">
        <f aca="true" t="shared" si="54" ref="BC33:BC41">(M33*8+AH33*4)/12</f>
        <v>0.57</v>
      </c>
      <c r="BD33" s="462">
        <f aca="true" t="shared" si="55" ref="BD33:BD41">(N33*8+AI33*4)/12</f>
        <v>0</v>
      </c>
      <c r="BE33" s="459">
        <f aca="true" t="shared" si="56" ref="BE33:BE41">(O33*8+AJ33*4)/12</f>
        <v>13</v>
      </c>
      <c r="BF33" s="459">
        <f aca="true" t="shared" si="57" ref="BF33:BF41">(P33*8+AK33*4)/12</f>
        <v>0</v>
      </c>
      <c r="BG33" s="459">
        <f aca="true" t="shared" si="58" ref="BG33:BG41">(Q33*8+AL33*4)/12</f>
        <v>0</v>
      </c>
      <c r="BH33" s="459">
        <f aca="true" t="shared" si="59" ref="BH33:BH41">(R33*8+AM33*4)/12</f>
        <v>0</v>
      </c>
      <c r="BI33" s="459">
        <f aca="true" t="shared" si="60" ref="BI33:BI41">(S33*8+AN33*4)/12</f>
        <v>0</v>
      </c>
      <c r="BJ33" s="459">
        <f aca="true" t="shared" si="61" ref="BJ33:BJ41">(T33*8+AO33*4)/12</f>
        <v>0</v>
      </c>
      <c r="BK33" s="459">
        <f aca="true" t="shared" si="62" ref="BK33:BK41">(U33*8+AP33*4)/12</f>
        <v>1</v>
      </c>
      <c r="BL33" s="463">
        <f aca="true" t="shared" si="63" ref="BL33:BL41">BE33+BK33</f>
        <v>14</v>
      </c>
    </row>
    <row r="34" spans="1:64" s="453" customFormat="1" ht="21">
      <c r="A34" s="432" t="s">
        <v>162</v>
      </c>
      <c r="B34" s="447">
        <f>B33</f>
        <v>0</v>
      </c>
      <c r="C34" s="447">
        <f>C33</f>
        <v>0</v>
      </c>
      <c r="D34" s="447">
        <f>D33</f>
        <v>0</v>
      </c>
      <c r="E34" s="447">
        <f>E33</f>
        <v>0</v>
      </c>
      <c r="F34" s="435">
        <f t="shared" si="37"/>
        <v>0</v>
      </c>
      <c r="G34" s="447">
        <f aca="true" t="shared" si="64" ref="G34:L34">G33</f>
        <v>0</v>
      </c>
      <c r="H34" s="447">
        <f t="shared" si="64"/>
        <v>0</v>
      </c>
      <c r="I34" s="447">
        <f t="shared" si="64"/>
        <v>0</v>
      </c>
      <c r="J34" s="447">
        <f t="shared" si="64"/>
        <v>0</v>
      </c>
      <c r="K34" s="447">
        <f t="shared" si="64"/>
        <v>0</v>
      </c>
      <c r="L34" s="447">
        <f t="shared" si="64"/>
        <v>0</v>
      </c>
      <c r="M34" s="435">
        <f t="shared" si="38"/>
        <v>0</v>
      </c>
      <c r="N34" s="447">
        <f aca="true" t="shared" si="65" ref="N34:U34">N33</f>
        <v>0</v>
      </c>
      <c r="O34" s="447">
        <f t="shared" si="65"/>
        <v>0</v>
      </c>
      <c r="P34" s="447">
        <f t="shared" si="65"/>
        <v>0</v>
      </c>
      <c r="Q34" s="447">
        <f t="shared" si="65"/>
        <v>0</v>
      </c>
      <c r="R34" s="447">
        <f t="shared" si="65"/>
        <v>0</v>
      </c>
      <c r="S34" s="447">
        <f t="shared" si="65"/>
        <v>0</v>
      </c>
      <c r="T34" s="447">
        <f t="shared" si="65"/>
        <v>0</v>
      </c>
      <c r="U34" s="447">
        <f t="shared" si="65"/>
        <v>0</v>
      </c>
      <c r="V34" s="464">
        <f t="shared" si="39"/>
        <v>0</v>
      </c>
      <c r="W34" s="447">
        <f>W33</f>
        <v>5</v>
      </c>
      <c r="X34" s="447">
        <f>X33</f>
        <v>0</v>
      </c>
      <c r="Y34" s="447">
        <f>Y33</f>
        <v>1</v>
      </c>
      <c r="Z34" s="447">
        <f>Z33</f>
        <v>0</v>
      </c>
      <c r="AA34" s="435">
        <f t="shared" si="40"/>
        <v>1.7</v>
      </c>
      <c r="AB34" s="447">
        <f aca="true" t="shared" si="66" ref="AB34:AG34">AB33</f>
        <v>0</v>
      </c>
      <c r="AC34" s="447">
        <f t="shared" si="66"/>
        <v>0.3</v>
      </c>
      <c r="AD34" s="447">
        <f t="shared" si="66"/>
        <v>0.5</v>
      </c>
      <c r="AE34" s="447">
        <f t="shared" si="66"/>
        <v>0.9</v>
      </c>
      <c r="AF34" s="447">
        <f t="shared" si="66"/>
        <v>0</v>
      </c>
      <c r="AG34" s="447">
        <f t="shared" si="66"/>
        <v>0</v>
      </c>
      <c r="AH34" s="435">
        <f t="shared" si="41"/>
        <v>1.7</v>
      </c>
      <c r="AI34" s="447">
        <f aca="true" t="shared" si="67" ref="AI34:AP34">AI33</f>
        <v>0</v>
      </c>
      <c r="AJ34" s="447">
        <f t="shared" si="67"/>
        <v>38</v>
      </c>
      <c r="AK34" s="447">
        <f t="shared" si="67"/>
        <v>0</v>
      </c>
      <c r="AL34" s="447">
        <f t="shared" si="67"/>
        <v>0</v>
      </c>
      <c r="AM34" s="447">
        <f t="shared" si="67"/>
        <v>0</v>
      </c>
      <c r="AN34" s="447">
        <f t="shared" si="67"/>
        <v>0</v>
      </c>
      <c r="AO34" s="447">
        <f t="shared" si="67"/>
        <v>0</v>
      </c>
      <c r="AP34" s="447">
        <f t="shared" si="67"/>
        <v>3</v>
      </c>
      <c r="AQ34" s="464">
        <f t="shared" si="42"/>
        <v>41</v>
      </c>
      <c r="AR34" s="434">
        <f t="shared" si="43"/>
        <v>2</v>
      </c>
      <c r="AS34" s="434">
        <f t="shared" si="44"/>
        <v>0</v>
      </c>
      <c r="AT34" s="433">
        <f t="shared" si="45"/>
        <v>0.3</v>
      </c>
      <c r="AU34" s="434">
        <f t="shared" si="46"/>
        <v>0</v>
      </c>
      <c r="AV34" s="435">
        <f t="shared" si="47"/>
        <v>0.57</v>
      </c>
      <c r="AW34" s="435">
        <f t="shared" si="48"/>
        <v>0</v>
      </c>
      <c r="AX34" s="435">
        <f t="shared" si="49"/>
        <v>0.1</v>
      </c>
      <c r="AY34" s="435">
        <f t="shared" si="50"/>
        <v>0.17</v>
      </c>
      <c r="AZ34" s="435">
        <f t="shared" si="51"/>
        <v>0.3</v>
      </c>
      <c r="BA34" s="435">
        <f t="shared" si="52"/>
        <v>0</v>
      </c>
      <c r="BB34" s="435">
        <f t="shared" si="53"/>
        <v>0</v>
      </c>
      <c r="BC34" s="436">
        <f t="shared" si="54"/>
        <v>0.57</v>
      </c>
      <c r="BD34" s="465">
        <f t="shared" si="55"/>
        <v>0</v>
      </c>
      <c r="BE34" s="434">
        <f t="shared" si="56"/>
        <v>13</v>
      </c>
      <c r="BF34" s="434">
        <f t="shared" si="57"/>
        <v>0</v>
      </c>
      <c r="BG34" s="434">
        <f t="shared" si="58"/>
        <v>0</v>
      </c>
      <c r="BH34" s="434">
        <f t="shared" si="59"/>
        <v>0</v>
      </c>
      <c r="BI34" s="434">
        <f t="shared" si="60"/>
        <v>0</v>
      </c>
      <c r="BJ34" s="434">
        <f t="shared" si="61"/>
        <v>0</v>
      </c>
      <c r="BK34" s="434">
        <f t="shared" si="62"/>
        <v>1</v>
      </c>
      <c r="BL34" s="466">
        <f t="shared" si="63"/>
        <v>14</v>
      </c>
    </row>
    <row r="35" spans="1:64" s="122" customFormat="1" ht="15" customHeight="1">
      <c r="A35" s="439" t="s">
        <v>173</v>
      </c>
      <c r="B35" s="443">
        <v>112</v>
      </c>
      <c r="C35" s="443">
        <v>12</v>
      </c>
      <c r="D35" s="443">
        <v>4</v>
      </c>
      <c r="E35" s="443"/>
      <c r="F35" s="441">
        <f t="shared" si="37"/>
        <v>10.41</v>
      </c>
      <c r="G35" s="441">
        <v>0</v>
      </c>
      <c r="H35" s="441">
        <v>1.55</v>
      </c>
      <c r="I35" s="441">
        <v>5.39</v>
      </c>
      <c r="J35" s="441">
        <v>3.47</v>
      </c>
      <c r="K35" s="441">
        <v>1.75</v>
      </c>
      <c r="L35" s="441">
        <v>2.5</v>
      </c>
      <c r="M35" s="441">
        <f t="shared" si="38"/>
        <v>14.66</v>
      </c>
      <c r="N35" s="443"/>
      <c r="O35" s="443">
        <v>217</v>
      </c>
      <c r="P35" s="443">
        <v>0</v>
      </c>
      <c r="Q35" s="442">
        <v>0</v>
      </c>
      <c r="R35" s="442">
        <v>0</v>
      </c>
      <c r="S35" s="442">
        <v>0</v>
      </c>
      <c r="T35" s="442">
        <v>50</v>
      </c>
      <c r="U35" s="442">
        <v>5</v>
      </c>
      <c r="V35" s="442">
        <f t="shared" si="39"/>
        <v>222</v>
      </c>
      <c r="W35" s="443">
        <v>172</v>
      </c>
      <c r="X35" s="443">
        <v>21</v>
      </c>
      <c r="Y35" s="443">
        <v>6</v>
      </c>
      <c r="Z35" s="443"/>
      <c r="AA35" s="441">
        <f t="shared" si="40"/>
        <v>14.67</v>
      </c>
      <c r="AB35" s="441">
        <v>0.61</v>
      </c>
      <c r="AC35" s="441">
        <v>1.67</v>
      </c>
      <c r="AD35" s="441">
        <v>9.04</v>
      </c>
      <c r="AE35" s="441">
        <v>3.35</v>
      </c>
      <c r="AF35" s="441">
        <v>1.75</v>
      </c>
      <c r="AG35" s="441">
        <v>2.5</v>
      </c>
      <c r="AH35" s="441">
        <f t="shared" si="41"/>
        <v>18.92</v>
      </c>
      <c r="AI35" s="443"/>
      <c r="AJ35" s="443">
        <v>257</v>
      </c>
      <c r="AK35" s="443">
        <v>0</v>
      </c>
      <c r="AL35" s="442">
        <v>0</v>
      </c>
      <c r="AM35" s="442">
        <v>0</v>
      </c>
      <c r="AN35" s="442">
        <v>0</v>
      </c>
      <c r="AO35" s="442">
        <v>50</v>
      </c>
      <c r="AP35" s="442">
        <v>4</v>
      </c>
      <c r="AQ35" s="442">
        <f t="shared" si="42"/>
        <v>261</v>
      </c>
      <c r="AR35" s="440">
        <f t="shared" si="43"/>
        <v>132</v>
      </c>
      <c r="AS35" s="440">
        <f t="shared" si="44"/>
        <v>15</v>
      </c>
      <c r="AT35" s="443">
        <f t="shared" si="45"/>
        <v>4.7</v>
      </c>
      <c r="AU35" s="440">
        <f t="shared" si="46"/>
        <v>0</v>
      </c>
      <c r="AV35" s="441">
        <f t="shared" si="47"/>
        <v>11.83</v>
      </c>
      <c r="AW35" s="441">
        <f t="shared" si="48"/>
        <v>0.2</v>
      </c>
      <c r="AX35" s="441">
        <f t="shared" si="49"/>
        <v>1.59</v>
      </c>
      <c r="AY35" s="441">
        <f t="shared" si="50"/>
        <v>6.61</v>
      </c>
      <c r="AZ35" s="441">
        <f t="shared" si="51"/>
        <v>3.43</v>
      </c>
      <c r="BA35" s="441">
        <f t="shared" si="52"/>
        <v>1.75</v>
      </c>
      <c r="BB35" s="441">
        <f t="shared" si="53"/>
        <v>2.5</v>
      </c>
      <c r="BC35" s="444">
        <f t="shared" si="54"/>
        <v>16.08</v>
      </c>
      <c r="BD35" s="445">
        <f t="shared" si="55"/>
        <v>0</v>
      </c>
      <c r="BE35" s="440">
        <f t="shared" si="56"/>
        <v>230</v>
      </c>
      <c r="BF35" s="440">
        <f t="shared" si="57"/>
        <v>0</v>
      </c>
      <c r="BG35" s="440">
        <f t="shared" si="58"/>
        <v>0</v>
      </c>
      <c r="BH35" s="440">
        <f t="shared" si="59"/>
        <v>0</v>
      </c>
      <c r="BI35" s="440">
        <f t="shared" si="60"/>
        <v>0</v>
      </c>
      <c r="BJ35" s="440">
        <f t="shared" si="61"/>
        <v>50</v>
      </c>
      <c r="BK35" s="440">
        <f t="shared" si="62"/>
        <v>5</v>
      </c>
      <c r="BL35" s="446">
        <f t="shared" si="63"/>
        <v>235</v>
      </c>
    </row>
    <row r="36" spans="1:64" s="122" customFormat="1" ht="15" customHeight="1">
      <c r="A36" s="416" t="s">
        <v>236</v>
      </c>
      <c r="B36" s="420">
        <v>121</v>
      </c>
      <c r="C36" s="420">
        <v>21</v>
      </c>
      <c r="D36" s="420">
        <v>4</v>
      </c>
      <c r="E36" s="420"/>
      <c r="F36" s="418">
        <f t="shared" si="37"/>
        <v>11.6</v>
      </c>
      <c r="G36" s="418">
        <v>0</v>
      </c>
      <c r="H36" s="418">
        <v>0</v>
      </c>
      <c r="I36" s="418">
        <v>9</v>
      </c>
      <c r="J36" s="418">
        <v>2.6</v>
      </c>
      <c r="K36" s="418">
        <v>1</v>
      </c>
      <c r="L36" s="418">
        <v>3</v>
      </c>
      <c r="M36" s="418">
        <f t="shared" si="38"/>
        <v>15.6</v>
      </c>
      <c r="N36" s="420"/>
      <c r="O36" s="420">
        <v>211</v>
      </c>
      <c r="P36" s="420">
        <v>0</v>
      </c>
      <c r="Q36" s="419">
        <v>0</v>
      </c>
      <c r="R36" s="419">
        <v>24</v>
      </c>
      <c r="S36" s="419">
        <v>2</v>
      </c>
      <c r="T36" s="419">
        <v>15</v>
      </c>
      <c r="U36" s="419">
        <v>4</v>
      </c>
      <c r="V36" s="419">
        <f t="shared" si="39"/>
        <v>215</v>
      </c>
      <c r="W36" s="420">
        <v>152</v>
      </c>
      <c r="X36" s="420">
        <v>26</v>
      </c>
      <c r="Y36" s="420">
        <v>5</v>
      </c>
      <c r="Z36" s="420"/>
      <c r="AA36" s="418">
        <f t="shared" si="40"/>
        <v>12</v>
      </c>
      <c r="AB36" s="418">
        <v>0</v>
      </c>
      <c r="AC36" s="418">
        <v>0</v>
      </c>
      <c r="AD36" s="418">
        <v>9</v>
      </c>
      <c r="AE36" s="418">
        <v>3</v>
      </c>
      <c r="AF36" s="418">
        <v>1</v>
      </c>
      <c r="AG36" s="418">
        <v>3</v>
      </c>
      <c r="AH36" s="418">
        <f t="shared" si="41"/>
        <v>16</v>
      </c>
      <c r="AI36" s="420"/>
      <c r="AJ36" s="420">
        <v>222</v>
      </c>
      <c r="AK36" s="420">
        <v>0</v>
      </c>
      <c r="AL36" s="419">
        <v>0</v>
      </c>
      <c r="AM36" s="419">
        <v>24</v>
      </c>
      <c r="AN36" s="419">
        <v>2</v>
      </c>
      <c r="AO36" s="419">
        <v>15</v>
      </c>
      <c r="AP36" s="419">
        <v>5</v>
      </c>
      <c r="AQ36" s="419">
        <f t="shared" si="42"/>
        <v>227</v>
      </c>
      <c r="AR36" s="417">
        <f t="shared" si="43"/>
        <v>131</v>
      </c>
      <c r="AS36" s="417">
        <f t="shared" si="44"/>
        <v>23</v>
      </c>
      <c r="AT36" s="420">
        <f t="shared" si="45"/>
        <v>4.3</v>
      </c>
      <c r="AU36" s="417">
        <f t="shared" si="46"/>
        <v>0</v>
      </c>
      <c r="AV36" s="418">
        <f t="shared" si="47"/>
        <v>11.73</v>
      </c>
      <c r="AW36" s="418">
        <f t="shared" si="48"/>
        <v>0</v>
      </c>
      <c r="AX36" s="418">
        <f t="shared" si="49"/>
        <v>0</v>
      </c>
      <c r="AY36" s="418">
        <f t="shared" si="50"/>
        <v>9</v>
      </c>
      <c r="AZ36" s="418">
        <f t="shared" si="51"/>
        <v>2.73</v>
      </c>
      <c r="BA36" s="418">
        <f t="shared" si="52"/>
        <v>1</v>
      </c>
      <c r="BB36" s="418">
        <f t="shared" si="53"/>
        <v>3</v>
      </c>
      <c r="BC36" s="421">
        <f t="shared" si="54"/>
        <v>15.73</v>
      </c>
      <c r="BD36" s="422">
        <f t="shared" si="55"/>
        <v>0</v>
      </c>
      <c r="BE36" s="417">
        <f t="shared" si="56"/>
        <v>215</v>
      </c>
      <c r="BF36" s="417">
        <f t="shared" si="57"/>
        <v>0</v>
      </c>
      <c r="BG36" s="417">
        <f t="shared" si="58"/>
        <v>0</v>
      </c>
      <c r="BH36" s="417">
        <f t="shared" si="59"/>
        <v>24</v>
      </c>
      <c r="BI36" s="417">
        <f t="shared" si="60"/>
        <v>2</v>
      </c>
      <c r="BJ36" s="417">
        <f t="shared" si="61"/>
        <v>15</v>
      </c>
      <c r="BK36" s="417">
        <f t="shared" si="62"/>
        <v>4</v>
      </c>
      <c r="BL36" s="423">
        <f t="shared" si="63"/>
        <v>219</v>
      </c>
    </row>
    <row r="37" spans="1:64" s="122" customFormat="1" ht="11.25">
      <c r="A37" s="416" t="s">
        <v>237</v>
      </c>
      <c r="B37" s="420">
        <v>107</v>
      </c>
      <c r="C37" s="420">
        <v>47</v>
      </c>
      <c r="D37" s="420">
        <v>4</v>
      </c>
      <c r="E37" s="420"/>
      <c r="F37" s="418">
        <f t="shared" si="37"/>
        <v>6.2</v>
      </c>
      <c r="G37" s="418">
        <v>1.5</v>
      </c>
      <c r="H37" s="418">
        <v>0.1</v>
      </c>
      <c r="I37" s="418">
        <v>3.5</v>
      </c>
      <c r="J37" s="418">
        <v>1.1</v>
      </c>
      <c r="K37" s="418">
        <v>0.8</v>
      </c>
      <c r="L37" s="418">
        <v>1</v>
      </c>
      <c r="M37" s="418">
        <f t="shared" si="38"/>
        <v>8</v>
      </c>
      <c r="N37" s="420"/>
      <c r="O37" s="420">
        <v>111</v>
      </c>
      <c r="P37" s="420">
        <v>0</v>
      </c>
      <c r="Q37" s="419">
        <v>0</v>
      </c>
      <c r="R37" s="419">
        <v>0</v>
      </c>
      <c r="S37" s="419">
        <v>0</v>
      </c>
      <c r="T37" s="419">
        <v>0</v>
      </c>
      <c r="U37" s="419">
        <v>0</v>
      </c>
      <c r="V37" s="419">
        <f t="shared" si="39"/>
        <v>111</v>
      </c>
      <c r="W37" s="420">
        <v>131</v>
      </c>
      <c r="X37" s="420">
        <v>57</v>
      </c>
      <c r="Y37" s="420">
        <v>5</v>
      </c>
      <c r="Z37" s="420"/>
      <c r="AA37" s="418">
        <f t="shared" si="40"/>
        <v>6.1</v>
      </c>
      <c r="AB37" s="418">
        <v>2</v>
      </c>
      <c r="AC37" s="418">
        <v>0</v>
      </c>
      <c r="AD37" s="418">
        <v>3.1</v>
      </c>
      <c r="AE37" s="418">
        <v>1</v>
      </c>
      <c r="AF37" s="418">
        <v>1</v>
      </c>
      <c r="AG37" s="418">
        <v>1</v>
      </c>
      <c r="AH37" s="418">
        <f t="shared" si="41"/>
        <v>8.1</v>
      </c>
      <c r="AI37" s="420"/>
      <c r="AJ37" s="420">
        <v>114</v>
      </c>
      <c r="AK37" s="420">
        <v>0</v>
      </c>
      <c r="AL37" s="419">
        <v>0</v>
      </c>
      <c r="AM37" s="419">
        <v>0</v>
      </c>
      <c r="AN37" s="419">
        <v>0</v>
      </c>
      <c r="AO37" s="419">
        <v>0</v>
      </c>
      <c r="AP37" s="419">
        <v>0</v>
      </c>
      <c r="AQ37" s="419">
        <f t="shared" si="42"/>
        <v>114</v>
      </c>
      <c r="AR37" s="417">
        <f t="shared" si="43"/>
        <v>115</v>
      </c>
      <c r="AS37" s="417">
        <f t="shared" si="44"/>
        <v>50</v>
      </c>
      <c r="AT37" s="420">
        <f t="shared" si="45"/>
        <v>4.3</v>
      </c>
      <c r="AU37" s="417">
        <f t="shared" si="46"/>
        <v>0</v>
      </c>
      <c r="AV37" s="418">
        <f t="shared" si="47"/>
        <v>6.17</v>
      </c>
      <c r="AW37" s="418">
        <f t="shared" si="48"/>
        <v>1.67</v>
      </c>
      <c r="AX37" s="418">
        <f t="shared" si="49"/>
        <v>0.07</v>
      </c>
      <c r="AY37" s="418">
        <f t="shared" si="50"/>
        <v>3.37</v>
      </c>
      <c r="AZ37" s="418">
        <f t="shared" si="51"/>
        <v>1.07</v>
      </c>
      <c r="BA37" s="418">
        <f t="shared" si="52"/>
        <v>0.87</v>
      </c>
      <c r="BB37" s="418">
        <f t="shared" si="53"/>
        <v>1</v>
      </c>
      <c r="BC37" s="421">
        <f t="shared" si="54"/>
        <v>8.03</v>
      </c>
      <c r="BD37" s="422">
        <f t="shared" si="55"/>
        <v>0</v>
      </c>
      <c r="BE37" s="417">
        <f t="shared" si="56"/>
        <v>112</v>
      </c>
      <c r="BF37" s="417">
        <f t="shared" si="57"/>
        <v>0</v>
      </c>
      <c r="BG37" s="417">
        <f t="shared" si="58"/>
        <v>0</v>
      </c>
      <c r="BH37" s="417">
        <f t="shared" si="59"/>
        <v>0</v>
      </c>
      <c r="BI37" s="417">
        <f t="shared" si="60"/>
        <v>0</v>
      </c>
      <c r="BJ37" s="417">
        <f t="shared" si="61"/>
        <v>0</v>
      </c>
      <c r="BK37" s="417">
        <f t="shared" si="62"/>
        <v>0</v>
      </c>
      <c r="BL37" s="423">
        <f t="shared" si="63"/>
        <v>112</v>
      </c>
    </row>
    <row r="38" spans="1:64" s="122" customFormat="1" ht="11.25">
      <c r="A38" s="416" t="s">
        <v>238</v>
      </c>
      <c r="B38" s="420">
        <v>63</v>
      </c>
      <c r="C38" s="420">
        <v>10</v>
      </c>
      <c r="D38" s="420">
        <v>2</v>
      </c>
      <c r="E38" s="420"/>
      <c r="F38" s="418">
        <f t="shared" si="37"/>
        <v>5.23</v>
      </c>
      <c r="G38" s="418">
        <v>0.56</v>
      </c>
      <c r="H38" s="418">
        <v>0</v>
      </c>
      <c r="I38" s="418">
        <v>4.67</v>
      </c>
      <c r="J38" s="418">
        <v>0</v>
      </c>
      <c r="K38" s="418">
        <v>0</v>
      </c>
      <c r="L38" s="418">
        <v>0</v>
      </c>
      <c r="M38" s="418">
        <f t="shared" si="38"/>
        <v>5.23</v>
      </c>
      <c r="N38" s="420"/>
      <c r="O38" s="420">
        <v>90</v>
      </c>
      <c r="P38" s="420">
        <v>0</v>
      </c>
      <c r="Q38" s="419">
        <v>0</v>
      </c>
      <c r="R38" s="419">
        <v>0</v>
      </c>
      <c r="S38" s="419">
        <v>0</v>
      </c>
      <c r="T38" s="419">
        <v>0</v>
      </c>
      <c r="U38" s="419">
        <v>0</v>
      </c>
      <c r="V38" s="419">
        <f t="shared" si="39"/>
        <v>90</v>
      </c>
      <c r="W38" s="420">
        <v>85</v>
      </c>
      <c r="X38" s="420">
        <v>18</v>
      </c>
      <c r="Y38" s="420">
        <v>3</v>
      </c>
      <c r="Z38" s="420"/>
      <c r="AA38" s="418">
        <f t="shared" si="40"/>
        <v>7.58</v>
      </c>
      <c r="AB38" s="418">
        <v>1.78</v>
      </c>
      <c r="AC38" s="418">
        <v>0</v>
      </c>
      <c r="AD38" s="418">
        <v>3.52</v>
      </c>
      <c r="AE38" s="418">
        <v>2.28</v>
      </c>
      <c r="AF38" s="418">
        <v>0</v>
      </c>
      <c r="AG38" s="418">
        <v>0</v>
      </c>
      <c r="AH38" s="418">
        <f t="shared" si="41"/>
        <v>7.58</v>
      </c>
      <c r="AI38" s="420"/>
      <c r="AJ38" s="420">
        <v>129</v>
      </c>
      <c r="AK38" s="420">
        <v>0</v>
      </c>
      <c r="AL38" s="419">
        <v>0</v>
      </c>
      <c r="AM38" s="419">
        <v>0</v>
      </c>
      <c r="AN38" s="419">
        <v>0</v>
      </c>
      <c r="AO38" s="419">
        <v>0</v>
      </c>
      <c r="AP38" s="419">
        <v>0</v>
      </c>
      <c r="AQ38" s="419">
        <f t="shared" si="42"/>
        <v>129</v>
      </c>
      <c r="AR38" s="417">
        <f t="shared" si="43"/>
        <v>70</v>
      </c>
      <c r="AS38" s="417">
        <f t="shared" si="44"/>
        <v>13</v>
      </c>
      <c r="AT38" s="420">
        <f t="shared" si="45"/>
        <v>2.3</v>
      </c>
      <c r="AU38" s="417">
        <f t="shared" si="46"/>
        <v>0</v>
      </c>
      <c r="AV38" s="418">
        <f t="shared" si="47"/>
        <v>6.01</v>
      </c>
      <c r="AW38" s="418">
        <f t="shared" si="48"/>
        <v>0.97</v>
      </c>
      <c r="AX38" s="418">
        <f t="shared" si="49"/>
        <v>0</v>
      </c>
      <c r="AY38" s="418">
        <f t="shared" si="50"/>
        <v>4.29</v>
      </c>
      <c r="AZ38" s="418">
        <f t="shared" si="51"/>
        <v>0.76</v>
      </c>
      <c r="BA38" s="418">
        <f t="shared" si="52"/>
        <v>0</v>
      </c>
      <c r="BB38" s="418">
        <f t="shared" si="53"/>
        <v>0</v>
      </c>
      <c r="BC38" s="421">
        <f t="shared" si="54"/>
        <v>6.01</v>
      </c>
      <c r="BD38" s="422">
        <f t="shared" si="55"/>
        <v>0</v>
      </c>
      <c r="BE38" s="417">
        <f t="shared" si="56"/>
        <v>103</v>
      </c>
      <c r="BF38" s="417">
        <f t="shared" si="57"/>
        <v>0</v>
      </c>
      <c r="BG38" s="417">
        <f t="shared" si="58"/>
        <v>0</v>
      </c>
      <c r="BH38" s="417">
        <f t="shared" si="59"/>
        <v>0</v>
      </c>
      <c r="BI38" s="417">
        <f t="shared" si="60"/>
        <v>0</v>
      </c>
      <c r="BJ38" s="417">
        <f t="shared" si="61"/>
        <v>0</v>
      </c>
      <c r="BK38" s="417">
        <f t="shared" si="62"/>
        <v>0</v>
      </c>
      <c r="BL38" s="423">
        <f t="shared" si="63"/>
        <v>103</v>
      </c>
    </row>
    <row r="39" spans="1:64" s="122" customFormat="1" ht="11.25">
      <c r="A39" s="416" t="s">
        <v>239</v>
      </c>
      <c r="B39" s="420">
        <v>258</v>
      </c>
      <c r="C39" s="420">
        <v>53</v>
      </c>
      <c r="D39" s="420">
        <v>11</v>
      </c>
      <c r="E39" s="420"/>
      <c r="F39" s="418">
        <f t="shared" si="37"/>
        <v>34.6</v>
      </c>
      <c r="G39" s="418">
        <v>0</v>
      </c>
      <c r="H39" s="418">
        <v>6.9</v>
      </c>
      <c r="I39" s="418">
        <v>18.3</v>
      </c>
      <c r="J39" s="418">
        <v>9.4</v>
      </c>
      <c r="K39" s="418">
        <v>3</v>
      </c>
      <c r="L39" s="418">
        <v>2.5</v>
      </c>
      <c r="M39" s="418">
        <f t="shared" si="38"/>
        <v>40.1</v>
      </c>
      <c r="N39" s="420"/>
      <c r="O39" s="420">
        <v>584</v>
      </c>
      <c r="P39" s="420">
        <v>0</v>
      </c>
      <c r="Q39" s="419">
        <v>0</v>
      </c>
      <c r="R39" s="419">
        <v>0</v>
      </c>
      <c r="S39" s="419">
        <v>0</v>
      </c>
      <c r="T39" s="419">
        <v>80</v>
      </c>
      <c r="U39" s="419">
        <v>5</v>
      </c>
      <c r="V39" s="419">
        <f t="shared" si="39"/>
        <v>589</v>
      </c>
      <c r="W39" s="420">
        <v>322</v>
      </c>
      <c r="X39" s="420">
        <v>84</v>
      </c>
      <c r="Y39" s="420">
        <v>15</v>
      </c>
      <c r="Z39" s="420"/>
      <c r="AA39" s="418">
        <f t="shared" si="40"/>
        <v>40.9</v>
      </c>
      <c r="AB39" s="418">
        <v>1.1</v>
      </c>
      <c r="AC39" s="418">
        <v>3.8</v>
      </c>
      <c r="AD39" s="418">
        <v>20</v>
      </c>
      <c r="AE39" s="418">
        <v>16</v>
      </c>
      <c r="AF39" s="418">
        <v>4</v>
      </c>
      <c r="AG39" s="418">
        <v>5</v>
      </c>
      <c r="AH39" s="418">
        <f t="shared" si="41"/>
        <v>49.9</v>
      </c>
      <c r="AI39" s="420"/>
      <c r="AJ39" s="420">
        <v>667</v>
      </c>
      <c r="AK39" s="420">
        <v>0</v>
      </c>
      <c r="AL39" s="419">
        <v>0</v>
      </c>
      <c r="AM39" s="419">
        <v>9</v>
      </c>
      <c r="AN39" s="419">
        <v>1</v>
      </c>
      <c r="AO39" s="419">
        <v>50</v>
      </c>
      <c r="AP39" s="419">
        <v>12</v>
      </c>
      <c r="AQ39" s="419">
        <f t="shared" si="42"/>
        <v>679</v>
      </c>
      <c r="AR39" s="417">
        <f t="shared" si="43"/>
        <v>279</v>
      </c>
      <c r="AS39" s="417">
        <f t="shared" si="44"/>
        <v>63</v>
      </c>
      <c r="AT39" s="420">
        <f t="shared" si="45"/>
        <v>12.3</v>
      </c>
      <c r="AU39" s="417">
        <f t="shared" si="46"/>
        <v>0</v>
      </c>
      <c r="AV39" s="418">
        <f t="shared" si="47"/>
        <v>36.7</v>
      </c>
      <c r="AW39" s="418">
        <f t="shared" si="48"/>
        <v>0.37</v>
      </c>
      <c r="AX39" s="418">
        <f t="shared" si="49"/>
        <v>5.87</v>
      </c>
      <c r="AY39" s="418">
        <f t="shared" si="50"/>
        <v>18.87</v>
      </c>
      <c r="AZ39" s="418">
        <f t="shared" si="51"/>
        <v>11.6</v>
      </c>
      <c r="BA39" s="418">
        <f t="shared" si="52"/>
        <v>3.33</v>
      </c>
      <c r="BB39" s="418">
        <f t="shared" si="53"/>
        <v>3.33</v>
      </c>
      <c r="BC39" s="421">
        <f t="shared" si="54"/>
        <v>43.37</v>
      </c>
      <c r="BD39" s="422">
        <f t="shared" si="55"/>
        <v>0</v>
      </c>
      <c r="BE39" s="417">
        <f t="shared" si="56"/>
        <v>612</v>
      </c>
      <c r="BF39" s="417">
        <f t="shared" si="57"/>
        <v>0</v>
      </c>
      <c r="BG39" s="417">
        <f t="shared" si="58"/>
        <v>0</v>
      </c>
      <c r="BH39" s="417">
        <f t="shared" si="59"/>
        <v>3</v>
      </c>
      <c r="BI39" s="417">
        <f t="shared" si="60"/>
        <v>0</v>
      </c>
      <c r="BJ39" s="417">
        <f t="shared" si="61"/>
        <v>70</v>
      </c>
      <c r="BK39" s="417">
        <f t="shared" si="62"/>
        <v>7</v>
      </c>
      <c r="BL39" s="423">
        <f t="shared" si="63"/>
        <v>619</v>
      </c>
    </row>
    <row r="40" spans="1:64" s="122" customFormat="1" ht="11.25">
      <c r="A40" s="416" t="s">
        <v>240</v>
      </c>
      <c r="B40" s="420">
        <v>91</v>
      </c>
      <c r="C40" s="420">
        <v>19</v>
      </c>
      <c r="D40" s="420">
        <v>3</v>
      </c>
      <c r="E40" s="420"/>
      <c r="F40" s="418">
        <f t="shared" si="37"/>
        <v>5.4</v>
      </c>
      <c r="G40" s="418">
        <v>0.8</v>
      </c>
      <c r="H40" s="418">
        <v>2</v>
      </c>
      <c r="I40" s="418">
        <v>1.8</v>
      </c>
      <c r="J40" s="418">
        <v>0.8</v>
      </c>
      <c r="K40" s="418">
        <v>0.5</v>
      </c>
      <c r="L40" s="418">
        <v>1</v>
      </c>
      <c r="M40" s="418">
        <f t="shared" si="38"/>
        <v>6.9</v>
      </c>
      <c r="N40" s="420"/>
      <c r="O40" s="420">
        <v>81</v>
      </c>
      <c r="P40" s="420">
        <v>0</v>
      </c>
      <c r="Q40" s="419">
        <v>0</v>
      </c>
      <c r="R40" s="419">
        <v>0</v>
      </c>
      <c r="S40" s="419">
        <v>0</v>
      </c>
      <c r="T40" s="419">
        <v>6</v>
      </c>
      <c r="U40" s="419">
        <v>0</v>
      </c>
      <c r="V40" s="419">
        <f t="shared" si="39"/>
        <v>81</v>
      </c>
      <c r="W40" s="420">
        <v>117</v>
      </c>
      <c r="X40" s="420">
        <v>39</v>
      </c>
      <c r="Y40" s="420">
        <v>4</v>
      </c>
      <c r="Z40" s="420"/>
      <c r="AA40" s="418">
        <f t="shared" si="40"/>
        <v>10.3</v>
      </c>
      <c r="AB40" s="418">
        <v>1.3</v>
      </c>
      <c r="AC40" s="418">
        <v>3.1</v>
      </c>
      <c r="AD40" s="418">
        <v>3.8</v>
      </c>
      <c r="AE40" s="418">
        <v>2.1</v>
      </c>
      <c r="AF40" s="418">
        <v>0.5</v>
      </c>
      <c r="AG40" s="418">
        <v>1</v>
      </c>
      <c r="AH40" s="418">
        <f t="shared" si="41"/>
        <v>11.8</v>
      </c>
      <c r="AI40" s="420"/>
      <c r="AJ40" s="420">
        <v>190</v>
      </c>
      <c r="AK40" s="420">
        <v>0</v>
      </c>
      <c r="AL40" s="419">
        <v>0</v>
      </c>
      <c r="AM40" s="419">
        <v>0</v>
      </c>
      <c r="AN40" s="419">
        <v>0</v>
      </c>
      <c r="AO40" s="419">
        <v>10</v>
      </c>
      <c r="AP40" s="419">
        <v>3</v>
      </c>
      <c r="AQ40" s="419">
        <f t="shared" si="42"/>
        <v>193</v>
      </c>
      <c r="AR40" s="417">
        <f t="shared" si="43"/>
        <v>100</v>
      </c>
      <c r="AS40" s="417">
        <f t="shared" si="44"/>
        <v>26</v>
      </c>
      <c r="AT40" s="420">
        <f t="shared" si="45"/>
        <v>3.3</v>
      </c>
      <c r="AU40" s="417">
        <f t="shared" si="46"/>
        <v>0</v>
      </c>
      <c r="AV40" s="418">
        <f t="shared" si="47"/>
        <v>7.03</v>
      </c>
      <c r="AW40" s="418">
        <f t="shared" si="48"/>
        <v>0.97</v>
      </c>
      <c r="AX40" s="418">
        <f t="shared" si="49"/>
        <v>2.37</v>
      </c>
      <c r="AY40" s="418">
        <f t="shared" si="50"/>
        <v>2.47</v>
      </c>
      <c r="AZ40" s="418">
        <f t="shared" si="51"/>
        <v>1.23</v>
      </c>
      <c r="BA40" s="418">
        <f t="shared" si="52"/>
        <v>0.5</v>
      </c>
      <c r="BB40" s="418">
        <f t="shared" si="53"/>
        <v>1</v>
      </c>
      <c r="BC40" s="421">
        <f t="shared" si="54"/>
        <v>8.53</v>
      </c>
      <c r="BD40" s="422">
        <f t="shared" si="55"/>
        <v>0</v>
      </c>
      <c r="BE40" s="417">
        <f t="shared" si="56"/>
        <v>117</v>
      </c>
      <c r="BF40" s="417">
        <f t="shared" si="57"/>
        <v>0</v>
      </c>
      <c r="BG40" s="417">
        <f t="shared" si="58"/>
        <v>0</v>
      </c>
      <c r="BH40" s="417">
        <f t="shared" si="59"/>
        <v>0</v>
      </c>
      <c r="BI40" s="417">
        <f t="shared" si="60"/>
        <v>0</v>
      </c>
      <c r="BJ40" s="417">
        <f t="shared" si="61"/>
        <v>7</v>
      </c>
      <c r="BK40" s="417">
        <f t="shared" si="62"/>
        <v>1</v>
      </c>
      <c r="BL40" s="423">
        <f t="shared" si="63"/>
        <v>118</v>
      </c>
    </row>
    <row r="41" spans="1:64" s="122" customFormat="1" ht="11.25">
      <c r="A41" s="424" t="s">
        <v>241</v>
      </c>
      <c r="B41" s="428">
        <v>57</v>
      </c>
      <c r="C41" s="428">
        <v>10</v>
      </c>
      <c r="D41" s="428">
        <v>2</v>
      </c>
      <c r="E41" s="428"/>
      <c r="F41" s="426">
        <f t="shared" si="37"/>
        <v>4.39</v>
      </c>
      <c r="G41" s="426">
        <v>0</v>
      </c>
      <c r="H41" s="426">
        <v>1</v>
      </c>
      <c r="I41" s="426">
        <v>3.39</v>
      </c>
      <c r="J41" s="426">
        <v>0</v>
      </c>
      <c r="K41" s="426">
        <v>0</v>
      </c>
      <c r="L41" s="426">
        <v>0</v>
      </c>
      <c r="M41" s="426">
        <f t="shared" si="38"/>
        <v>4.39</v>
      </c>
      <c r="N41" s="428"/>
      <c r="O41" s="428">
        <v>74</v>
      </c>
      <c r="P41" s="428">
        <v>0</v>
      </c>
      <c r="Q41" s="427">
        <v>0</v>
      </c>
      <c r="R41" s="427">
        <v>0</v>
      </c>
      <c r="S41" s="427">
        <v>0</v>
      </c>
      <c r="T41" s="427">
        <v>0</v>
      </c>
      <c r="U41" s="427">
        <v>5</v>
      </c>
      <c r="V41" s="427">
        <f t="shared" si="39"/>
        <v>79</v>
      </c>
      <c r="W41" s="428">
        <v>83</v>
      </c>
      <c r="X41" s="428">
        <v>11</v>
      </c>
      <c r="Y41" s="428">
        <v>3</v>
      </c>
      <c r="Z41" s="428"/>
      <c r="AA41" s="426">
        <f t="shared" si="40"/>
        <v>4.95</v>
      </c>
      <c r="AB41" s="426">
        <v>0</v>
      </c>
      <c r="AC41" s="426">
        <v>1.28</v>
      </c>
      <c r="AD41" s="426">
        <v>2.28</v>
      </c>
      <c r="AE41" s="426">
        <v>1.39</v>
      </c>
      <c r="AF41" s="426">
        <v>0</v>
      </c>
      <c r="AG41" s="426">
        <v>0</v>
      </c>
      <c r="AH41" s="426">
        <f t="shared" si="41"/>
        <v>4.95</v>
      </c>
      <c r="AI41" s="428"/>
      <c r="AJ41" s="428">
        <v>89</v>
      </c>
      <c r="AK41" s="428">
        <v>0</v>
      </c>
      <c r="AL41" s="427">
        <v>0</v>
      </c>
      <c r="AM41" s="427">
        <v>0</v>
      </c>
      <c r="AN41" s="427">
        <v>0</v>
      </c>
      <c r="AO41" s="427">
        <v>0</v>
      </c>
      <c r="AP41" s="427">
        <v>0</v>
      </c>
      <c r="AQ41" s="427">
        <f t="shared" si="42"/>
        <v>89</v>
      </c>
      <c r="AR41" s="425">
        <f t="shared" si="43"/>
        <v>66</v>
      </c>
      <c r="AS41" s="425">
        <f t="shared" si="44"/>
        <v>10</v>
      </c>
      <c r="AT41" s="428">
        <f t="shared" si="45"/>
        <v>2.3</v>
      </c>
      <c r="AU41" s="425">
        <f t="shared" si="46"/>
        <v>0</v>
      </c>
      <c r="AV41" s="426">
        <f t="shared" si="47"/>
        <v>4.58</v>
      </c>
      <c r="AW41" s="426">
        <f t="shared" si="48"/>
        <v>0</v>
      </c>
      <c r="AX41" s="426">
        <f t="shared" si="49"/>
        <v>1.09</v>
      </c>
      <c r="AY41" s="426">
        <f t="shared" si="50"/>
        <v>3.02</v>
      </c>
      <c r="AZ41" s="426">
        <f t="shared" si="51"/>
        <v>0.46</v>
      </c>
      <c r="BA41" s="426">
        <f t="shared" si="52"/>
        <v>0</v>
      </c>
      <c r="BB41" s="426">
        <f t="shared" si="53"/>
        <v>0</v>
      </c>
      <c r="BC41" s="429">
        <f t="shared" si="54"/>
        <v>4.58</v>
      </c>
      <c r="BD41" s="430">
        <f t="shared" si="55"/>
        <v>0</v>
      </c>
      <c r="BE41" s="425">
        <f t="shared" si="56"/>
        <v>79</v>
      </c>
      <c r="BF41" s="425">
        <f t="shared" si="57"/>
        <v>0</v>
      </c>
      <c r="BG41" s="425">
        <f t="shared" si="58"/>
        <v>0</v>
      </c>
      <c r="BH41" s="425">
        <f t="shared" si="59"/>
        <v>0</v>
      </c>
      <c r="BI41" s="425">
        <f t="shared" si="60"/>
        <v>0</v>
      </c>
      <c r="BJ41" s="425">
        <f t="shared" si="61"/>
        <v>0</v>
      </c>
      <c r="BK41" s="425">
        <f t="shared" si="62"/>
        <v>3</v>
      </c>
      <c r="BL41" s="431">
        <f t="shared" si="63"/>
        <v>82</v>
      </c>
    </row>
    <row r="42" spans="1:64" s="122" customFormat="1" ht="14.25" customHeight="1">
      <c r="A42" s="432" t="s">
        <v>242</v>
      </c>
      <c r="B42" s="433">
        <f aca="true" t="shared" si="68" ref="B42:AG42">SUM(B35:B41)</f>
        <v>809</v>
      </c>
      <c r="C42" s="433">
        <f t="shared" si="68"/>
        <v>172</v>
      </c>
      <c r="D42" s="433">
        <f t="shared" si="68"/>
        <v>30</v>
      </c>
      <c r="E42" s="433">
        <f t="shared" si="68"/>
        <v>0</v>
      </c>
      <c r="F42" s="433">
        <f t="shared" si="68"/>
        <v>77.8</v>
      </c>
      <c r="G42" s="433">
        <f t="shared" si="68"/>
        <v>2.9</v>
      </c>
      <c r="H42" s="433">
        <f t="shared" si="68"/>
        <v>11.6</v>
      </c>
      <c r="I42" s="433">
        <f t="shared" si="68"/>
        <v>46.1</v>
      </c>
      <c r="J42" s="433">
        <f t="shared" si="68"/>
        <v>17.4</v>
      </c>
      <c r="K42" s="433">
        <f t="shared" si="68"/>
        <v>7.1</v>
      </c>
      <c r="L42" s="433">
        <f t="shared" si="68"/>
        <v>10</v>
      </c>
      <c r="M42" s="433">
        <f t="shared" si="68"/>
        <v>94.9</v>
      </c>
      <c r="N42" s="433">
        <f t="shared" si="68"/>
        <v>0</v>
      </c>
      <c r="O42" s="433">
        <f t="shared" si="68"/>
        <v>1368</v>
      </c>
      <c r="P42" s="433">
        <f t="shared" si="68"/>
        <v>0</v>
      </c>
      <c r="Q42" s="433">
        <f t="shared" si="68"/>
        <v>0</v>
      </c>
      <c r="R42" s="433">
        <f t="shared" si="68"/>
        <v>24</v>
      </c>
      <c r="S42" s="433">
        <f t="shared" si="68"/>
        <v>2</v>
      </c>
      <c r="T42" s="433">
        <f t="shared" si="68"/>
        <v>151</v>
      </c>
      <c r="U42" s="433">
        <f t="shared" si="68"/>
        <v>19</v>
      </c>
      <c r="V42" s="433">
        <f t="shared" si="68"/>
        <v>1387</v>
      </c>
      <c r="W42" s="433">
        <f t="shared" si="68"/>
        <v>1062</v>
      </c>
      <c r="X42" s="433">
        <f t="shared" si="68"/>
        <v>256</v>
      </c>
      <c r="Y42" s="433">
        <f t="shared" si="68"/>
        <v>41</v>
      </c>
      <c r="Z42" s="433">
        <f t="shared" si="68"/>
        <v>0</v>
      </c>
      <c r="AA42" s="433">
        <f t="shared" si="68"/>
        <v>96.5</v>
      </c>
      <c r="AB42" s="433">
        <f t="shared" si="68"/>
        <v>6.8</v>
      </c>
      <c r="AC42" s="433">
        <f t="shared" si="68"/>
        <v>9.9</v>
      </c>
      <c r="AD42" s="433">
        <f t="shared" si="68"/>
        <v>50.7</v>
      </c>
      <c r="AE42" s="433">
        <f t="shared" si="68"/>
        <v>29.1</v>
      </c>
      <c r="AF42" s="433">
        <f t="shared" si="68"/>
        <v>8.3</v>
      </c>
      <c r="AG42" s="433">
        <f t="shared" si="68"/>
        <v>12.5</v>
      </c>
      <c r="AH42" s="433">
        <f aca="true" t="shared" si="69" ref="AH42:BL42">SUM(AH35:AH41)</f>
        <v>117.3</v>
      </c>
      <c r="AI42" s="433">
        <f t="shared" si="69"/>
        <v>0</v>
      </c>
      <c r="AJ42" s="433">
        <f t="shared" si="69"/>
        <v>1668</v>
      </c>
      <c r="AK42" s="433">
        <f t="shared" si="69"/>
        <v>0</v>
      </c>
      <c r="AL42" s="433">
        <f t="shared" si="69"/>
        <v>0</v>
      </c>
      <c r="AM42" s="433">
        <f t="shared" si="69"/>
        <v>33</v>
      </c>
      <c r="AN42" s="433">
        <f t="shared" si="69"/>
        <v>3</v>
      </c>
      <c r="AO42" s="433">
        <f t="shared" si="69"/>
        <v>125</v>
      </c>
      <c r="AP42" s="433">
        <f t="shared" si="69"/>
        <v>24</v>
      </c>
      <c r="AQ42" s="433">
        <f t="shared" si="69"/>
        <v>1692</v>
      </c>
      <c r="AR42" s="434">
        <f t="shared" si="69"/>
        <v>893</v>
      </c>
      <c r="AS42" s="433">
        <f t="shared" si="69"/>
        <v>200</v>
      </c>
      <c r="AT42" s="433">
        <f t="shared" si="69"/>
        <v>33.5</v>
      </c>
      <c r="AU42" s="433">
        <f t="shared" si="69"/>
        <v>0</v>
      </c>
      <c r="AV42" s="435">
        <f t="shared" si="69"/>
        <v>84.05</v>
      </c>
      <c r="AW42" s="435">
        <f t="shared" si="69"/>
        <v>4.18</v>
      </c>
      <c r="AX42" s="435">
        <f t="shared" si="69"/>
        <v>10.99</v>
      </c>
      <c r="AY42" s="435">
        <f t="shared" si="69"/>
        <v>47.63</v>
      </c>
      <c r="AZ42" s="435">
        <f t="shared" si="69"/>
        <v>21.28</v>
      </c>
      <c r="BA42" s="435">
        <f t="shared" si="69"/>
        <v>7.45</v>
      </c>
      <c r="BB42" s="435">
        <f t="shared" si="69"/>
        <v>10.83</v>
      </c>
      <c r="BC42" s="436">
        <f t="shared" si="69"/>
        <v>102.33</v>
      </c>
      <c r="BD42" s="437">
        <f t="shared" si="69"/>
        <v>0</v>
      </c>
      <c r="BE42" s="434">
        <f t="shared" si="69"/>
        <v>1468</v>
      </c>
      <c r="BF42" s="434">
        <f t="shared" si="69"/>
        <v>0</v>
      </c>
      <c r="BG42" s="434">
        <f t="shared" si="69"/>
        <v>0</v>
      </c>
      <c r="BH42" s="434">
        <f t="shared" si="69"/>
        <v>27</v>
      </c>
      <c r="BI42" s="434">
        <f t="shared" si="69"/>
        <v>2</v>
      </c>
      <c r="BJ42" s="434">
        <f t="shared" si="69"/>
        <v>142</v>
      </c>
      <c r="BK42" s="434">
        <f t="shared" si="69"/>
        <v>20</v>
      </c>
      <c r="BL42" s="438">
        <f t="shared" si="69"/>
        <v>1488</v>
      </c>
    </row>
    <row r="43" spans="1:64" s="89" customFormat="1" ht="11.25">
      <c r="A43" s="467" t="s">
        <v>243</v>
      </c>
      <c r="B43" s="440">
        <v>873</v>
      </c>
      <c r="C43" s="440">
        <v>265</v>
      </c>
      <c r="D43" s="441">
        <v>31</v>
      </c>
      <c r="E43" s="441">
        <v>73</v>
      </c>
      <c r="F43" s="441">
        <f aca="true" t="shared" si="70" ref="F43:F53">G43+H43+I43+J43</f>
        <v>69.11</v>
      </c>
      <c r="G43" s="441">
        <v>10.48</v>
      </c>
      <c r="H43" s="441">
        <v>14.99</v>
      </c>
      <c r="I43" s="441">
        <v>36.48</v>
      </c>
      <c r="J43" s="441">
        <v>7.16</v>
      </c>
      <c r="K43" s="441">
        <v>5</v>
      </c>
      <c r="L43" s="441">
        <v>11.5</v>
      </c>
      <c r="M43" s="441">
        <f aca="true" t="shared" si="71" ref="M43:M53">F43+K43+L43</f>
        <v>85.61</v>
      </c>
      <c r="N43" s="440">
        <v>1301</v>
      </c>
      <c r="O43" s="440">
        <v>1228</v>
      </c>
      <c r="P43" s="440">
        <v>0</v>
      </c>
      <c r="Q43" s="442">
        <v>0</v>
      </c>
      <c r="R43" s="442">
        <v>0</v>
      </c>
      <c r="S43" s="442">
        <v>0</v>
      </c>
      <c r="T43" s="442">
        <v>80</v>
      </c>
      <c r="U43" s="442">
        <v>18</v>
      </c>
      <c r="V43" s="442">
        <f aca="true" t="shared" si="72" ref="V43:V53">O43+U43</f>
        <v>1246</v>
      </c>
      <c r="W43" s="440">
        <v>745</v>
      </c>
      <c r="X43" s="440">
        <v>219</v>
      </c>
      <c r="Y43" s="441">
        <v>25</v>
      </c>
      <c r="Z43" s="441">
        <v>73</v>
      </c>
      <c r="AA43" s="441">
        <f aca="true" t="shared" si="73" ref="AA43:AA53">AB43+AC43+AD43+AE43</f>
        <v>63.25</v>
      </c>
      <c r="AB43" s="441">
        <v>0.33</v>
      </c>
      <c r="AC43" s="441">
        <v>21.57</v>
      </c>
      <c r="AD43" s="441">
        <v>34.41</v>
      </c>
      <c r="AE43" s="441">
        <v>6.94</v>
      </c>
      <c r="AF43" s="441">
        <v>5</v>
      </c>
      <c r="AG43" s="441">
        <v>11.5</v>
      </c>
      <c r="AH43" s="441">
        <f aca="true" t="shared" si="74" ref="AH43:AH53">AA43+AF43+AG43</f>
        <v>79.75</v>
      </c>
      <c r="AI43" s="440">
        <v>1301</v>
      </c>
      <c r="AJ43" s="440">
        <v>1136</v>
      </c>
      <c r="AK43" s="440">
        <v>0</v>
      </c>
      <c r="AL43" s="442">
        <v>0</v>
      </c>
      <c r="AM43" s="442">
        <v>0</v>
      </c>
      <c r="AN43" s="442">
        <v>0</v>
      </c>
      <c r="AO43" s="442">
        <v>80</v>
      </c>
      <c r="AP43" s="442">
        <v>18</v>
      </c>
      <c r="AQ43" s="442">
        <f aca="true" t="shared" si="75" ref="AQ43:AQ53">AJ43+AP43</f>
        <v>1154</v>
      </c>
      <c r="AR43" s="440">
        <f aca="true" t="shared" si="76" ref="AR43:AR53">(B43*8+W43*4)/12</f>
        <v>830</v>
      </c>
      <c r="AS43" s="440">
        <f aca="true" t="shared" si="77" ref="AS43:AS53">(C43*8+X43*4)/12</f>
        <v>250</v>
      </c>
      <c r="AT43" s="443">
        <f aca="true" t="shared" si="78" ref="AT43:AT53">(D43*8+Y43*4)/12</f>
        <v>29</v>
      </c>
      <c r="AU43" s="440">
        <f aca="true" t="shared" si="79" ref="AU43:AU53">(E43*8+Z43*4)/12</f>
        <v>73</v>
      </c>
      <c r="AV43" s="441">
        <f aca="true" t="shared" si="80" ref="AV43:AV53">(F43*8+AA43*4)/12</f>
        <v>67.16</v>
      </c>
      <c r="AW43" s="441">
        <f aca="true" t="shared" si="81" ref="AW43:AW53">(G43*8+AB43*4)/12</f>
        <v>7.1</v>
      </c>
      <c r="AX43" s="441">
        <f aca="true" t="shared" si="82" ref="AX43:AX53">(H43*8+AC43*4)/12</f>
        <v>17.18</v>
      </c>
      <c r="AY43" s="441">
        <f aca="true" t="shared" si="83" ref="AY43:AY53">(I43*8+AD43*4)/12</f>
        <v>35.79</v>
      </c>
      <c r="AZ43" s="441">
        <f aca="true" t="shared" si="84" ref="AZ43:AZ53">(J43*8+AE43*4)/12</f>
        <v>7.09</v>
      </c>
      <c r="BA43" s="441">
        <f aca="true" t="shared" si="85" ref="BA43:BA53">(K43*8+AF43*4)/12</f>
        <v>5</v>
      </c>
      <c r="BB43" s="441">
        <f aca="true" t="shared" si="86" ref="BB43:BB53">(L43*8+AG43*4)/12</f>
        <v>11.5</v>
      </c>
      <c r="BC43" s="444">
        <f aca="true" t="shared" si="87" ref="BC43:BC53">(M43*8+AH43*4)/12</f>
        <v>83.66</v>
      </c>
      <c r="BD43" s="445">
        <f aca="true" t="shared" si="88" ref="BD43:BD53">(N43*8+AI43*4)/12</f>
        <v>1301</v>
      </c>
      <c r="BE43" s="440">
        <f aca="true" t="shared" si="89" ref="BE43:BE53">(O43*8+AJ43*4)/12</f>
        <v>1197</v>
      </c>
      <c r="BF43" s="440">
        <f aca="true" t="shared" si="90" ref="BF43:BF53">(P43*8+AK43*4)/12</f>
        <v>0</v>
      </c>
      <c r="BG43" s="440">
        <f aca="true" t="shared" si="91" ref="BG43:BG53">(Q43*8+AL43*4)/12</f>
        <v>0</v>
      </c>
      <c r="BH43" s="440">
        <f aca="true" t="shared" si="92" ref="BH43:BH53">(R43*8+AM43*4)/12</f>
        <v>0</v>
      </c>
      <c r="BI43" s="440">
        <f aca="true" t="shared" si="93" ref="BI43:BI53">(S43*8+AN43*4)/12</f>
        <v>0</v>
      </c>
      <c r="BJ43" s="440">
        <f aca="true" t="shared" si="94" ref="BJ43:BJ53">(T43*8+AO43*4)/12</f>
        <v>80</v>
      </c>
      <c r="BK43" s="440">
        <f aca="true" t="shared" si="95" ref="BK43:BK53">(U43*8+AP43*4)/12</f>
        <v>18</v>
      </c>
      <c r="BL43" s="446">
        <f aca="true" t="shared" si="96" ref="BL43:BL53">BE43+BK43</f>
        <v>1215</v>
      </c>
    </row>
    <row r="44" spans="1:64" s="89" customFormat="1" ht="11.25">
      <c r="A44" s="416" t="s">
        <v>187</v>
      </c>
      <c r="B44" s="417">
        <v>412</v>
      </c>
      <c r="C44" s="417">
        <v>148</v>
      </c>
      <c r="D44" s="418">
        <v>16</v>
      </c>
      <c r="E44" s="418">
        <v>32.35</v>
      </c>
      <c r="F44" s="418">
        <f t="shared" si="70"/>
        <v>30.36</v>
      </c>
      <c r="G44" s="418">
        <v>0.9</v>
      </c>
      <c r="H44" s="418">
        <v>6.06</v>
      </c>
      <c r="I44" s="418">
        <v>19.11</v>
      </c>
      <c r="J44" s="418">
        <v>4.29</v>
      </c>
      <c r="K44" s="418">
        <v>5</v>
      </c>
      <c r="L44" s="418">
        <v>10</v>
      </c>
      <c r="M44" s="418">
        <f t="shared" si="71"/>
        <v>45.36</v>
      </c>
      <c r="N44" s="417">
        <v>536</v>
      </c>
      <c r="O44" s="417">
        <v>490</v>
      </c>
      <c r="P44" s="417">
        <v>0</v>
      </c>
      <c r="Q44" s="419">
        <v>0</v>
      </c>
      <c r="R44" s="419">
        <v>5</v>
      </c>
      <c r="S44" s="419">
        <v>1</v>
      </c>
      <c r="T44" s="419">
        <f>SUM(J44:S44)</f>
        <v>1096.65</v>
      </c>
      <c r="U44" s="419">
        <v>12</v>
      </c>
      <c r="V44" s="419">
        <f t="shared" si="72"/>
        <v>502</v>
      </c>
      <c r="W44" s="417">
        <v>445</v>
      </c>
      <c r="X44" s="417">
        <v>140</v>
      </c>
      <c r="Y44" s="418">
        <v>16</v>
      </c>
      <c r="Z44" s="418">
        <v>32.35</v>
      </c>
      <c r="AA44" s="418">
        <f t="shared" si="73"/>
        <v>30.52</v>
      </c>
      <c r="AB44" s="418">
        <v>5.43</v>
      </c>
      <c r="AC44" s="418">
        <v>5.23</v>
      </c>
      <c r="AD44" s="418">
        <v>15.52</v>
      </c>
      <c r="AE44" s="418">
        <v>4.34</v>
      </c>
      <c r="AF44" s="418">
        <v>5</v>
      </c>
      <c r="AG44" s="418">
        <v>10</v>
      </c>
      <c r="AH44" s="418">
        <f t="shared" si="74"/>
        <v>45.52</v>
      </c>
      <c r="AI44" s="417">
        <v>536</v>
      </c>
      <c r="AJ44" s="417">
        <v>498</v>
      </c>
      <c r="AK44" s="417">
        <v>0</v>
      </c>
      <c r="AL44" s="419">
        <v>0</v>
      </c>
      <c r="AM44" s="419">
        <v>0</v>
      </c>
      <c r="AN44" s="419">
        <v>0</v>
      </c>
      <c r="AO44" s="419">
        <v>64</v>
      </c>
      <c r="AP44" s="419">
        <v>12</v>
      </c>
      <c r="AQ44" s="419">
        <f t="shared" si="75"/>
        <v>510</v>
      </c>
      <c r="AR44" s="417">
        <f t="shared" si="76"/>
        <v>423</v>
      </c>
      <c r="AS44" s="417">
        <f t="shared" si="77"/>
        <v>145</v>
      </c>
      <c r="AT44" s="420">
        <f t="shared" si="78"/>
        <v>16</v>
      </c>
      <c r="AU44" s="417">
        <f t="shared" si="79"/>
        <v>32</v>
      </c>
      <c r="AV44" s="418">
        <f t="shared" si="80"/>
        <v>30.41</v>
      </c>
      <c r="AW44" s="418">
        <f t="shared" si="81"/>
        <v>2.41</v>
      </c>
      <c r="AX44" s="418">
        <f t="shared" si="82"/>
        <v>5.78</v>
      </c>
      <c r="AY44" s="418">
        <f t="shared" si="83"/>
        <v>17.91</v>
      </c>
      <c r="AZ44" s="418">
        <f t="shared" si="84"/>
        <v>4.31</v>
      </c>
      <c r="BA44" s="418">
        <f t="shared" si="85"/>
        <v>5</v>
      </c>
      <c r="BB44" s="418">
        <f t="shared" si="86"/>
        <v>10</v>
      </c>
      <c r="BC44" s="421">
        <f t="shared" si="87"/>
        <v>45.41</v>
      </c>
      <c r="BD44" s="422">
        <f t="shared" si="88"/>
        <v>536</v>
      </c>
      <c r="BE44" s="417">
        <f t="shared" si="89"/>
        <v>493</v>
      </c>
      <c r="BF44" s="417">
        <f t="shared" si="90"/>
        <v>0</v>
      </c>
      <c r="BG44" s="417">
        <f t="shared" si="91"/>
        <v>0</v>
      </c>
      <c r="BH44" s="417">
        <f t="shared" si="92"/>
        <v>3</v>
      </c>
      <c r="BI44" s="417">
        <f t="shared" si="93"/>
        <v>1</v>
      </c>
      <c r="BJ44" s="417">
        <f t="shared" si="94"/>
        <v>752</v>
      </c>
      <c r="BK44" s="417">
        <f t="shared" si="95"/>
        <v>12</v>
      </c>
      <c r="BL44" s="423">
        <f t="shared" si="96"/>
        <v>505</v>
      </c>
    </row>
    <row r="45" spans="1:64" s="89" customFormat="1" ht="11.25">
      <c r="A45" s="416" t="s">
        <v>244</v>
      </c>
      <c r="B45" s="417">
        <v>565</v>
      </c>
      <c r="C45" s="417">
        <v>258</v>
      </c>
      <c r="D45" s="418">
        <v>24</v>
      </c>
      <c r="E45" s="418">
        <v>51</v>
      </c>
      <c r="F45" s="418">
        <f t="shared" si="70"/>
        <v>63.4</v>
      </c>
      <c r="G45" s="418">
        <v>3</v>
      </c>
      <c r="H45" s="418">
        <v>0</v>
      </c>
      <c r="I45" s="418">
        <v>38.8</v>
      </c>
      <c r="J45" s="418">
        <v>21.6</v>
      </c>
      <c r="K45" s="418">
        <v>6.2</v>
      </c>
      <c r="L45" s="418">
        <v>8</v>
      </c>
      <c r="M45" s="418">
        <f t="shared" si="71"/>
        <v>77.6</v>
      </c>
      <c r="N45" s="417">
        <v>937</v>
      </c>
      <c r="O45" s="417">
        <v>1079</v>
      </c>
      <c r="P45" s="417">
        <v>0</v>
      </c>
      <c r="Q45" s="419">
        <v>0</v>
      </c>
      <c r="R45" s="419">
        <v>12</v>
      </c>
      <c r="S45" s="419">
        <v>1</v>
      </c>
      <c r="T45" s="419">
        <v>31</v>
      </c>
      <c r="U45" s="419">
        <v>42</v>
      </c>
      <c r="V45" s="419">
        <f t="shared" si="72"/>
        <v>1121</v>
      </c>
      <c r="W45" s="417">
        <v>387</v>
      </c>
      <c r="X45" s="417">
        <v>190</v>
      </c>
      <c r="Y45" s="418">
        <v>16</v>
      </c>
      <c r="Z45" s="418">
        <v>51</v>
      </c>
      <c r="AA45" s="418">
        <f t="shared" si="73"/>
        <v>47.6</v>
      </c>
      <c r="AB45" s="418">
        <v>3.6</v>
      </c>
      <c r="AC45" s="418">
        <v>0</v>
      </c>
      <c r="AD45" s="418">
        <v>24</v>
      </c>
      <c r="AE45" s="418">
        <v>20</v>
      </c>
      <c r="AF45" s="418">
        <v>5</v>
      </c>
      <c r="AG45" s="418">
        <v>5.5</v>
      </c>
      <c r="AH45" s="418">
        <f t="shared" si="74"/>
        <v>58.1</v>
      </c>
      <c r="AI45" s="417">
        <v>937</v>
      </c>
      <c r="AJ45" s="417">
        <v>825</v>
      </c>
      <c r="AK45" s="417">
        <v>0</v>
      </c>
      <c r="AL45" s="419">
        <v>0</v>
      </c>
      <c r="AM45" s="419">
        <v>0</v>
      </c>
      <c r="AN45" s="419">
        <v>0</v>
      </c>
      <c r="AO45" s="419">
        <v>73</v>
      </c>
      <c r="AP45" s="419">
        <v>17</v>
      </c>
      <c r="AQ45" s="419">
        <f t="shared" si="75"/>
        <v>842</v>
      </c>
      <c r="AR45" s="417">
        <f t="shared" si="76"/>
        <v>506</v>
      </c>
      <c r="AS45" s="417">
        <f t="shared" si="77"/>
        <v>235</v>
      </c>
      <c r="AT45" s="420">
        <f t="shared" si="78"/>
        <v>21.3</v>
      </c>
      <c r="AU45" s="417">
        <f t="shared" si="79"/>
        <v>51</v>
      </c>
      <c r="AV45" s="418">
        <f t="shared" si="80"/>
        <v>58.13</v>
      </c>
      <c r="AW45" s="418">
        <f t="shared" si="81"/>
        <v>3.2</v>
      </c>
      <c r="AX45" s="418">
        <f t="shared" si="82"/>
        <v>0</v>
      </c>
      <c r="AY45" s="418">
        <f t="shared" si="83"/>
        <v>33.87</v>
      </c>
      <c r="AZ45" s="418">
        <f t="shared" si="84"/>
        <v>21.07</v>
      </c>
      <c r="BA45" s="418">
        <f t="shared" si="85"/>
        <v>5.8</v>
      </c>
      <c r="BB45" s="418">
        <f t="shared" si="86"/>
        <v>7.17</v>
      </c>
      <c r="BC45" s="421">
        <f t="shared" si="87"/>
        <v>71.1</v>
      </c>
      <c r="BD45" s="422">
        <f t="shared" si="88"/>
        <v>937</v>
      </c>
      <c r="BE45" s="417">
        <f t="shared" si="89"/>
        <v>994</v>
      </c>
      <c r="BF45" s="417">
        <f t="shared" si="90"/>
        <v>0</v>
      </c>
      <c r="BG45" s="417">
        <f t="shared" si="91"/>
        <v>0</v>
      </c>
      <c r="BH45" s="417">
        <f t="shared" si="92"/>
        <v>8</v>
      </c>
      <c r="BI45" s="417">
        <f t="shared" si="93"/>
        <v>1</v>
      </c>
      <c r="BJ45" s="417">
        <f t="shared" si="94"/>
        <v>45</v>
      </c>
      <c r="BK45" s="417">
        <f t="shared" si="95"/>
        <v>34</v>
      </c>
      <c r="BL45" s="423">
        <f t="shared" si="96"/>
        <v>1028</v>
      </c>
    </row>
    <row r="46" spans="1:64" s="89" customFormat="1" ht="14.25" customHeight="1">
      <c r="A46" s="416" t="s">
        <v>236</v>
      </c>
      <c r="B46" s="417">
        <v>601</v>
      </c>
      <c r="C46" s="417">
        <v>220</v>
      </c>
      <c r="D46" s="418">
        <v>25</v>
      </c>
      <c r="E46" s="418">
        <v>76.2</v>
      </c>
      <c r="F46" s="418">
        <f t="shared" si="70"/>
        <v>60.9</v>
      </c>
      <c r="G46" s="418">
        <v>6.4</v>
      </c>
      <c r="H46" s="418">
        <v>16.8</v>
      </c>
      <c r="I46" s="418">
        <v>23</v>
      </c>
      <c r="J46" s="418">
        <v>14.7</v>
      </c>
      <c r="K46" s="418">
        <v>5</v>
      </c>
      <c r="L46" s="418">
        <v>13.5</v>
      </c>
      <c r="M46" s="418">
        <f t="shared" si="71"/>
        <v>79.4</v>
      </c>
      <c r="N46" s="417">
        <v>1561</v>
      </c>
      <c r="O46" s="417">
        <v>1084</v>
      </c>
      <c r="P46" s="417">
        <v>0</v>
      </c>
      <c r="Q46" s="419">
        <v>0</v>
      </c>
      <c r="R46" s="419">
        <v>12</v>
      </c>
      <c r="S46" s="419">
        <v>1</v>
      </c>
      <c r="T46" s="419">
        <v>80</v>
      </c>
      <c r="U46" s="419">
        <v>20</v>
      </c>
      <c r="V46" s="419">
        <f t="shared" si="72"/>
        <v>1104</v>
      </c>
      <c r="W46" s="417">
        <v>633</v>
      </c>
      <c r="X46" s="417">
        <v>224</v>
      </c>
      <c r="Y46" s="418">
        <v>23</v>
      </c>
      <c r="Z46" s="418">
        <v>76.2</v>
      </c>
      <c r="AA46" s="418">
        <f t="shared" si="73"/>
        <v>68.4</v>
      </c>
      <c r="AB46" s="418">
        <v>4.2</v>
      </c>
      <c r="AC46" s="418">
        <v>22.8</v>
      </c>
      <c r="AD46" s="418">
        <v>23.3</v>
      </c>
      <c r="AE46" s="418">
        <v>18.1</v>
      </c>
      <c r="AF46" s="418">
        <v>5</v>
      </c>
      <c r="AG46" s="418">
        <v>13.5</v>
      </c>
      <c r="AH46" s="418">
        <f t="shared" si="74"/>
        <v>86.9</v>
      </c>
      <c r="AI46" s="417">
        <v>1561</v>
      </c>
      <c r="AJ46" s="417">
        <v>1209</v>
      </c>
      <c r="AK46" s="417">
        <v>0</v>
      </c>
      <c r="AL46" s="419">
        <v>0</v>
      </c>
      <c r="AM46" s="419">
        <v>12</v>
      </c>
      <c r="AN46" s="419">
        <v>1</v>
      </c>
      <c r="AO46" s="419">
        <v>80</v>
      </c>
      <c r="AP46" s="419">
        <v>21</v>
      </c>
      <c r="AQ46" s="419">
        <f t="shared" si="75"/>
        <v>1230</v>
      </c>
      <c r="AR46" s="417">
        <f t="shared" si="76"/>
        <v>612</v>
      </c>
      <c r="AS46" s="417">
        <f t="shared" si="77"/>
        <v>221</v>
      </c>
      <c r="AT46" s="420">
        <f t="shared" si="78"/>
        <v>24.3</v>
      </c>
      <c r="AU46" s="417">
        <f t="shared" si="79"/>
        <v>76</v>
      </c>
      <c r="AV46" s="418">
        <f t="shared" si="80"/>
        <v>63.4</v>
      </c>
      <c r="AW46" s="418">
        <f t="shared" si="81"/>
        <v>5.67</v>
      </c>
      <c r="AX46" s="418">
        <f t="shared" si="82"/>
        <v>18.8</v>
      </c>
      <c r="AY46" s="418">
        <f t="shared" si="83"/>
        <v>23.1</v>
      </c>
      <c r="AZ46" s="418">
        <f t="shared" si="84"/>
        <v>15.83</v>
      </c>
      <c r="BA46" s="418">
        <f t="shared" si="85"/>
        <v>5</v>
      </c>
      <c r="BB46" s="418">
        <f t="shared" si="86"/>
        <v>13.5</v>
      </c>
      <c r="BC46" s="421">
        <f t="shared" si="87"/>
        <v>81.9</v>
      </c>
      <c r="BD46" s="422">
        <f t="shared" si="88"/>
        <v>1561</v>
      </c>
      <c r="BE46" s="417">
        <f t="shared" si="89"/>
        <v>1126</v>
      </c>
      <c r="BF46" s="417">
        <f t="shared" si="90"/>
        <v>0</v>
      </c>
      <c r="BG46" s="417">
        <f t="shared" si="91"/>
        <v>0</v>
      </c>
      <c r="BH46" s="417">
        <f t="shared" si="92"/>
        <v>12</v>
      </c>
      <c r="BI46" s="417">
        <f t="shared" si="93"/>
        <v>1</v>
      </c>
      <c r="BJ46" s="417">
        <f t="shared" si="94"/>
        <v>80</v>
      </c>
      <c r="BK46" s="417">
        <f t="shared" si="95"/>
        <v>20</v>
      </c>
      <c r="BL46" s="423">
        <f t="shared" si="96"/>
        <v>1146</v>
      </c>
    </row>
    <row r="47" spans="1:64" s="89" customFormat="1" ht="11.25">
      <c r="A47" s="416" t="s">
        <v>245</v>
      </c>
      <c r="B47" s="417">
        <v>785</v>
      </c>
      <c r="C47" s="417">
        <v>339</v>
      </c>
      <c r="D47" s="418">
        <v>28</v>
      </c>
      <c r="E47" s="418">
        <v>84.9</v>
      </c>
      <c r="F47" s="418">
        <f t="shared" si="70"/>
        <v>76.9</v>
      </c>
      <c r="G47" s="418">
        <v>9</v>
      </c>
      <c r="H47" s="418">
        <v>22</v>
      </c>
      <c r="I47" s="418">
        <v>32.8</v>
      </c>
      <c r="J47" s="418">
        <v>13.1</v>
      </c>
      <c r="K47" s="418">
        <v>9.6</v>
      </c>
      <c r="L47" s="418">
        <v>10.5</v>
      </c>
      <c r="M47" s="418">
        <f t="shared" si="71"/>
        <v>97</v>
      </c>
      <c r="N47" s="417">
        <v>1536</v>
      </c>
      <c r="O47" s="417">
        <v>1390</v>
      </c>
      <c r="P47" s="417">
        <v>0</v>
      </c>
      <c r="Q47" s="419">
        <v>0</v>
      </c>
      <c r="R47" s="419">
        <v>0</v>
      </c>
      <c r="S47" s="419">
        <v>0</v>
      </c>
      <c r="T47" s="419">
        <v>90</v>
      </c>
      <c r="U47" s="419">
        <v>20</v>
      </c>
      <c r="V47" s="419">
        <f t="shared" si="72"/>
        <v>1410</v>
      </c>
      <c r="W47" s="417">
        <v>641</v>
      </c>
      <c r="X47" s="417">
        <v>293</v>
      </c>
      <c r="Y47" s="418">
        <v>22</v>
      </c>
      <c r="Z47" s="418">
        <v>84.9</v>
      </c>
      <c r="AA47" s="418">
        <f t="shared" si="73"/>
        <v>69.7</v>
      </c>
      <c r="AB47" s="418">
        <v>6.5</v>
      </c>
      <c r="AC47" s="418">
        <v>20.5</v>
      </c>
      <c r="AD47" s="418">
        <v>26.4</v>
      </c>
      <c r="AE47" s="418">
        <v>16.3</v>
      </c>
      <c r="AF47" s="418">
        <v>9.5</v>
      </c>
      <c r="AG47" s="418">
        <v>10.5</v>
      </c>
      <c r="AH47" s="418">
        <f t="shared" si="74"/>
        <v>89.7</v>
      </c>
      <c r="AI47" s="417">
        <v>1536</v>
      </c>
      <c r="AJ47" s="417">
        <v>1245</v>
      </c>
      <c r="AK47" s="417">
        <v>0</v>
      </c>
      <c r="AL47" s="419">
        <v>0</v>
      </c>
      <c r="AM47" s="419">
        <v>0</v>
      </c>
      <c r="AN47" s="419">
        <v>0</v>
      </c>
      <c r="AO47" s="419">
        <v>83</v>
      </c>
      <c r="AP47" s="419">
        <v>20</v>
      </c>
      <c r="AQ47" s="419">
        <f t="shared" si="75"/>
        <v>1265</v>
      </c>
      <c r="AR47" s="417">
        <f t="shared" si="76"/>
        <v>737</v>
      </c>
      <c r="AS47" s="417">
        <f t="shared" si="77"/>
        <v>324</v>
      </c>
      <c r="AT47" s="420">
        <f t="shared" si="78"/>
        <v>26</v>
      </c>
      <c r="AU47" s="417">
        <f t="shared" si="79"/>
        <v>85</v>
      </c>
      <c r="AV47" s="418">
        <f t="shared" si="80"/>
        <v>74.5</v>
      </c>
      <c r="AW47" s="418">
        <f t="shared" si="81"/>
        <v>8.17</v>
      </c>
      <c r="AX47" s="418">
        <f t="shared" si="82"/>
        <v>21.5</v>
      </c>
      <c r="AY47" s="418">
        <f t="shared" si="83"/>
        <v>30.67</v>
      </c>
      <c r="AZ47" s="418">
        <f t="shared" si="84"/>
        <v>14.17</v>
      </c>
      <c r="BA47" s="418">
        <f t="shared" si="85"/>
        <v>9.57</v>
      </c>
      <c r="BB47" s="418">
        <f t="shared" si="86"/>
        <v>10.5</v>
      </c>
      <c r="BC47" s="421">
        <f t="shared" si="87"/>
        <v>94.57</v>
      </c>
      <c r="BD47" s="422">
        <f t="shared" si="88"/>
        <v>1536</v>
      </c>
      <c r="BE47" s="417">
        <f t="shared" si="89"/>
        <v>1342</v>
      </c>
      <c r="BF47" s="417">
        <f t="shared" si="90"/>
        <v>0</v>
      </c>
      <c r="BG47" s="417">
        <f t="shared" si="91"/>
        <v>0</v>
      </c>
      <c r="BH47" s="417">
        <f t="shared" si="92"/>
        <v>0</v>
      </c>
      <c r="BI47" s="417">
        <f t="shared" si="93"/>
        <v>0</v>
      </c>
      <c r="BJ47" s="417">
        <f t="shared" si="94"/>
        <v>88</v>
      </c>
      <c r="BK47" s="417">
        <f t="shared" si="95"/>
        <v>20</v>
      </c>
      <c r="BL47" s="423">
        <f t="shared" si="96"/>
        <v>1362</v>
      </c>
    </row>
    <row r="48" spans="1:64" s="122" customFormat="1" ht="11.25">
      <c r="A48" s="416" t="s">
        <v>167</v>
      </c>
      <c r="B48" s="420">
        <v>433</v>
      </c>
      <c r="C48" s="420">
        <v>96</v>
      </c>
      <c r="D48" s="420">
        <v>17</v>
      </c>
      <c r="E48" s="418">
        <v>53.37</v>
      </c>
      <c r="F48" s="418">
        <f t="shared" si="70"/>
        <v>42.59</v>
      </c>
      <c r="G48" s="418">
        <v>2.91</v>
      </c>
      <c r="H48" s="418">
        <v>7.66</v>
      </c>
      <c r="I48" s="418">
        <v>23.38</v>
      </c>
      <c r="J48" s="418">
        <v>8.64</v>
      </c>
      <c r="K48" s="418">
        <v>5</v>
      </c>
      <c r="L48" s="418">
        <v>10.25</v>
      </c>
      <c r="M48" s="418">
        <f t="shared" si="71"/>
        <v>57.84</v>
      </c>
      <c r="N48" s="417">
        <v>977</v>
      </c>
      <c r="O48" s="417">
        <v>683</v>
      </c>
      <c r="P48" s="417">
        <v>0</v>
      </c>
      <c r="Q48" s="419">
        <v>0</v>
      </c>
      <c r="R48" s="419">
        <v>10</v>
      </c>
      <c r="S48" s="419">
        <v>1</v>
      </c>
      <c r="T48" s="419">
        <v>48</v>
      </c>
      <c r="U48" s="419">
        <v>8</v>
      </c>
      <c r="V48" s="419">
        <f t="shared" si="72"/>
        <v>691</v>
      </c>
      <c r="W48" s="420">
        <v>425</v>
      </c>
      <c r="X48" s="420">
        <v>108</v>
      </c>
      <c r="Y48" s="420">
        <v>16</v>
      </c>
      <c r="Z48" s="418">
        <v>53.37</v>
      </c>
      <c r="AA48" s="418">
        <f t="shared" si="73"/>
        <v>43.2</v>
      </c>
      <c r="AB48" s="418">
        <v>2.13</v>
      </c>
      <c r="AC48" s="418">
        <v>8.67</v>
      </c>
      <c r="AD48" s="418">
        <v>21.75</v>
      </c>
      <c r="AE48" s="418">
        <v>10.65</v>
      </c>
      <c r="AF48" s="418">
        <v>5</v>
      </c>
      <c r="AG48" s="418">
        <v>10.25</v>
      </c>
      <c r="AH48" s="418">
        <f t="shared" si="74"/>
        <v>58.45</v>
      </c>
      <c r="AI48" s="417">
        <v>977</v>
      </c>
      <c r="AJ48" s="417">
        <v>740</v>
      </c>
      <c r="AK48" s="417">
        <v>0</v>
      </c>
      <c r="AL48" s="419">
        <v>0</v>
      </c>
      <c r="AM48" s="419">
        <v>0</v>
      </c>
      <c r="AN48" s="419">
        <v>0</v>
      </c>
      <c r="AO48" s="419">
        <v>48</v>
      </c>
      <c r="AP48" s="419">
        <v>10</v>
      </c>
      <c r="AQ48" s="419">
        <f t="shared" si="75"/>
        <v>750</v>
      </c>
      <c r="AR48" s="417">
        <f t="shared" si="76"/>
        <v>430</v>
      </c>
      <c r="AS48" s="417">
        <f t="shared" si="77"/>
        <v>100</v>
      </c>
      <c r="AT48" s="420">
        <f t="shared" si="78"/>
        <v>16.7</v>
      </c>
      <c r="AU48" s="417">
        <f t="shared" si="79"/>
        <v>53</v>
      </c>
      <c r="AV48" s="418">
        <f t="shared" si="80"/>
        <v>42.79</v>
      </c>
      <c r="AW48" s="418">
        <f t="shared" si="81"/>
        <v>2.65</v>
      </c>
      <c r="AX48" s="418">
        <f t="shared" si="82"/>
        <v>8</v>
      </c>
      <c r="AY48" s="418">
        <f t="shared" si="83"/>
        <v>22.84</v>
      </c>
      <c r="AZ48" s="418">
        <f t="shared" si="84"/>
        <v>9.31</v>
      </c>
      <c r="BA48" s="418">
        <f t="shared" si="85"/>
        <v>5</v>
      </c>
      <c r="BB48" s="418">
        <f t="shared" si="86"/>
        <v>10.25</v>
      </c>
      <c r="BC48" s="421">
        <f t="shared" si="87"/>
        <v>58.04</v>
      </c>
      <c r="BD48" s="422">
        <f t="shared" si="88"/>
        <v>977</v>
      </c>
      <c r="BE48" s="417">
        <f t="shared" si="89"/>
        <v>702</v>
      </c>
      <c r="BF48" s="417">
        <f t="shared" si="90"/>
        <v>0</v>
      </c>
      <c r="BG48" s="417">
        <f t="shared" si="91"/>
        <v>0</v>
      </c>
      <c r="BH48" s="417">
        <f t="shared" si="92"/>
        <v>7</v>
      </c>
      <c r="BI48" s="417">
        <f t="shared" si="93"/>
        <v>1</v>
      </c>
      <c r="BJ48" s="417">
        <f t="shared" si="94"/>
        <v>48</v>
      </c>
      <c r="BK48" s="417">
        <f t="shared" si="95"/>
        <v>9</v>
      </c>
      <c r="BL48" s="423">
        <f t="shared" si="96"/>
        <v>711</v>
      </c>
    </row>
    <row r="49" spans="1:64" s="89" customFormat="1" ht="11.25">
      <c r="A49" s="416" t="s">
        <v>168</v>
      </c>
      <c r="B49" s="417">
        <v>790</v>
      </c>
      <c r="C49" s="417">
        <v>386</v>
      </c>
      <c r="D49" s="418">
        <v>33</v>
      </c>
      <c r="E49" s="418">
        <v>60</v>
      </c>
      <c r="F49" s="418">
        <f t="shared" si="70"/>
        <v>55.3</v>
      </c>
      <c r="G49" s="418">
        <v>8.6</v>
      </c>
      <c r="H49" s="418">
        <v>19.9</v>
      </c>
      <c r="I49" s="418">
        <v>18</v>
      </c>
      <c r="J49" s="418">
        <v>8.8</v>
      </c>
      <c r="K49" s="418">
        <v>5</v>
      </c>
      <c r="L49" s="418">
        <v>12</v>
      </c>
      <c r="M49" s="418">
        <f t="shared" si="71"/>
        <v>72.3</v>
      </c>
      <c r="N49" s="417">
        <v>1066</v>
      </c>
      <c r="O49" s="417">
        <v>824</v>
      </c>
      <c r="P49" s="417">
        <v>0</v>
      </c>
      <c r="Q49" s="419">
        <v>0</v>
      </c>
      <c r="R49" s="419">
        <v>0</v>
      </c>
      <c r="S49" s="419">
        <v>0</v>
      </c>
      <c r="T49" s="419">
        <v>99</v>
      </c>
      <c r="U49" s="419">
        <v>10</v>
      </c>
      <c r="V49" s="419">
        <f t="shared" si="72"/>
        <v>834</v>
      </c>
      <c r="W49" s="417">
        <v>745</v>
      </c>
      <c r="X49" s="417">
        <v>342</v>
      </c>
      <c r="Y49" s="418">
        <v>28</v>
      </c>
      <c r="Z49" s="418">
        <v>60</v>
      </c>
      <c r="AA49" s="418">
        <f t="shared" si="73"/>
        <v>47.5</v>
      </c>
      <c r="AB49" s="418">
        <v>3.7</v>
      </c>
      <c r="AC49" s="418">
        <v>19.2</v>
      </c>
      <c r="AD49" s="418">
        <v>18.9</v>
      </c>
      <c r="AE49" s="418">
        <v>5.7</v>
      </c>
      <c r="AF49" s="418">
        <v>5</v>
      </c>
      <c r="AG49" s="418">
        <v>12</v>
      </c>
      <c r="AH49" s="418">
        <f t="shared" si="74"/>
        <v>64.5</v>
      </c>
      <c r="AI49" s="417">
        <v>1066</v>
      </c>
      <c r="AJ49" s="417">
        <v>812</v>
      </c>
      <c r="AK49" s="417">
        <v>0</v>
      </c>
      <c r="AL49" s="419">
        <v>0</v>
      </c>
      <c r="AM49" s="419">
        <v>0</v>
      </c>
      <c r="AN49" s="419">
        <v>0</v>
      </c>
      <c r="AO49" s="419">
        <v>85</v>
      </c>
      <c r="AP49" s="419">
        <v>10</v>
      </c>
      <c r="AQ49" s="419">
        <f t="shared" si="75"/>
        <v>822</v>
      </c>
      <c r="AR49" s="417">
        <f t="shared" si="76"/>
        <v>775</v>
      </c>
      <c r="AS49" s="417">
        <f t="shared" si="77"/>
        <v>371</v>
      </c>
      <c r="AT49" s="420">
        <f t="shared" si="78"/>
        <v>31.3</v>
      </c>
      <c r="AU49" s="417">
        <f t="shared" si="79"/>
        <v>60</v>
      </c>
      <c r="AV49" s="418">
        <f t="shared" si="80"/>
        <v>52.7</v>
      </c>
      <c r="AW49" s="418">
        <f t="shared" si="81"/>
        <v>6.97</v>
      </c>
      <c r="AX49" s="418">
        <f t="shared" si="82"/>
        <v>19.67</v>
      </c>
      <c r="AY49" s="418">
        <f t="shared" si="83"/>
        <v>18.3</v>
      </c>
      <c r="AZ49" s="418">
        <f t="shared" si="84"/>
        <v>7.77</v>
      </c>
      <c r="BA49" s="418">
        <f t="shared" si="85"/>
        <v>5</v>
      </c>
      <c r="BB49" s="418">
        <f t="shared" si="86"/>
        <v>12</v>
      </c>
      <c r="BC49" s="421">
        <f t="shared" si="87"/>
        <v>69.7</v>
      </c>
      <c r="BD49" s="422">
        <f t="shared" si="88"/>
        <v>1066</v>
      </c>
      <c r="BE49" s="417">
        <f t="shared" si="89"/>
        <v>820</v>
      </c>
      <c r="BF49" s="417">
        <f t="shared" si="90"/>
        <v>0</v>
      </c>
      <c r="BG49" s="417">
        <f t="shared" si="91"/>
        <v>0</v>
      </c>
      <c r="BH49" s="417">
        <f t="shared" si="92"/>
        <v>0</v>
      </c>
      <c r="BI49" s="417">
        <f t="shared" si="93"/>
        <v>0</v>
      </c>
      <c r="BJ49" s="417">
        <f t="shared" si="94"/>
        <v>94</v>
      </c>
      <c r="BK49" s="417">
        <f t="shared" si="95"/>
        <v>10</v>
      </c>
      <c r="BL49" s="423">
        <f t="shared" si="96"/>
        <v>830</v>
      </c>
    </row>
    <row r="50" spans="1:64" s="122" customFormat="1" ht="11.25">
      <c r="A50" s="416" t="s">
        <v>169</v>
      </c>
      <c r="B50" s="420">
        <v>464</v>
      </c>
      <c r="C50" s="420">
        <v>60</v>
      </c>
      <c r="D50" s="420">
        <v>22</v>
      </c>
      <c r="E50" s="418">
        <v>45.2</v>
      </c>
      <c r="F50" s="418">
        <f t="shared" si="70"/>
        <v>36.51</v>
      </c>
      <c r="G50" s="418">
        <v>2.55</v>
      </c>
      <c r="H50" s="418">
        <v>8.05</v>
      </c>
      <c r="I50" s="418">
        <v>22.52</v>
      </c>
      <c r="J50" s="418">
        <v>3.39</v>
      </c>
      <c r="K50" s="418">
        <v>4</v>
      </c>
      <c r="L50" s="418">
        <v>9.5</v>
      </c>
      <c r="M50" s="418">
        <f t="shared" si="71"/>
        <v>50.01</v>
      </c>
      <c r="N50" s="417">
        <v>795</v>
      </c>
      <c r="O50" s="417">
        <v>602</v>
      </c>
      <c r="P50" s="417">
        <v>0</v>
      </c>
      <c r="Q50" s="419">
        <v>0</v>
      </c>
      <c r="R50" s="419">
        <v>0</v>
      </c>
      <c r="S50" s="419">
        <v>0</v>
      </c>
      <c r="T50" s="419">
        <v>100</v>
      </c>
      <c r="U50" s="419">
        <v>8</v>
      </c>
      <c r="V50" s="419">
        <f t="shared" si="72"/>
        <v>610</v>
      </c>
      <c r="W50" s="420">
        <v>379</v>
      </c>
      <c r="X50" s="420">
        <v>63</v>
      </c>
      <c r="Y50" s="420">
        <v>15</v>
      </c>
      <c r="Z50" s="418">
        <v>45.2</v>
      </c>
      <c r="AA50" s="418">
        <f t="shared" si="73"/>
        <v>29.91</v>
      </c>
      <c r="AB50" s="418">
        <v>1</v>
      </c>
      <c r="AC50" s="418">
        <v>6.75</v>
      </c>
      <c r="AD50" s="418">
        <v>16.5</v>
      </c>
      <c r="AE50" s="418">
        <v>5.66</v>
      </c>
      <c r="AF50" s="418">
        <v>4</v>
      </c>
      <c r="AG50" s="418">
        <v>9.5</v>
      </c>
      <c r="AH50" s="418">
        <f t="shared" si="74"/>
        <v>43.41</v>
      </c>
      <c r="AI50" s="417">
        <v>795</v>
      </c>
      <c r="AJ50" s="417">
        <v>486</v>
      </c>
      <c r="AK50" s="417">
        <v>0</v>
      </c>
      <c r="AL50" s="419">
        <v>0</v>
      </c>
      <c r="AM50" s="419">
        <v>0</v>
      </c>
      <c r="AN50" s="419">
        <v>0</v>
      </c>
      <c r="AO50" s="419">
        <v>70</v>
      </c>
      <c r="AP50" s="419">
        <v>6</v>
      </c>
      <c r="AQ50" s="419">
        <f t="shared" si="75"/>
        <v>492</v>
      </c>
      <c r="AR50" s="417">
        <f t="shared" si="76"/>
        <v>436</v>
      </c>
      <c r="AS50" s="417">
        <f t="shared" si="77"/>
        <v>61</v>
      </c>
      <c r="AT50" s="420">
        <f t="shared" si="78"/>
        <v>19.7</v>
      </c>
      <c r="AU50" s="417">
        <f t="shared" si="79"/>
        <v>45</v>
      </c>
      <c r="AV50" s="418">
        <f t="shared" si="80"/>
        <v>34.31</v>
      </c>
      <c r="AW50" s="418">
        <f t="shared" si="81"/>
        <v>2.03</v>
      </c>
      <c r="AX50" s="418">
        <f t="shared" si="82"/>
        <v>7.62</v>
      </c>
      <c r="AY50" s="418">
        <f t="shared" si="83"/>
        <v>20.51</v>
      </c>
      <c r="AZ50" s="418">
        <f t="shared" si="84"/>
        <v>4.15</v>
      </c>
      <c r="BA50" s="418">
        <f t="shared" si="85"/>
        <v>4</v>
      </c>
      <c r="BB50" s="418">
        <f t="shared" si="86"/>
        <v>9.5</v>
      </c>
      <c r="BC50" s="421">
        <f t="shared" si="87"/>
        <v>47.81</v>
      </c>
      <c r="BD50" s="422">
        <f t="shared" si="88"/>
        <v>795</v>
      </c>
      <c r="BE50" s="417">
        <f t="shared" si="89"/>
        <v>563</v>
      </c>
      <c r="BF50" s="417">
        <f t="shared" si="90"/>
        <v>0</v>
      </c>
      <c r="BG50" s="417">
        <f t="shared" si="91"/>
        <v>0</v>
      </c>
      <c r="BH50" s="417">
        <f t="shared" si="92"/>
        <v>0</v>
      </c>
      <c r="BI50" s="417">
        <f t="shared" si="93"/>
        <v>0</v>
      </c>
      <c r="BJ50" s="417">
        <f t="shared" si="94"/>
        <v>90</v>
      </c>
      <c r="BK50" s="417">
        <f t="shared" si="95"/>
        <v>7</v>
      </c>
      <c r="BL50" s="423">
        <f t="shared" si="96"/>
        <v>570</v>
      </c>
    </row>
    <row r="51" spans="1:64" s="89" customFormat="1" ht="11.25">
      <c r="A51" s="416" t="s">
        <v>175</v>
      </c>
      <c r="B51" s="417">
        <v>576</v>
      </c>
      <c r="C51" s="417">
        <v>102</v>
      </c>
      <c r="D51" s="418">
        <v>23</v>
      </c>
      <c r="E51" s="418">
        <v>25.8</v>
      </c>
      <c r="F51" s="418">
        <f t="shared" si="70"/>
        <v>51.5</v>
      </c>
      <c r="G51" s="418">
        <v>1</v>
      </c>
      <c r="H51" s="418">
        <v>2.75</v>
      </c>
      <c r="I51" s="418">
        <v>43.75</v>
      </c>
      <c r="J51" s="418">
        <v>4</v>
      </c>
      <c r="K51" s="418">
        <v>8.5</v>
      </c>
      <c r="L51" s="418">
        <v>12.75</v>
      </c>
      <c r="M51" s="418">
        <f t="shared" si="71"/>
        <v>72.75</v>
      </c>
      <c r="N51" s="417">
        <v>518</v>
      </c>
      <c r="O51" s="417">
        <v>874</v>
      </c>
      <c r="P51" s="417">
        <v>0</v>
      </c>
      <c r="Q51" s="419">
        <v>0</v>
      </c>
      <c r="R51" s="419">
        <v>0</v>
      </c>
      <c r="S51" s="419">
        <v>0</v>
      </c>
      <c r="T51" s="419">
        <v>100</v>
      </c>
      <c r="U51" s="419">
        <v>17</v>
      </c>
      <c r="V51" s="419">
        <f t="shared" si="72"/>
        <v>891</v>
      </c>
      <c r="W51" s="417">
        <v>557</v>
      </c>
      <c r="X51" s="417">
        <v>100</v>
      </c>
      <c r="Y51" s="418">
        <v>22</v>
      </c>
      <c r="Z51" s="418">
        <v>25.8</v>
      </c>
      <c r="AA51" s="418">
        <f t="shared" si="73"/>
        <v>49</v>
      </c>
      <c r="AB51" s="418">
        <v>0</v>
      </c>
      <c r="AC51" s="418">
        <v>2.4</v>
      </c>
      <c r="AD51" s="418">
        <v>41.6</v>
      </c>
      <c r="AE51" s="418">
        <v>5</v>
      </c>
      <c r="AF51" s="418">
        <v>7.5</v>
      </c>
      <c r="AG51" s="418">
        <v>12.5</v>
      </c>
      <c r="AH51" s="418">
        <f t="shared" si="74"/>
        <v>69</v>
      </c>
      <c r="AI51" s="417">
        <v>518</v>
      </c>
      <c r="AJ51" s="417">
        <v>833</v>
      </c>
      <c r="AK51" s="417">
        <v>0</v>
      </c>
      <c r="AL51" s="419">
        <v>0</v>
      </c>
      <c r="AM51" s="419">
        <v>0</v>
      </c>
      <c r="AN51" s="419">
        <v>0</v>
      </c>
      <c r="AO51" s="419">
        <v>100</v>
      </c>
      <c r="AP51" s="419">
        <v>17</v>
      </c>
      <c r="AQ51" s="419">
        <f t="shared" si="75"/>
        <v>850</v>
      </c>
      <c r="AR51" s="417">
        <f t="shared" si="76"/>
        <v>570</v>
      </c>
      <c r="AS51" s="417">
        <f t="shared" si="77"/>
        <v>101</v>
      </c>
      <c r="AT51" s="420">
        <f t="shared" si="78"/>
        <v>22.7</v>
      </c>
      <c r="AU51" s="417">
        <f t="shared" si="79"/>
        <v>26</v>
      </c>
      <c r="AV51" s="418">
        <f t="shared" si="80"/>
        <v>50.67</v>
      </c>
      <c r="AW51" s="418">
        <f t="shared" si="81"/>
        <v>0.67</v>
      </c>
      <c r="AX51" s="418">
        <f t="shared" si="82"/>
        <v>2.63</v>
      </c>
      <c r="AY51" s="418">
        <f t="shared" si="83"/>
        <v>43.03</v>
      </c>
      <c r="AZ51" s="418">
        <f t="shared" si="84"/>
        <v>4.33</v>
      </c>
      <c r="BA51" s="418">
        <f t="shared" si="85"/>
        <v>8.17</v>
      </c>
      <c r="BB51" s="418">
        <f t="shared" si="86"/>
        <v>12.67</v>
      </c>
      <c r="BC51" s="421">
        <f t="shared" si="87"/>
        <v>71.5</v>
      </c>
      <c r="BD51" s="422">
        <f t="shared" si="88"/>
        <v>518</v>
      </c>
      <c r="BE51" s="417">
        <f t="shared" si="89"/>
        <v>860</v>
      </c>
      <c r="BF51" s="417">
        <f t="shared" si="90"/>
        <v>0</v>
      </c>
      <c r="BG51" s="417">
        <f t="shared" si="91"/>
        <v>0</v>
      </c>
      <c r="BH51" s="417">
        <f t="shared" si="92"/>
        <v>0</v>
      </c>
      <c r="BI51" s="417">
        <f t="shared" si="93"/>
        <v>0</v>
      </c>
      <c r="BJ51" s="417">
        <f t="shared" si="94"/>
        <v>100</v>
      </c>
      <c r="BK51" s="417">
        <f t="shared" si="95"/>
        <v>17</v>
      </c>
      <c r="BL51" s="423">
        <f t="shared" si="96"/>
        <v>877</v>
      </c>
    </row>
    <row r="52" spans="1:64" s="89" customFormat="1" ht="11.25">
      <c r="A52" s="416" t="s">
        <v>160</v>
      </c>
      <c r="B52" s="417">
        <v>187</v>
      </c>
      <c r="C52" s="417">
        <v>0</v>
      </c>
      <c r="D52" s="418">
        <v>6</v>
      </c>
      <c r="E52" s="418"/>
      <c r="F52" s="418">
        <f t="shared" si="70"/>
        <v>7.6</v>
      </c>
      <c r="G52" s="418">
        <v>1.3</v>
      </c>
      <c r="H52" s="418">
        <v>0.8</v>
      </c>
      <c r="I52" s="418">
        <v>4</v>
      </c>
      <c r="J52" s="418">
        <v>1.5</v>
      </c>
      <c r="K52" s="418">
        <v>1</v>
      </c>
      <c r="L52" s="418">
        <v>4.5</v>
      </c>
      <c r="M52" s="418">
        <f t="shared" si="71"/>
        <v>13.1</v>
      </c>
      <c r="N52" s="417"/>
      <c r="O52" s="417">
        <v>143</v>
      </c>
      <c r="P52" s="417">
        <v>0</v>
      </c>
      <c r="Q52" s="419">
        <v>0</v>
      </c>
      <c r="R52" s="419">
        <v>0</v>
      </c>
      <c r="S52" s="419">
        <v>0</v>
      </c>
      <c r="T52" s="419">
        <v>15</v>
      </c>
      <c r="U52" s="419">
        <v>0</v>
      </c>
      <c r="V52" s="419">
        <f t="shared" si="72"/>
        <v>143</v>
      </c>
      <c r="W52" s="417">
        <v>221</v>
      </c>
      <c r="X52" s="417">
        <v>0</v>
      </c>
      <c r="Y52" s="418">
        <v>6</v>
      </c>
      <c r="Z52" s="418"/>
      <c r="AA52" s="418">
        <f t="shared" si="73"/>
        <v>8.3</v>
      </c>
      <c r="AB52" s="418">
        <v>0</v>
      </c>
      <c r="AC52" s="418">
        <v>1.6</v>
      </c>
      <c r="AD52" s="418">
        <v>3.3</v>
      </c>
      <c r="AE52" s="418">
        <v>3.4</v>
      </c>
      <c r="AF52" s="418">
        <v>1.5</v>
      </c>
      <c r="AG52" s="418">
        <v>4</v>
      </c>
      <c r="AH52" s="418">
        <f t="shared" si="74"/>
        <v>13.8</v>
      </c>
      <c r="AI52" s="417"/>
      <c r="AJ52" s="417">
        <v>149</v>
      </c>
      <c r="AK52" s="417">
        <v>0</v>
      </c>
      <c r="AL52" s="419">
        <v>0</v>
      </c>
      <c r="AM52" s="419">
        <v>0</v>
      </c>
      <c r="AN52" s="419">
        <v>0</v>
      </c>
      <c r="AO52" s="419">
        <v>15</v>
      </c>
      <c r="AP52" s="419">
        <v>0</v>
      </c>
      <c r="AQ52" s="419">
        <f t="shared" si="75"/>
        <v>149</v>
      </c>
      <c r="AR52" s="417">
        <f t="shared" si="76"/>
        <v>198</v>
      </c>
      <c r="AS52" s="417">
        <f t="shared" si="77"/>
        <v>0</v>
      </c>
      <c r="AT52" s="420">
        <f t="shared" si="78"/>
        <v>6</v>
      </c>
      <c r="AU52" s="417">
        <f t="shared" si="79"/>
        <v>0</v>
      </c>
      <c r="AV52" s="418">
        <f t="shared" si="80"/>
        <v>7.83</v>
      </c>
      <c r="AW52" s="418">
        <f t="shared" si="81"/>
        <v>0.87</v>
      </c>
      <c r="AX52" s="418">
        <f t="shared" si="82"/>
        <v>1.07</v>
      </c>
      <c r="AY52" s="418">
        <f t="shared" si="83"/>
        <v>3.77</v>
      </c>
      <c r="AZ52" s="418">
        <f t="shared" si="84"/>
        <v>2.13</v>
      </c>
      <c r="BA52" s="418">
        <f t="shared" si="85"/>
        <v>1.17</v>
      </c>
      <c r="BB52" s="418">
        <f t="shared" si="86"/>
        <v>4.33</v>
      </c>
      <c r="BC52" s="421">
        <f t="shared" si="87"/>
        <v>13.33</v>
      </c>
      <c r="BD52" s="422">
        <f t="shared" si="88"/>
        <v>0</v>
      </c>
      <c r="BE52" s="417">
        <f t="shared" si="89"/>
        <v>145</v>
      </c>
      <c r="BF52" s="417">
        <f t="shared" si="90"/>
        <v>0</v>
      </c>
      <c r="BG52" s="417">
        <f t="shared" si="91"/>
        <v>0</v>
      </c>
      <c r="BH52" s="417">
        <f t="shared" si="92"/>
        <v>0</v>
      </c>
      <c r="BI52" s="417">
        <f t="shared" si="93"/>
        <v>0</v>
      </c>
      <c r="BJ52" s="417">
        <f t="shared" si="94"/>
        <v>15</v>
      </c>
      <c r="BK52" s="417">
        <f t="shared" si="95"/>
        <v>0</v>
      </c>
      <c r="BL52" s="423">
        <f t="shared" si="96"/>
        <v>145</v>
      </c>
    </row>
    <row r="53" spans="1:64" s="89" customFormat="1" ht="11.25">
      <c r="A53" s="468" t="s">
        <v>176</v>
      </c>
      <c r="B53" s="425">
        <v>412</v>
      </c>
      <c r="C53" s="425">
        <v>168</v>
      </c>
      <c r="D53" s="426">
        <v>17</v>
      </c>
      <c r="E53" s="426">
        <v>51</v>
      </c>
      <c r="F53" s="426">
        <f t="shared" si="70"/>
        <v>42</v>
      </c>
      <c r="G53" s="426">
        <v>4.9</v>
      </c>
      <c r="H53" s="426">
        <v>13</v>
      </c>
      <c r="I53" s="426">
        <v>19.8</v>
      </c>
      <c r="J53" s="426">
        <v>4.3</v>
      </c>
      <c r="K53" s="426">
        <v>6</v>
      </c>
      <c r="L53" s="426">
        <v>11</v>
      </c>
      <c r="M53" s="426">
        <f t="shared" si="71"/>
        <v>59</v>
      </c>
      <c r="N53" s="425">
        <v>898</v>
      </c>
      <c r="O53" s="425">
        <v>702</v>
      </c>
      <c r="P53" s="425">
        <v>0</v>
      </c>
      <c r="Q53" s="427">
        <v>0</v>
      </c>
      <c r="R53" s="427">
        <v>2.4</v>
      </c>
      <c r="S53" s="427">
        <v>1</v>
      </c>
      <c r="T53" s="427">
        <v>85</v>
      </c>
      <c r="U53" s="427">
        <v>17</v>
      </c>
      <c r="V53" s="427">
        <f t="shared" si="72"/>
        <v>719</v>
      </c>
      <c r="W53" s="425">
        <v>429</v>
      </c>
      <c r="X53" s="425">
        <v>166</v>
      </c>
      <c r="Y53" s="426">
        <v>17</v>
      </c>
      <c r="Z53" s="426">
        <v>51</v>
      </c>
      <c r="AA53" s="426">
        <f t="shared" si="73"/>
        <v>45.7</v>
      </c>
      <c r="AB53" s="426">
        <v>3</v>
      </c>
      <c r="AC53" s="426">
        <v>13.6</v>
      </c>
      <c r="AD53" s="426">
        <v>19.7</v>
      </c>
      <c r="AE53" s="426">
        <v>9.4</v>
      </c>
      <c r="AF53" s="426">
        <v>5.5</v>
      </c>
      <c r="AG53" s="426">
        <v>10.5</v>
      </c>
      <c r="AH53" s="426">
        <f t="shared" si="74"/>
        <v>61.7</v>
      </c>
      <c r="AI53" s="425">
        <v>898</v>
      </c>
      <c r="AJ53" s="425">
        <v>787</v>
      </c>
      <c r="AK53" s="425">
        <v>0</v>
      </c>
      <c r="AL53" s="427">
        <v>0</v>
      </c>
      <c r="AM53" s="427">
        <v>0</v>
      </c>
      <c r="AN53" s="427">
        <v>0</v>
      </c>
      <c r="AO53" s="427">
        <v>85</v>
      </c>
      <c r="AP53" s="427">
        <v>17</v>
      </c>
      <c r="AQ53" s="427">
        <f t="shared" si="75"/>
        <v>804</v>
      </c>
      <c r="AR53" s="425">
        <f t="shared" si="76"/>
        <v>418</v>
      </c>
      <c r="AS53" s="425">
        <f t="shared" si="77"/>
        <v>167</v>
      </c>
      <c r="AT53" s="428">
        <f t="shared" si="78"/>
        <v>17</v>
      </c>
      <c r="AU53" s="425">
        <f t="shared" si="79"/>
        <v>51</v>
      </c>
      <c r="AV53" s="426">
        <f t="shared" si="80"/>
        <v>43.23</v>
      </c>
      <c r="AW53" s="426">
        <f t="shared" si="81"/>
        <v>4.27</v>
      </c>
      <c r="AX53" s="426">
        <f t="shared" si="82"/>
        <v>13.2</v>
      </c>
      <c r="AY53" s="426">
        <f t="shared" si="83"/>
        <v>19.77</v>
      </c>
      <c r="AZ53" s="426">
        <f t="shared" si="84"/>
        <v>6</v>
      </c>
      <c r="BA53" s="426">
        <f t="shared" si="85"/>
        <v>5.83</v>
      </c>
      <c r="BB53" s="426">
        <f t="shared" si="86"/>
        <v>10.83</v>
      </c>
      <c r="BC53" s="429">
        <f t="shared" si="87"/>
        <v>59.9</v>
      </c>
      <c r="BD53" s="430">
        <f t="shared" si="88"/>
        <v>898</v>
      </c>
      <c r="BE53" s="425">
        <f t="shared" si="89"/>
        <v>730</v>
      </c>
      <c r="BF53" s="425">
        <f t="shared" si="90"/>
        <v>0</v>
      </c>
      <c r="BG53" s="425">
        <f t="shared" si="91"/>
        <v>0</v>
      </c>
      <c r="BH53" s="425">
        <f t="shared" si="92"/>
        <v>2</v>
      </c>
      <c r="BI53" s="425">
        <f t="shared" si="93"/>
        <v>1</v>
      </c>
      <c r="BJ53" s="425">
        <f t="shared" si="94"/>
        <v>85</v>
      </c>
      <c r="BK53" s="425">
        <f t="shared" si="95"/>
        <v>17</v>
      </c>
      <c r="BL53" s="431">
        <f t="shared" si="96"/>
        <v>747</v>
      </c>
    </row>
    <row r="54" spans="1:64" s="122" customFormat="1" ht="14.25" customHeight="1">
      <c r="A54" s="432" t="s">
        <v>281</v>
      </c>
      <c r="B54" s="435">
        <f aca="true" t="shared" si="97" ref="B54:AG54">SUM(B43:B53)</f>
        <v>6098</v>
      </c>
      <c r="C54" s="435">
        <f t="shared" si="97"/>
        <v>2042</v>
      </c>
      <c r="D54" s="435">
        <f t="shared" si="97"/>
        <v>242</v>
      </c>
      <c r="E54" s="435">
        <f t="shared" si="97"/>
        <v>552.82</v>
      </c>
      <c r="F54" s="435">
        <f t="shared" si="97"/>
        <v>536.17</v>
      </c>
      <c r="G54" s="435">
        <f t="shared" si="97"/>
        <v>51.04</v>
      </c>
      <c r="H54" s="435">
        <f t="shared" si="97"/>
        <v>112.01</v>
      </c>
      <c r="I54" s="435">
        <f t="shared" si="97"/>
        <v>281.64</v>
      </c>
      <c r="J54" s="435">
        <f t="shared" si="97"/>
        <v>91.48</v>
      </c>
      <c r="K54" s="435">
        <f t="shared" si="97"/>
        <v>60.3</v>
      </c>
      <c r="L54" s="435">
        <f t="shared" si="97"/>
        <v>113.5</v>
      </c>
      <c r="M54" s="435">
        <f t="shared" si="97"/>
        <v>709.97</v>
      </c>
      <c r="N54" s="435">
        <f t="shared" si="97"/>
        <v>10125</v>
      </c>
      <c r="O54" s="435">
        <f t="shared" si="97"/>
        <v>9099</v>
      </c>
      <c r="P54" s="435">
        <f t="shared" si="97"/>
        <v>0</v>
      </c>
      <c r="Q54" s="435">
        <f t="shared" si="97"/>
        <v>0</v>
      </c>
      <c r="R54" s="435">
        <f t="shared" si="97"/>
        <v>41.4</v>
      </c>
      <c r="S54" s="435">
        <f t="shared" si="97"/>
        <v>5</v>
      </c>
      <c r="T54" s="435">
        <f t="shared" si="97"/>
        <v>1824.65</v>
      </c>
      <c r="U54" s="435">
        <f t="shared" si="97"/>
        <v>172</v>
      </c>
      <c r="V54" s="435">
        <f t="shared" si="97"/>
        <v>9271</v>
      </c>
      <c r="W54" s="435">
        <f t="shared" si="97"/>
        <v>5607</v>
      </c>
      <c r="X54" s="435">
        <f t="shared" si="97"/>
        <v>1845</v>
      </c>
      <c r="Y54" s="435">
        <f t="shared" si="97"/>
        <v>206</v>
      </c>
      <c r="Z54" s="435">
        <f t="shared" si="97"/>
        <v>552.82</v>
      </c>
      <c r="AA54" s="435">
        <f t="shared" si="97"/>
        <v>503.08</v>
      </c>
      <c r="AB54" s="435">
        <f t="shared" si="97"/>
        <v>29.89</v>
      </c>
      <c r="AC54" s="435">
        <f t="shared" si="97"/>
        <v>122.32</v>
      </c>
      <c r="AD54" s="435">
        <f t="shared" si="97"/>
        <v>245.38</v>
      </c>
      <c r="AE54" s="435">
        <f t="shared" si="97"/>
        <v>105.49</v>
      </c>
      <c r="AF54" s="435">
        <f t="shared" si="97"/>
        <v>58</v>
      </c>
      <c r="AG54" s="435">
        <f t="shared" si="97"/>
        <v>109.75</v>
      </c>
      <c r="AH54" s="435">
        <f aca="true" t="shared" si="98" ref="AH54:BL54">SUM(AH43:AH53)</f>
        <v>670.83</v>
      </c>
      <c r="AI54" s="435">
        <f t="shared" si="98"/>
        <v>10125</v>
      </c>
      <c r="AJ54" s="435">
        <f t="shared" si="98"/>
        <v>8720</v>
      </c>
      <c r="AK54" s="435">
        <f t="shared" si="98"/>
        <v>0</v>
      </c>
      <c r="AL54" s="435">
        <f t="shared" si="98"/>
        <v>0</v>
      </c>
      <c r="AM54" s="435">
        <f t="shared" si="98"/>
        <v>12</v>
      </c>
      <c r="AN54" s="435">
        <f t="shared" si="98"/>
        <v>1</v>
      </c>
      <c r="AO54" s="435">
        <f t="shared" si="98"/>
        <v>783</v>
      </c>
      <c r="AP54" s="435">
        <f t="shared" si="98"/>
        <v>148</v>
      </c>
      <c r="AQ54" s="435">
        <f t="shared" si="98"/>
        <v>8868</v>
      </c>
      <c r="AR54" s="434">
        <f t="shared" si="98"/>
        <v>5935</v>
      </c>
      <c r="AS54" s="435">
        <f t="shared" si="98"/>
        <v>1975</v>
      </c>
      <c r="AT54" s="433">
        <f t="shared" si="98"/>
        <v>230</v>
      </c>
      <c r="AU54" s="435">
        <f t="shared" si="98"/>
        <v>552</v>
      </c>
      <c r="AV54" s="435">
        <f t="shared" si="98"/>
        <v>525.13</v>
      </c>
      <c r="AW54" s="435">
        <f t="shared" si="98"/>
        <v>44.01</v>
      </c>
      <c r="AX54" s="435">
        <f t="shared" si="98"/>
        <v>115.45</v>
      </c>
      <c r="AY54" s="435">
        <f t="shared" si="98"/>
        <v>269.56</v>
      </c>
      <c r="AZ54" s="435">
        <f t="shared" si="98"/>
        <v>96.16</v>
      </c>
      <c r="BA54" s="435">
        <f t="shared" si="98"/>
        <v>59.54</v>
      </c>
      <c r="BB54" s="435">
        <f t="shared" si="98"/>
        <v>112.25</v>
      </c>
      <c r="BC54" s="436">
        <f t="shared" si="98"/>
        <v>696.92</v>
      </c>
      <c r="BD54" s="469">
        <f t="shared" si="98"/>
        <v>10125</v>
      </c>
      <c r="BE54" s="434">
        <f t="shared" si="98"/>
        <v>8972</v>
      </c>
      <c r="BF54" s="434">
        <f t="shared" si="98"/>
        <v>0</v>
      </c>
      <c r="BG54" s="434">
        <f t="shared" si="98"/>
        <v>0</v>
      </c>
      <c r="BH54" s="434">
        <f t="shared" si="98"/>
        <v>32</v>
      </c>
      <c r="BI54" s="434">
        <f t="shared" si="98"/>
        <v>5</v>
      </c>
      <c r="BJ54" s="434">
        <f t="shared" si="98"/>
        <v>1477</v>
      </c>
      <c r="BK54" s="434">
        <f t="shared" si="98"/>
        <v>164</v>
      </c>
      <c r="BL54" s="438">
        <f t="shared" si="98"/>
        <v>9136</v>
      </c>
    </row>
    <row r="55" spans="1:64" s="122" customFormat="1" ht="13.5" customHeight="1">
      <c r="A55" s="432" t="s">
        <v>282</v>
      </c>
      <c r="B55" s="435">
        <v>258</v>
      </c>
      <c r="C55" s="435">
        <v>9</v>
      </c>
      <c r="D55" s="435">
        <v>16.4</v>
      </c>
      <c r="E55" s="435">
        <v>36.2</v>
      </c>
      <c r="F55" s="435">
        <f>G55+H55+I55+J55</f>
        <v>36.72</v>
      </c>
      <c r="G55" s="435">
        <v>0.39</v>
      </c>
      <c r="H55" s="435">
        <v>1.55</v>
      </c>
      <c r="I55" s="435">
        <v>29.01</v>
      </c>
      <c r="J55" s="435">
        <v>5.77</v>
      </c>
      <c r="K55" s="435">
        <v>3</v>
      </c>
      <c r="L55" s="435">
        <v>8.5</v>
      </c>
      <c r="M55" s="435">
        <f>F55+K55+L55</f>
        <v>48.22</v>
      </c>
      <c r="N55" s="435">
        <v>638</v>
      </c>
      <c r="O55" s="435">
        <v>644</v>
      </c>
      <c r="P55" s="435">
        <v>0</v>
      </c>
      <c r="Q55" s="464">
        <v>0</v>
      </c>
      <c r="R55" s="464">
        <v>0</v>
      </c>
      <c r="S55" s="464">
        <v>0</v>
      </c>
      <c r="T55" s="464">
        <v>41</v>
      </c>
      <c r="U55" s="464">
        <v>12</v>
      </c>
      <c r="V55" s="464">
        <f>O55+U55</f>
        <v>656</v>
      </c>
      <c r="W55" s="435">
        <v>266</v>
      </c>
      <c r="X55" s="435">
        <v>15</v>
      </c>
      <c r="Y55" s="435">
        <v>16.4</v>
      </c>
      <c r="Z55" s="435">
        <v>36.2</v>
      </c>
      <c r="AA55" s="435">
        <f>AB55+AC55+AD55+AE55</f>
        <v>37.73</v>
      </c>
      <c r="AB55" s="435">
        <v>0.52</v>
      </c>
      <c r="AC55" s="435">
        <v>3.29</v>
      </c>
      <c r="AD55" s="435">
        <v>27.24</v>
      </c>
      <c r="AE55" s="435">
        <v>6.68</v>
      </c>
      <c r="AF55" s="435">
        <v>3</v>
      </c>
      <c r="AG55" s="435">
        <v>8.5</v>
      </c>
      <c r="AH55" s="435">
        <f>AA55+AF55+AG55</f>
        <v>49.23</v>
      </c>
      <c r="AI55" s="435">
        <v>638</v>
      </c>
      <c r="AJ55" s="435">
        <v>646</v>
      </c>
      <c r="AK55" s="435">
        <v>0</v>
      </c>
      <c r="AL55" s="464">
        <v>0</v>
      </c>
      <c r="AM55" s="464">
        <v>0</v>
      </c>
      <c r="AN55" s="464">
        <v>0</v>
      </c>
      <c r="AO55" s="464">
        <v>41</v>
      </c>
      <c r="AP55" s="464">
        <v>12</v>
      </c>
      <c r="AQ55" s="464">
        <f>AJ55+AP55</f>
        <v>658</v>
      </c>
      <c r="AR55" s="434">
        <f aca="true" t="shared" si="99" ref="AR55:BA57">(B55*8+W55*4)/12</f>
        <v>261</v>
      </c>
      <c r="AS55" s="434">
        <f t="shared" si="99"/>
        <v>11</v>
      </c>
      <c r="AT55" s="433">
        <f t="shared" si="99"/>
        <v>16.4</v>
      </c>
      <c r="AU55" s="434">
        <f t="shared" si="99"/>
        <v>36</v>
      </c>
      <c r="AV55" s="435">
        <f t="shared" si="99"/>
        <v>37.06</v>
      </c>
      <c r="AW55" s="435">
        <f t="shared" si="99"/>
        <v>0.43</v>
      </c>
      <c r="AX55" s="435">
        <f t="shared" si="99"/>
        <v>2.13</v>
      </c>
      <c r="AY55" s="435">
        <f t="shared" si="99"/>
        <v>28.42</v>
      </c>
      <c r="AZ55" s="435">
        <f t="shared" si="99"/>
        <v>6.07</v>
      </c>
      <c r="BA55" s="435">
        <f t="shared" si="99"/>
        <v>3</v>
      </c>
      <c r="BB55" s="435">
        <f aca="true" t="shared" si="100" ref="BB55:BK57">(L55*8+AG55*4)/12</f>
        <v>8.5</v>
      </c>
      <c r="BC55" s="436">
        <f t="shared" si="100"/>
        <v>48.56</v>
      </c>
      <c r="BD55" s="465">
        <f t="shared" si="100"/>
        <v>638</v>
      </c>
      <c r="BE55" s="434">
        <f t="shared" si="100"/>
        <v>645</v>
      </c>
      <c r="BF55" s="434">
        <f t="shared" si="100"/>
        <v>0</v>
      </c>
      <c r="BG55" s="434">
        <f t="shared" si="100"/>
        <v>0</v>
      </c>
      <c r="BH55" s="434">
        <f t="shared" si="100"/>
        <v>0</v>
      </c>
      <c r="BI55" s="434">
        <f t="shared" si="100"/>
        <v>0</v>
      </c>
      <c r="BJ55" s="434">
        <f t="shared" si="100"/>
        <v>41</v>
      </c>
      <c r="BK55" s="434">
        <f t="shared" si="100"/>
        <v>12</v>
      </c>
      <c r="BL55" s="466">
        <f>BE55+BK55</f>
        <v>657</v>
      </c>
    </row>
    <row r="56" spans="1:64" s="89" customFormat="1" ht="11.25">
      <c r="A56" s="470" t="s">
        <v>246</v>
      </c>
      <c r="B56" s="441">
        <v>0</v>
      </c>
      <c r="C56" s="441">
        <v>0</v>
      </c>
      <c r="D56" s="441">
        <v>0</v>
      </c>
      <c r="E56" s="441"/>
      <c r="F56" s="441">
        <f>G56+H56+I56+J56</f>
        <v>0</v>
      </c>
      <c r="G56" s="441">
        <v>0</v>
      </c>
      <c r="H56" s="441">
        <v>0</v>
      </c>
      <c r="I56" s="441">
        <v>0</v>
      </c>
      <c r="J56" s="441">
        <v>0</v>
      </c>
      <c r="K56" s="441">
        <v>0</v>
      </c>
      <c r="L56" s="441">
        <v>0</v>
      </c>
      <c r="M56" s="441">
        <f>F56+K56+L56</f>
        <v>0</v>
      </c>
      <c r="N56" s="441"/>
      <c r="O56" s="441">
        <v>0</v>
      </c>
      <c r="P56" s="441">
        <v>0</v>
      </c>
      <c r="Q56" s="442">
        <v>0</v>
      </c>
      <c r="R56" s="442">
        <v>0</v>
      </c>
      <c r="S56" s="442">
        <v>0</v>
      </c>
      <c r="T56" s="442">
        <v>0</v>
      </c>
      <c r="U56" s="442">
        <v>0</v>
      </c>
      <c r="V56" s="442">
        <f>O56+U56</f>
        <v>0</v>
      </c>
      <c r="W56" s="441">
        <v>10</v>
      </c>
      <c r="X56" s="441">
        <v>5</v>
      </c>
      <c r="Y56" s="441">
        <v>1</v>
      </c>
      <c r="Z56" s="471"/>
      <c r="AA56" s="441">
        <f>AB56+AC56+AD56+AE56</f>
        <v>4.56</v>
      </c>
      <c r="AB56" s="441">
        <v>0</v>
      </c>
      <c r="AC56" s="441">
        <v>1</v>
      </c>
      <c r="AD56" s="441">
        <v>3.56</v>
      </c>
      <c r="AE56" s="441">
        <v>0</v>
      </c>
      <c r="AF56" s="441">
        <v>0.25</v>
      </c>
      <c r="AG56" s="441">
        <v>1</v>
      </c>
      <c r="AH56" s="441">
        <f>AA56+AF56+AG56</f>
        <v>5.81</v>
      </c>
      <c r="AI56" s="471"/>
      <c r="AJ56" s="441">
        <v>82</v>
      </c>
      <c r="AK56" s="441">
        <v>0</v>
      </c>
      <c r="AL56" s="442">
        <v>0</v>
      </c>
      <c r="AM56" s="442">
        <v>0</v>
      </c>
      <c r="AN56" s="442">
        <v>30</v>
      </c>
      <c r="AO56" s="442">
        <v>3</v>
      </c>
      <c r="AP56" s="442">
        <v>0</v>
      </c>
      <c r="AQ56" s="442">
        <f>AJ56+AP56</f>
        <v>82</v>
      </c>
      <c r="AR56" s="440">
        <f t="shared" si="99"/>
        <v>3</v>
      </c>
      <c r="AS56" s="440">
        <f t="shared" si="99"/>
        <v>2</v>
      </c>
      <c r="AT56" s="443">
        <f t="shared" si="99"/>
        <v>0.3</v>
      </c>
      <c r="AU56" s="440">
        <f t="shared" si="99"/>
        <v>0</v>
      </c>
      <c r="AV56" s="441">
        <f t="shared" si="99"/>
        <v>1.52</v>
      </c>
      <c r="AW56" s="441">
        <f t="shared" si="99"/>
        <v>0</v>
      </c>
      <c r="AX56" s="441">
        <f t="shared" si="99"/>
        <v>0.33</v>
      </c>
      <c r="AY56" s="441">
        <f t="shared" si="99"/>
        <v>1.19</v>
      </c>
      <c r="AZ56" s="441">
        <f t="shared" si="99"/>
        <v>0</v>
      </c>
      <c r="BA56" s="441">
        <f t="shared" si="99"/>
        <v>0.08</v>
      </c>
      <c r="BB56" s="441">
        <f t="shared" si="100"/>
        <v>0.33</v>
      </c>
      <c r="BC56" s="444">
        <f t="shared" si="100"/>
        <v>1.94</v>
      </c>
      <c r="BD56" s="445">
        <f t="shared" si="100"/>
        <v>0</v>
      </c>
      <c r="BE56" s="440">
        <f t="shared" si="100"/>
        <v>27</v>
      </c>
      <c r="BF56" s="440">
        <f t="shared" si="100"/>
        <v>0</v>
      </c>
      <c r="BG56" s="440">
        <f t="shared" si="100"/>
        <v>0</v>
      </c>
      <c r="BH56" s="440">
        <f t="shared" si="100"/>
        <v>0</v>
      </c>
      <c r="BI56" s="440">
        <f t="shared" si="100"/>
        <v>10</v>
      </c>
      <c r="BJ56" s="440">
        <f t="shared" si="100"/>
        <v>1</v>
      </c>
      <c r="BK56" s="440">
        <f t="shared" si="100"/>
        <v>0</v>
      </c>
      <c r="BL56" s="446">
        <f>BE56+BK56</f>
        <v>27</v>
      </c>
    </row>
    <row r="57" spans="1:64" s="89" customFormat="1" ht="11.25">
      <c r="A57" s="472" t="s">
        <v>247</v>
      </c>
      <c r="B57" s="426">
        <v>73</v>
      </c>
      <c r="C57" s="426">
        <v>34</v>
      </c>
      <c r="D57" s="426">
        <v>6</v>
      </c>
      <c r="E57" s="426"/>
      <c r="F57" s="426">
        <f>G57+H57+I57+J57</f>
        <v>20.77</v>
      </c>
      <c r="G57" s="426">
        <v>1</v>
      </c>
      <c r="H57" s="426">
        <v>1.81</v>
      </c>
      <c r="I57" s="426">
        <v>16.26</v>
      </c>
      <c r="J57" s="426">
        <v>1.7</v>
      </c>
      <c r="K57" s="426">
        <v>2.75</v>
      </c>
      <c r="L57" s="426">
        <v>5.75</v>
      </c>
      <c r="M57" s="426">
        <f>F57+K57+L57</f>
        <v>29.27</v>
      </c>
      <c r="N57" s="426"/>
      <c r="O57" s="426">
        <v>252</v>
      </c>
      <c r="P57" s="426">
        <v>0</v>
      </c>
      <c r="Q57" s="427">
        <v>0</v>
      </c>
      <c r="R57" s="427">
        <v>0</v>
      </c>
      <c r="S57" s="427">
        <v>0</v>
      </c>
      <c r="T57" s="427">
        <v>36</v>
      </c>
      <c r="U57" s="427">
        <v>7</v>
      </c>
      <c r="V57" s="427">
        <f>O57+U57</f>
        <v>259</v>
      </c>
      <c r="W57" s="426">
        <v>64</v>
      </c>
      <c r="X57" s="426">
        <v>37</v>
      </c>
      <c r="Y57" s="426">
        <v>7</v>
      </c>
      <c r="Z57" s="473"/>
      <c r="AA57" s="426">
        <f>AB57+AC57+AD57+AE57</f>
        <v>26.2</v>
      </c>
      <c r="AB57" s="426">
        <v>0</v>
      </c>
      <c r="AC57" s="426">
        <v>3.57</v>
      </c>
      <c r="AD57" s="426">
        <v>20.47</v>
      </c>
      <c r="AE57" s="426">
        <v>2.16</v>
      </c>
      <c r="AF57" s="426">
        <v>2.75</v>
      </c>
      <c r="AG57" s="426">
        <v>5.75</v>
      </c>
      <c r="AH57" s="426">
        <f>AA57+AF57+AG57</f>
        <v>34.7</v>
      </c>
      <c r="AI57" s="473"/>
      <c r="AJ57" s="426">
        <v>302</v>
      </c>
      <c r="AK57" s="426">
        <v>0</v>
      </c>
      <c r="AL57" s="427">
        <v>0</v>
      </c>
      <c r="AM57" s="427">
        <v>0</v>
      </c>
      <c r="AN57" s="427">
        <v>0</v>
      </c>
      <c r="AO57" s="427">
        <v>36</v>
      </c>
      <c r="AP57" s="427">
        <v>6</v>
      </c>
      <c r="AQ57" s="427">
        <f>AJ57+AP57</f>
        <v>308</v>
      </c>
      <c r="AR57" s="425">
        <f t="shared" si="99"/>
        <v>70</v>
      </c>
      <c r="AS57" s="425">
        <f t="shared" si="99"/>
        <v>35</v>
      </c>
      <c r="AT57" s="428">
        <f t="shared" si="99"/>
        <v>6.3</v>
      </c>
      <c r="AU57" s="425">
        <f t="shared" si="99"/>
        <v>0</v>
      </c>
      <c r="AV57" s="426">
        <f t="shared" si="99"/>
        <v>22.58</v>
      </c>
      <c r="AW57" s="426">
        <f t="shared" si="99"/>
        <v>0.67</v>
      </c>
      <c r="AX57" s="426">
        <f t="shared" si="99"/>
        <v>2.4</v>
      </c>
      <c r="AY57" s="426">
        <f t="shared" si="99"/>
        <v>17.66</v>
      </c>
      <c r="AZ57" s="426">
        <f t="shared" si="99"/>
        <v>1.85</v>
      </c>
      <c r="BA57" s="426">
        <f t="shared" si="99"/>
        <v>2.75</v>
      </c>
      <c r="BB57" s="426">
        <f t="shared" si="100"/>
        <v>5.75</v>
      </c>
      <c r="BC57" s="429">
        <f t="shared" si="100"/>
        <v>31.08</v>
      </c>
      <c r="BD57" s="430">
        <f t="shared" si="100"/>
        <v>0</v>
      </c>
      <c r="BE57" s="425">
        <f t="shared" si="100"/>
        <v>269</v>
      </c>
      <c r="BF57" s="425">
        <f t="shared" si="100"/>
        <v>0</v>
      </c>
      <c r="BG57" s="425">
        <f t="shared" si="100"/>
        <v>0</v>
      </c>
      <c r="BH57" s="425">
        <f t="shared" si="100"/>
        <v>0</v>
      </c>
      <c r="BI57" s="425">
        <f t="shared" si="100"/>
        <v>0</v>
      </c>
      <c r="BJ57" s="425">
        <f t="shared" si="100"/>
        <v>36</v>
      </c>
      <c r="BK57" s="425">
        <f t="shared" si="100"/>
        <v>7</v>
      </c>
      <c r="BL57" s="431">
        <f>BE57+BK57</f>
        <v>276</v>
      </c>
    </row>
    <row r="58" spans="1:64" s="122" customFormat="1" ht="15" customHeight="1">
      <c r="A58" s="432" t="s">
        <v>248</v>
      </c>
      <c r="B58" s="435">
        <f aca="true" t="shared" si="101" ref="B58:AG58">B56+B57</f>
        <v>73</v>
      </c>
      <c r="C58" s="435">
        <f t="shared" si="101"/>
        <v>34</v>
      </c>
      <c r="D58" s="435">
        <f t="shared" si="101"/>
        <v>6</v>
      </c>
      <c r="E58" s="435">
        <f t="shared" si="101"/>
        <v>0</v>
      </c>
      <c r="F58" s="435">
        <f t="shared" si="101"/>
        <v>20.77</v>
      </c>
      <c r="G58" s="435">
        <f t="shared" si="101"/>
        <v>1</v>
      </c>
      <c r="H58" s="435">
        <f t="shared" si="101"/>
        <v>1.81</v>
      </c>
      <c r="I58" s="435">
        <f t="shared" si="101"/>
        <v>16.26</v>
      </c>
      <c r="J58" s="435">
        <f t="shared" si="101"/>
        <v>1.7</v>
      </c>
      <c r="K58" s="435">
        <f t="shared" si="101"/>
        <v>2.75</v>
      </c>
      <c r="L58" s="435">
        <f t="shared" si="101"/>
        <v>5.75</v>
      </c>
      <c r="M58" s="435">
        <f t="shared" si="101"/>
        <v>29.27</v>
      </c>
      <c r="N58" s="435">
        <f t="shared" si="101"/>
        <v>0</v>
      </c>
      <c r="O58" s="435">
        <f t="shared" si="101"/>
        <v>252</v>
      </c>
      <c r="P58" s="435">
        <f t="shared" si="101"/>
        <v>0</v>
      </c>
      <c r="Q58" s="435">
        <f t="shared" si="101"/>
        <v>0</v>
      </c>
      <c r="R58" s="435">
        <f t="shared" si="101"/>
        <v>0</v>
      </c>
      <c r="S58" s="435">
        <f t="shared" si="101"/>
        <v>0</v>
      </c>
      <c r="T58" s="435">
        <f t="shared" si="101"/>
        <v>36</v>
      </c>
      <c r="U58" s="435">
        <f t="shared" si="101"/>
        <v>7</v>
      </c>
      <c r="V58" s="435">
        <f t="shared" si="101"/>
        <v>259</v>
      </c>
      <c r="W58" s="435">
        <f t="shared" si="101"/>
        <v>74</v>
      </c>
      <c r="X58" s="435">
        <f t="shared" si="101"/>
        <v>42</v>
      </c>
      <c r="Y58" s="435">
        <f t="shared" si="101"/>
        <v>8</v>
      </c>
      <c r="Z58" s="435">
        <f t="shared" si="101"/>
        <v>0</v>
      </c>
      <c r="AA58" s="435">
        <f t="shared" si="101"/>
        <v>30.76</v>
      </c>
      <c r="AB58" s="435">
        <f t="shared" si="101"/>
        <v>0</v>
      </c>
      <c r="AC58" s="435">
        <f t="shared" si="101"/>
        <v>4.57</v>
      </c>
      <c r="AD58" s="435">
        <f t="shared" si="101"/>
        <v>24.03</v>
      </c>
      <c r="AE58" s="435">
        <f t="shared" si="101"/>
        <v>2.16</v>
      </c>
      <c r="AF58" s="435">
        <f t="shared" si="101"/>
        <v>3</v>
      </c>
      <c r="AG58" s="435">
        <f t="shared" si="101"/>
        <v>6.75</v>
      </c>
      <c r="AH58" s="435">
        <f aca="true" t="shared" si="102" ref="AH58:BL58">AH56+AH57</f>
        <v>40.51</v>
      </c>
      <c r="AI58" s="435">
        <f t="shared" si="102"/>
        <v>0</v>
      </c>
      <c r="AJ58" s="435">
        <f t="shared" si="102"/>
        <v>384</v>
      </c>
      <c r="AK58" s="435">
        <f t="shared" si="102"/>
        <v>0</v>
      </c>
      <c r="AL58" s="435">
        <f t="shared" si="102"/>
        <v>0</v>
      </c>
      <c r="AM58" s="435">
        <f t="shared" si="102"/>
        <v>0</v>
      </c>
      <c r="AN58" s="435">
        <f t="shared" si="102"/>
        <v>30</v>
      </c>
      <c r="AO58" s="435">
        <f t="shared" si="102"/>
        <v>39</v>
      </c>
      <c r="AP58" s="435">
        <f t="shared" si="102"/>
        <v>6</v>
      </c>
      <c r="AQ58" s="435">
        <f t="shared" si="102"/>
        <v>390</v>
      </c>
      <c r="AR58" s="434">
        <f t="shared" si="102"/>
        <v>73</v>
      </c>
      <c r="AS58" s="435">
        <f t="shared" si="102"/>
        <v>37</v>
      </c>
      <c r="AT58" s="433">
        <f t="shared" si="102"/>
        <v>6.6</v>
      </c>
      <c r="AU58" s="435">
        <f t="shared" si="102"/>
        <v>0</v>
      </c>
      <c r="AV58" s="435">
        <f t="shared" si="102"/>
        <v>24.1</v>
      </c>
      <c r="AW58" s="435">
        <f t="shared" si="102"/>
        <v>0.67</v>
      </c>
      <c r="AX58" s="435">
        <f t="shared" si="102"/>
        <v>2.73</v>
      </c>
      <c r="AY58" s="435">
        <f t="shared" si="102"/>
        <v>18.85</v>
      </c>
      <c r="AZ58" s="435">
        <f t="shared" si="102"/>
        <v>1.85</v>
      </c>
      <c r="BA58" s="435">
        <f t="shared" si="102"/>
        <v>2.83</v>
      </c>
      <c r="BB58" s="435">
        <f t="shared" si="102"/>
        <v>6.08</v>
      </c>
      <c r="BC58" s="436">
        <f t="shared" si="102"/>
        <v>33.02</v>
      </c>
      <c r="BD58" s="469">
        <f t="shared" si="102"/>
        <v>0</v>
      </c>
      <c r="BE58" s="434">
        <f t="shared" si="102"/>
        <v>296</v>
      </c>
      <c r="BF58" s="434">
        <f t="shared" si="102"/>
        <v>0</v>
      </c>
      <c r="BG58" s="434">
        <f t="shared" si="102"/>
        <v>0</v>
      </c>
      <c r="BH58" s="434">
        <f t="shared" si="102"/>
        <v>0</v>
      </c>
      <c r="BI58" s="434">
        <f t="shared" si="102"/>
        <v>10</v>
      </c>
      <c r="BJ58" s="434">
        <f t="shared" si="102"/>
        <v>37</v>
      </c>
      <c r="BK58" s="434">
        <f t="shared" si="102"/>
        <v>7</v>
      </c>
      <c r="BL58" s="438">
        <f t="shared" si="102"/>
        <v>303</v>
      </c>
    </row>
    <row r="59" spans="1:64" s="122" customFormat="1" ht="15" customHeight="1">
      <c r="A59" s="432" t="s">
        <v>286</v>
      </c>
      <c r="B59" s="435">
        <v>243</v>
      </c>
      <c r="C59" s="435">
        <v>205</v>
      </c>
      <c r="D59" s="435">
        <v>59</v>
      </c>
      <c r="E59" s="435">
        <v>38</v>
      </c>
      <c r="F59" s="435">
        <f>G59+H59+I59+J59</f>
        <v>23.2</v>
      </c>
      <c r="G59" s="435">
        <v>3</v>
      </c>
      <c r="H59" s="435">
        <v>7.6</v>
      </c>
      <c r="I59" s="435">
        <v>11.5</v>
      </c>
      <c r="J59" s="435">
        <v>1.1</v>
      </c>
      <c r="K59" s="435">
        <v>3.8</v>
      </c>
      <c r="L59" s="435">
        <v>2.5</v>
      </c>
      <c r="M59" s="435">
        <f>F59+K59+L59</f>
        <v>29.5</v>
      </c>
      <c r="N59" s="435">
        <v>791</v>
      </c>
      <c r="O59" s="435">
        <v>344</v>
      </c>
      <c r="P59" s="435">
        <v>0</v>
      </c>
      <c r="Q59" s="464">
        <v>0</v>
      </c>
      <c r="R59" s="464">
        <v>0</v>
      </c>
      <c r="S59" s="464">
        <v>0</v>
      </c>
      <c r="T59" s="464">
        <v>0</v>
      </c>
      <c r="U59" s="464">
        <v>0</v>
      </c>
      <c r="V59" s="464">
        <f>O59+U59</f>
        <v>344</v>
      </c>
      <c r="W59" s="435">
        <v>55</v>
      </c>
      <c r="X59" s="435">
        <v>26</v>
      </c>
      <c r="Y59" s="435">
        <v>11</v>
      </c>
      <c r="Z59" s="435">
        <v>38</v>
      </c>
      <c r="AA59" s="435">
        <f>AB59+AC59+AD59+AE59</f>
        <v>6.4</v>
      </c>
      <c r="AB59" s="435">
        <v>0.2</v>
      </c>
      <c r="AC59" s="435">
        <v>2.9</v>
      </c>
      <c r="AD59" s="435">
        <v>3.3</v>
      </c>
      <c r="AE59" s="435">
        <v>0</v>
      </c>
      <c r="AF59" s="435">
        <v>0.8</v>
      </c>
      <c r="AG59" s="435">
        <v>2</v>
      </c>
      <c r="AH59" s="435">
        <f>AA59+AF59+AG59</f>
        <v>9.2</v>
      </c>
      <c r="AI59" s="435">
        <v>791</v>
      </c>
      <c r="AJ59" s="435">
        <v>89</v>
      </c>
      <c r="AK59" s="435">
        <v>0</v>
      </c>
      <c r="AL59" s="464">
        <v>0</v>
      </c>
      <c r="AM59" s="464">
        <v>0</v>
      </c>
      <c r="AN59" s="464">
        <v>0</v>
      </c>
      <c r="AO59" s="464">
        <v>0</v>
      </c>
      <c r="AP59" s="464">
        <v>0</v>
      </c>
      <c r="AQ59" s="464">
        <f>AJ59+AP59</f>
        <v>89</v>
      </c>
      <c r="AR59" s="434">
        <f aca="true" t="shared" si="103" ref="AR59:BA60">(B59*8+W59*4)/12</f>
        <v>180</v>
      </c>
      <c r="AS59" s="434">
        <f t="shared" si="103"/>
        <v>145</v>
      </c>
      <c r="AT59" s="433">
        <f t="shared" si="103"/>
        <v>43</v>
      </c>
      <c r="AU59" s="434">
        <f t="shared" si="103"/>
        <v>38</v>
      </c>
      <c r="AV59" s="435">
        <f t="shared" si="103"/>
        <v>17.6</v>
      </c>
      <c r="AW59" s="435">
        <f t="shared" si="103"/>
        <v>2.07</v>
      </c>
      <c r="AX59" s="435">
        <f t="shared" si="103"/>
        <v>6.03</v>
      </c>
      <c r="AY59" s="435">
        <f t="shared" si="103"/>
        <v>8.77</v>
      </c>
      <c r="AZ59" s="435">
        <f t="shared" si="103"/>
        <v>0.73</v>
      </c>
      <c r="BA59" s="435">
        <f t="shared" si="103"/>
        <v>2.8</v>
      </c>
      <c r="BB59" s="435">
        <f aca="true" t="shared" si="104" ref="BB59:BK60">(L59*8+AG59*4)/12</f>
        <v>2.33</v>
      </c>
      <c r="BC59" s="436">
        <f t="shared" si="104"/>
        <v>22.73</v>
      </c>
      <c r="BD59" s="465">
        <f t="shared" si="104"/>
        <v>791</v>
      </c>
      <c r="BE59" s="434">
        <f t="shared" si="104"/>
        <v>259</v>
      </c>
      <c r="BF59" s="434">
        <f t="shared" si="104"/>
        <v>0</v>
      </c>
      <c r="BG59" s="434">
        <f t="shared" si="104"/>
        <v>0</v>
      </c>
      <c r="BH59" s="434">
        <f t="shared" si="104"/>
        <v>0</v>
      </c>
      <c r="BI59" s="434">
        <f t="shared" si="104"/>
        <v>0</v>
      </c>
      <c r="BJ59" s="434">
        <f t="shared" si="104"/>
        <v>0</v>
      </c>
      <c r="BK59" s="434">
        <f t="shared" si="104"/>
        <v>0</v>
      </c>
      <c r="BL59" s="466">
        <f>BE59+BK59</f>
        <v>259</v>
      </c>
    </row>
    <row r="60" spans="1:64" s="122" customFormat="1" ht="15" customHeight="1">
      <c r="A60" s="432" t="s">
        <v>249</v>
      </c>
      <c r="B60" s="435">
        <v>0</v>
      </c>
      <c r="C60" s="435">
        <v>0</v>
      </c>
      <c r="D60" s="435">
        <v>0</v>
      </c>
      <c r="E60" s="435"/>
      <c r="F60" s="435">
        <f>G60+H60+I60+J60</f>
        <v>7.1</v>
      </c>
      <c r="G60" s="435">
        <v>0</v>
      </c>
      <c r="H60" s="435">
        <v>0</v>
      </c>
      <c r="I60" s="435">
        <v>0.6</v>
      </c>
      <c r="J60" s="435">
        <v>6.5</v>
      </c>
      <c r="K60" s="435">
        <v>2</v>
      </c>
      <c r="L60" s="435">
        <v>0</v>
      </c>
      <c r="M60" s="435">
        <f>F60+K60+L60</f>
        <v>9.1</v>
      </c>
      <c r="N60" s="435"/>
      <c r="O60" s="435">
        <v>0</v>
      </c>
      <c r="P60" s="435">
        <v>0</v>
      </c>
      <c r="Q60" s="464">
        <v>0</v>
      </c>
      <c r="R60" s="464">
        <v>0</v>
      </c>
      <c r="S60" s="464">
        <v>0</v>
      </c>
      <c r="T60" s="464">
        <v>0</v>
      </c>
      <c r="U60" s="464">
        <v>0</v>
      </c>
      <c r="V60" s="464">
        <f>O60+U60</f>
        <v>0</v>
      </c>
      <c r="W60" s="435">
        <v>0</v>
      </c>
      <c r="X60" s="435">
        <v>0</v>
      </c>
      <c r="Y60" s="435">
        <v>0</v>
      </c>
      <c r="Z60" s="435"/>
      <c r="AA60" s="435">
        <f>AB60+AC60+AD60+AE60</f>
        <v>6.8</v>
      </c>
      <c r="AB60" s="435">
        <v>0</v>
      </c>
      <c r="AC60" s="435">
        <v>0</v>
      </c>
      <c r="AD60" s="435">
        <v>0.6</v>
      </c>
      <c r="AE60" s="435">
        <v>6.2</v>
      </c>
      <c r="AF60" s="435">
        <v>2</v>
      </c>
      <c r="AG60" s="435">
        <v>0</v>
      </c>
      <c r="AH60" s="435">
        <f>AA60+AF60+AG60</f>
        <v>8.8</v>
      </c>
      <c r="AI60" s="435"/>
      <c r="AJ60" s="435">
        <v>0</v>
      </c>
      <c r="AK60" s="435">
        <v>0</v>
      </c>
      <c r="AL60" s="464">
        <v>0</v>
      </c>
      <c r="AM60" s="464">
        <v>0</v>
      </c>
      <c r="AN60" s="464">
        <v>0</v>
      </c>
      <c r="AO60" s="464">
        <v>0</v>
      </c>
      <c r="AP60" s="464">
        <v>0</v>
      </c>
      <c r="AQ60" s="464">
        <f>AJ60+AP60</f>
        <v>0</v>
      </c>
      <c r="AR60" s="434">
        <f t="shared" si="103"/>
        <v>0</v>
      </c>
      <c r="AS60" s="434">
        <f t="shared" si="103"/>
        <v>0</v>
      </c>
      <c r="AT60" s="433">
        <f t="shared" si="103"/>
        <v>0</v>
      </c>
      <c r="AU60" s="434">
        <f t="shared" si="103"/>
        <v>0</v>
      </c>
      <c r="AV60" s="435">
        <f t="shared" si="103"/>
        <v>7</v>
      </c>
      <c r="AW60" s="435">
        <f t="shared" si="103"/>
        <v>0</v>
      </c>
      <c r="AX60" s="435">
        <f t="shared" si="103"/>
        <v>0</v>
      </c>
      <c r="AY60" s="435">
        <f t="shared" si="103"/>
        <v>0.6</v>
      </c>
      <c r="AZ60" s="435">
        <f t="shared" si="103"/>
        <v>6.4</v>
      </c>
      <c r="BA60" s="435">
        <f t="shared" si="103"/>
        <v>2</v>
      </c>
      <c r="BB60" s="435">
        <f t="shared" si="104"/>
        <v>0</v>
      </c>
      <c r="BC60" s="436">
        <f t="shared" si="104"/>
        <v>9</v>
      </c>
      <c r="BD60" s="465">
        <f t="shared" si="104"/>
        <v>0</v>
      </c>
      <c r="BE60" s="434">
        <f t="shared" si="104"/>
        <v>0</v>
      </c>
      <c r="BF60" s="434">
        <f t="shared" si="104"/>
        <v>0</v>
      </c>
      <c r="BG60" s="434">
        <f t="shared" si="104"/>
        <v>0</v>
      </c>
      <c r="BH60" s="434">
        <f t="shared" si="104"/>
        <v>0</v>
      </c>
      <c r="BI60" s="434">
        <f t="shared" si="104"/>
        <v>0</v>
      </c>
      <c r="BJ60" s="434">
        <f t="shared" si="104"/>
        <v>0</v>
      </c>
      <c r="BK60" s="434">
        <f t="shared" si="104"/>
        <v>0</v>
      </c>
      <c r="BL60" s="466">
        <f>BE60+BK60</f>
        <v>0</v>
      </c>
    </row>
    <row r="61" spans="1:64" s="89" customFormat="1" ht="11.25" hidden="1">
      <c r="A61" s="474" t="s">
        <v>250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6"/>
      <c r="R61" s="476"/>
      <c r="S61" s="476"/>
      <c r="T61" s="476"/>
      <c r="U61" s="476"/>
      <c r="V61" s="476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6"/>
      <c r="AM61" s="476"/>
      <c r="AN61" s="476"/>
      <c r="AO61" s="476"/>
      <c r="AP61" s="476"/>
      <c r="AQ61" s="476"/>
      <c r="AR61" s="477">
        <f aca="true" t="shared" si="105" ref="AR61:BL61">AR11+AR17+AR32+AR34+AR42+AR54+AR55+AR58+AR59+AR60</f>
        <v>14550</v>
      </c>
      <c r="AS61" s="477">
        <f t="shared" si="105"/>
        <v>3595</v>
      </c>
      <c r="AT61" s="478">
        <f t="shared" si="105"/>
        <v>616.2</v>
      </c>
      <c r="AU61" s="477">
        <f t="shared" si="105"/>
        <v>1458</v>
      </c>
      <c r="AV61" s="479">
        <f t="shared" si="105"/>
        <v>1443.33</v>
      </c>
      <c r="AW61" s="479">
        <f t="shared" si="105"/>
        <v>81.21</v>
      </c>
      <c r="AX61" s="479">
        <f t="shared" si="105"/>
        <v>279.29</v>
      </c>
      <c r="AY61" s="479">
        <f t="shared" si="105"/>
        <v>762.74</v>
      </c>
      <c r="AZ61" s="479">
        <f t="shared" si="105"/>
        <v>320.16</v>
      </c>
      <c r="BA61" s="479">
        <f t="shared" si="105"/>
        <v>139.9</v>
      </c>
      <c r="BB61" s="479">
        <f t="shared" si="105"/>
        <v>286.08</v>
      </c>
      <c r="BC61" s="480">
        <f t="shared" si="105"/>
        <v>1869.31</v>
      </c>
      <c r="BD61" s="481">
        <f t="shared" si="105"/>
        <v>27052</v>
      </c>
      <c r="BE61" s="478">
        <f t="shared" si="105"/>
        <v>24224</v>
      </c>
      <c r="BF61" s="478">
        <f t="shared" si="105"/>
        <v>276</v>
      </c>
      <c r="BG61" s="478">
        <f t="shared" si="105"/>
        <v>208</v>
      </c>
      <c r="BH61" s="478">
        <f t="shared" si="105"/>
        <v>832</v>
      </c>
      <c r="BI61" s="478">
        <f t="shared" si="105"/>
        <v>104</v>
      </c>
      <c r="BJ61" s="478">
        <f t="shared" si="105"/>
        <v>2930</v>
      </c>
      <c r="BK61" s="478">
        <f t="shared" si="105"/>
        <v>772</v>
      </c>
      <c r="BL61" s="482">
        <f t="shared" si="105"/>
        <v>24996</v>
      </c>
    </row>
    <row r="62" spans="1:64" s="453" customFormat="1" ht="21">
      <c r="A62" s="432" t="s">
        <v>258</v>
      </c>
      <c r="B62" s="449">
        <v>100</v>
      </c>
      <c r="C62" s="449">
        <v>0</v>
      </c>
      <c r="D62" s="449">
        <v>0</v>
      </c>
      <c r="E62" s="449">
        <v>2.6</v>
      </c>
      <c r="F62" s="449">
        <f>G62+H62+I62+J62</f>
        <v>3.62</v>
      </c>
      <c r="G62" s="449">
        <v>0</v>
      </c>
      <c r="H62" s="449">
        <v>1.21</v>
      </c>
      <c r="I62" s="449">
        <v>1.16</v>
      </c>
      <c r="J62" s="449">
        <v>1.25</v>
      </c>
      <c r="K62" s="449">
        <v>1</v>
      </c>
      <c r="L62" s="449">
        <v>2</v>
      </c>
      <c r="M62" s="449">
        <f>F62+K62+L62</f>
        <v>6.62</v>
      </c>
      <c r="N62" s="449">
        <v>76</v>
      </c>
      <c r="O62" s="449">
        <v>60</v>
      </c>
      <c r="P62" s="449">
        <v>0</v>
      </c>
      <c r="Q62" s="483">
        <v>0</v>
      </c>
      <c r="R62" s="483">
        <v>0</v>
      </c>
      <c r="S62" s="483">
        <v>0</v>
      </c>
      <c r="T62" s="483">
        <v>0</v>
      </c>
      <c r="U62" s="483">
        <v>11</v>
      </c>
      <c r="V62" s="483">
        <f>O62+U62</f>
        <v>71</v>
      </c>
      <c r="W62" s="449">
        <v>100</v>
      </c>
      <c r="X62" s="449">
        <v>0</v>
      </c>
      <c r="Y62" s="449">
        <v>0</v>
      </c>
      <c r="Z62" s="449">
        <v>2.6</v>
      </c>
      <c r="AA62" s="449">
        <f>AB62+AC62+AD62+AE62</f>
        <v>3.53</v>
      </c>
      <c r="AB62" s="449">
        <v>1.08</v>
      </c>
      <c r="AC62" s="449">
        <v>0.38</v>
      </c>
      <c r="AD62" s="449">
        <v>0.63</v>
      </c>
      <c r="AE62" s="449">
        <v>1.44</v>
      </c>
      <c r="AF62" s="449">
        <v>1</v>
      </c>
      <c r="AG62" s="449">
        <v>2</v>
      </c>
      <c r="AH62" s="449">
        <f>AA62+AF62+AG62</f>
        <v>6.53</v>
      </c>
      <c r="AI62" s="449">
        <v>76</v>
      </c>
      <c r="AJ62" s="449">
        <v>60</v>
      </c>
      <c r="AK62" s="449">
        <v>0</v>
      </c>
      <c r="AL62" s="483">
        <v>0</v>
      </c>
      <c r="AM62" s="483">
        <v>0</v>
      </c>
      <c r="AN62" s="483">
        <v>0</v>
      </c>
      <c r="AO62" s="483">
        <v>0</v>
      </c>
      <c r="AP62" s="483">
        <v>11</v>
      </c>
      <c r="AQ62" s="483">
        <f>AJ62+AP62</f>
        <v>71</v>
      </c>
      <c r="AR62" s="448">
        <f aca="true" t="shared" si="106" ref="AR62:BA64">(B62*8+W62*4)/12</f>
        <v>100</v>
      </c>
      <c r="AS62" s="448">
        <f t="shared" si="106"/>
        <v>0</v>
      </c>
      <c r="AT62" s="447">
        <f t="shared" si="106"/>
        <v>0</v>
      </c>
      <c r="AU62" s="448">
        <f t="shared" si="106"/>
        <v>3</v>
      </c>
      <c r="AV62" s="449">
        <f t="shared" si="106"/>
        <v>3.59</v>
      </c>
      <c r="AW62" s="449">
        <f t="shared" si="106"/>
        <v>0.36</v>
      </c>
      <c r="AX62" s="449">
        <f t="shared" si="106"/>
        <v>0.93</v>
      </c>
      <c r="AY62" s="449">
        <f t="shared" si="106"/>
        <v>0.98</v>
      </c>
      <c r="AZ62" s="449">
        <f t="shared" si="106"/>
        <v>1.31</v>
      </c>
      <c r="BA62" s="449">
        <f t="shared" si="106"/>
        <v>1</v>
      </c>
      <c r="BB62" s="449">
        <f aca="true" t="shared" si="107" ref="BB62:BK64">(L62*8+AG62*4)/12</f>
        <v>2</v>
      </c>
      <c r="BC62" s="450">
        <f t="shared" si="107"/>
        <v>6.59</v>
      </c>
      <c r="BD62" s="484">
        <f t="shared" si="107"/>
        <v>76</v>
      </c>
      <c r="BE62" s="448">
        <f t="shared" si="107"/>
        <v>60</v>
      </c>
      <c r="BF62" s="448">
        <f t="shared" si="107"/>
        <v>0</v>
      </c>
      <c r="BG62" s="448">
        <f t="shared" si="107"/>
        <v>0</v>
      </c>
      <c r="BH62" s="448">
        <f t="shared" si="107"/>
        <v>0</v>
      </c>
      <c r="BI62" s="448">
        <f t="shared" si="107"/>
        <v>0</v>
      </c>
      <c r="BJ62" s="448">
        <f t="shared" si="107"/>
        <v>0</v>
      </c>
      <c r="BK62" s="448">
        <f t="shared" si="107"/>
        <v>11</v>
      </c>
      <c r="BL62" s="485">
        <f>BE62+BK62</f>
        <v>71</v>
      </c>
    </row>
    <row r="63" spans="1:64" s="122" customFormat="1" ht="11.25">
      <c r="A63" s="467" t="s">
        <v>179</v>
      </c>
      <c r="B63" s="440">
        <v>28</v>
      </c>
      <c r="C63" s="440">
        <v>28</v>
      </c>
      <c r="D63" s="441">
        <v>4</v>
      </c>
      <c r="E63" s="441">
        <v>14</v>
      </c>
      <c r="F63" s="441">
        <f>G63+H63+I63+J63</f>
        <v>13</v>
      </c>
      <c r="G63" s="441">
        <v>2</v>
      </c>
      <c r="H63" s="441">
        <v>4</v>
      </c>
      <c r="I63" s="441">
        <v>7</v>
      </c>
      <c r="J63" s="441">
        <v>0</v>
      </c>
      <c r="K63" s="441">
        <v>2.5</v>
      </c>
      <c r="L63" s="441">
        <v>5.5</v>
      </c>
      <c r="M63" s="441">
        <f>F63+K63+L63</f>
        <v>21</v>
      </c>
      <c r="N63" s="440">
        <v>302</v>
      </c>
      <c r="O63" s="440">
        <v>297</v>
      </c>
      <c r="P63" s="440">
        <v>0</v>
      </c>
      <c r="Q63" s="442">
        <v>0</v>
      </c>
      <c r="R63" s="442">
        <v>0</v>
      </c>
      <c r="S63" s="442">
        <v>0</v>
      </c>
      <c r="T63" s="442">
        <v>0</v>
      </c>
      <c r="U63" s="442">
        <v>0</v>
      </c>
      <c r="V63" s="442">
        <f>O63+U63</f>
        <v>297</v>
      </c>
      <c r="W63" s="440">
        <v>26</v>
      </c>
      <c r="X63" s="440">
        <v>24</v>
      </c>
      <c r="Y63" s="441">
        <v>4</v>
      </c>
      <c r="Z63" s="441">
        <v>14</v>
      </c>
      <c r="AA63" s="441">
        <f>AB63+AC63+AD63+AE63</f>
        <v>13</v>
      </c>
      <c r="AB63" s="441">
        <v>4</v>
      </c>
      <c r="AC63" s="441">
        <v>5</v>
      </c>
      <c r="AD63" s="441">
        <v>4</v>
      </c>
      <c r="AE63" s="441">
        <v>0</v>
      </c>
      <c r="AF63" s="441">
        <v>2.25</v>
      </c>
      <c r="AG63" s="441">
        <v>5.5</v>
      </c>
      <c r="AH63" s="441">
        <f>AA63+AF63+AG63</f>
        <v>20.75</v>
      </c>
      <c r="AI63" s="440">
        <v>302</v>
      </c>
      <c r="AJ63" s="440">
        <v>297</v>
      </c>
      <c r="AK63" s="440">
        <v>0</v>
      </c>
      <c r="AL63" s="442">
        <v>0</v>
      </c>
      <c r="AM63" s="442">
        <v>0</v>
      </c>
      <c r="AN63" s="442">
        <v>0</v>
      </c>
      <c r="AO63" s="442">
        <v>0</v>
      </c>
      <c r="AP63" s="442">
        <v>0</v>
      </c>
      <c r="AQ63" s="442">
        <f>AJ63+AP63</f>
        <v>297</v>
      </c>
      <c r="AR63" s="440">
        <f t="shared" si="106"/>
        <v>27</v>
      </c>
      <c r="AS63" s="440">
        <f t="shared" si="106"/>
        <v>27</v>
      </c>
      <c r="AT63" s="443">
        <f t="shared" si="106"/>
        <v>4</v>
      </c>
      <c r="AU63" s="440">
        <f t="shared" si="106"/>
        <v>14</v>
      </c>
      <c r="AV63" s="441">
        <f t="shared" si="106"/>
        <v>13</v>
      </c>
      <c r="AW63" s="441">
        <f t="shared" si="106"/>
        <v>2.67</v>
      </c>
      <c r="AX63" s="441">
        <f t="shared" si="106"/>
        <v>4.33</v>
      </c>
      <c r="AY63" s="441">
        <f t="shared" si="106"/>
        <v>6</v>
      </c>
      <c r="AZ63" s="441">
        <f t="shared" si="106"/>
        <v>0</v>
      </c>
      <c r="BA63" s="441">
        <f t="shared" si="106"/>
        <v>2.42</v>
      </c>
      <c r="BB63" s="441">
        <f t="shared" si="107"/>
        <v>5.5</v>
      </c>
      <c r="BC63" s="444">
        <f t="shared" si="107"/>
        <v>20.92</v>
      </c>
      <c r="BD63" s="445">
        <f t="shared" si="107"/>
        <v>302</v>
      </c>
      <c r="BE63" s="440">
        <f t="shared" si="107"/>
        <v>297</v>
      </c>
      <c r="BF63" s="440">
        <f t="shared" si="107"/>
        <v>0</v>
      </c>
      <c r="BG63" s="440">
        <f t="shared" si="107"/>
        <v>0</v>
      </c>
      <c r="BH63" s="440">
        <f t="shared" si="107"/>
        <v>0</v>
      </c>
      <c r="BI63" s="440">
        <f t="shared" si="107"/>
        <v>0</v>
      </c>
      <c r="BJ63" s="440">
        <f t="shared" si="107"/>
        <v>0</v>
      </c>
      <c r="BK63" s="440">
        <f t="shared" si="107"/>
        <v>0</v>
      </c>
      <c r="BL63" s="446">
        <f>BE63+BK63</f>
        <v>297</v>
      </c>
    </row>
    <row r="64" spans="1:64" s="122" customFormat="1" ht="11.25">
      <c r="A64" s="468" t="s">
        <v>180</v>
      </c>
      <c r="B64" s="425">
        <v>32</v>
      </c>
      <c r="C64" s="425">
        <v>16</v>
      </c>
      <c r="D64" s="426">
        <v>4</v>
      </c>
      <c r="E64" s="426">
        <v>15.07</v>
      </c>
      <c r="F64" s="426">
        <f>G64+H64+I64+J64</f>
        <v>13.33</v>
      </c>
      <c r="G64" s="426">
        <v>1.75</v>
      </c>
      <c r="H64" s="426">
        <v>3.14</v>
      </c>
      <c r="I64" s="426">
        <v>8.44</v>
      </c>
      <c r="J64" s="426">
        <v>0</v>
      </c>
      <c r="K64" s="426">
        <v>1.75</v>
      </c>
      <c r="L64" s="426">
        <v>5.25</v>
      </c>
      <c r="M64" s="426">
        <f>F64+K64+L64</f>
        <v>20.33</v>
      </c>
      <c r="N64" s="425">
        <v>318</v>
      </c>
      <c r="O64" s="425">
        <v>278</v>
      </c>
      <c r="P64" s="425">
        <v>0</v>
      </c>
      <c r="Q64" s="427">
        <v>0</v>
      </c>
      <c r="R64" s="427">
        <v>0</v>
      </c>
      <c r="S64" s="427">
        <v>0</v>
      </c>
      <c r="T64" s="427">
        <v>0</v>
      </c>
      <c r="U64" s="427">
        <v>0</v>
      </c>
      <c r="V64" s="427">
        <f>O64+U64</f>
        <v>278</v>
      </c>
      <c r="W64" s="425">
        <v>29</v>
      </c>
      <c r="X64" s="425">
        <v>13</v>
      </c>
      <c r="Y64" s="426">
        <v>3</v>
      </c>
      <c r="Z64" s="426">
        <v>15.07</v>
      </c>
      <c r="AA64" s="426">
        <f>AB64+AC64+AD64+AE64</f>
        <v>12.89</v>
      </c>
      <c r="AB64" s="426">
        <v>1.25</v>
      </c>
      <c r="AC64" s="426">
        <v>1.5</v>
      </c>
      <c r="AD64" s="426">
        <v>10.14</v>
      </c>
      <c r="AE64" s="426">
        <v>0</v>
      </c>
      <c r="AF64" s="426">
        <v>1.75</v>
      </c>
      <c r="AG64" s="426">
        <v>5.25</v>
      </c>
      <c r="AH64" s="426">
        <f>AA64+AF64+AG64</f>
        <v>19.89</v>
      </c>
      <c r="AI64" s="425">
        <v>318</v>
      </c>
      <c r="AJ64" s="425">
        <v>278</v>
      </c>
      <c r="AK64" s="425">
        <v>0</v>
      </c>
      <c r="AL64" s="427">
        <v>0</v>
      </c>
      <c r="AM64" s="427">
        <v>0</v>
      </c>
      <c r="AN64" s="427">
        <v>0</v>
      </c>
      <c r="AO64" s="427">
        <v>0</v>
      </c>
      <c r="AP64" s="427">
        <v>0</v>
      </c>
      <c r="AQ64" s="427">
        <f>AJ64+AP64</f>
        <v>278</v>
      </c>
      <c r="AR64" s="425">
        <f t="shared" si="106"/>
        <v>31</v>
      </c>
      <c r="AS64" s="425">
        <f t="shared" si="106"/>
        <v>15</v>
      </c>
      <c r="AT64" s="428">
        <f t="shared" si="106"/>
        <v>3.7</v>
      </c>
      <c r="AU64" s="425">
        <f t="shared" si="106"/>
        <v>15</v>
      </c>
      <c r="AV64" s="426">
        <f t="shared" si="106"/>
        <v>13.18</v>
      </c>
      <c r="AW64" s="426">
        <f t="shared" si="106"/>
        <v>1.58</v>
      </c>
      <c r="AX64" s="426">
        <f t="shared" si="106"/>
        <v>2.59</v>
      </c>
      <c r="AY64" s="426">
        <f t="shared" si="106"/>
        <v>9.01</v>
      </c>
      <c r="AZ64" s="426">
        <f t="shared" si="106"/>
        <v>0</v>
      </c>
      <c r="BA64" s="426">
        <f t="shared" si="106"/>
        <v>1.75</v>
      </c>
      <c r="BB64" s="426">
        <f t="shared" si="107"/>
        <v>5.25</v>
      </c>
      <c r="BC64" s="429">
        <f t="shared" si="107"/>
        <v>20.18</v>
      </c>
      <c r="BD64" s="430">
        <f t="shared" si="107"/>
        <v>318</v>
      </c>
      <c r="BE64" s="425">
        <f t="shared" si="107"/>
        <v>278</v>
      </c>
      <c r="BF64" s="425">
        <f t="shared" si="107"/>
        <v>0</v>
      </c>
      <c r="BG64" s="425">
        <f t="shared" si="107"/>
        <v>0</v>
      </c>
      <c r="BH64" s="425">
        <f t="shared" si="107"/>
        <v>0</v>
      </c>
      <c r="BI64" s="425">
        <f t="shared" si="107"/>
        <v>0</v>
      </c>
      <c r="BJ64" s="425">
        <f t="shared" si="107"/>
        <v>0</v>
      </c>
      <c r="BK64" s="425">
        <f t="shared" si="107"/>
        <v>0</v>
      </c>
      <c r="BL64" s="431">
        <f>BE64+BK64</f>
        <v>278</v>
      </c>
    </row>
    <row r="65" spans="1:64" s="122" customFormat="1" ht="15.75" customHeight="1">
      <c r="A65" s="432" t="s">
        <v>283</v>
      </c>
      <c r="B65" s="449">
        <f aca="true" t="shared" si="108" ref="B65:AG65">B63+B64</f>
        <v>60</v>
      </c>
      <c r="C65" s="449">
        <f t="shared" si="108"/>
        <v>44</v>
      </c>
      <c r="D65" s="449">
        <f t="shared" si="108"/>
        <v>8</v>
      </c>
      <c r="E65" s="449">
        <f t="shared" si="108"/>
        <v>29.07</v>
      </c>
      <c r="F65" s="449">
        <f t="shared" si="108"/>
        <v>26.33</v>
      </c>
      <c r="G65" s="449">
        <f t="shared" si="108"/>
        <v>3.75</v>
      </c>
      <c r="H65" s="449">
        <f t="shared" si="108"/>
        <v>7.14</v>
      </c>
      <c r="I65" s="449">
        <f t="shared" si="108"/>
        <v>15.44</v>
      </c>
      <c r="J65" s="449">
        <f t="shared" si="108"/>
        <v>0</v>
      </c>
      <c r="K65" s="449">
        <f t="shared" si="108"/>
        <v>4.25</v>
      </c>
      <c r="L65" s="449">
        <f t="shared" si="108"/>
        <v>10.75</v>
      </c>
      <c r="M65" s="449">
        <f t="shared" si="108"/>
        <v>41.33</v>
      </c>
      <c r="N65" s="449">
        <f t="shared" si="108"/>
        <v>620</v>
      </c>
      <c r="O65" s="449">
        <f t="shared" si="108"/>
        <v>575</v>
      </c>
      <c r="P65" s="449">
        <f t="shared" si="108"/>
        <v>0</v>
      </c>
      <c r="Q65" s="449">
        <f t="shared" si="108"/>
        <v>0</v>
      </c>
      <c r="R65" s="449">
        <f t="shared" si="108"/>
        <v>0</v>
      </c>
      <c r="S65" s="449">
        <f t="shared" si="108"/>
        <v>0</v>
      </c>
      <c r="T65" s="449">
        <f t="shared" si="108"/>
        <v>0</v>
      </c>
      <c r="U65" s="449">
        <f t="shared" si="108"/>
        <v>0</v>
      </c>
      <c r="V65" s="449">
        <f t="shared" si="108"/>
        <v>575</v>
      </c>
      <c r="W65" s="449">
        <f t="shared" si="108"/>
        <v>55</v>
      </c>
      <c r="X65" s="449">
        <f t="shared" si="108"/>
        <v>37</v>
      </c>
      <c r="Y65" s="449">
        <f t="shared" si="108"/>
        <v>7</v>
      </c>
      <c r="Z65" s="449">
        <f t="shared" si="108"/>
        <v>29.07</v>
      </c>
      <c r="AA65" s="449">
        <f t="shared" si="108"/>
        <v>25.89</v>
      </c>
      <c r="AB65" s="449">
        <f t="shared" si="108"/>
        <v>5.25</v>
      </c>
      <c r="AC65" s="449">
        <f t="shared" si="108"/>
        <v>6.5</v>
      </c>
      <c r="AD65" s="449">
        <f t="shared" si="108"/>
        <v>14.14</v>
      </c>
      <c r="AE65" s="449">
        <f t="shared" si="108"/>
        <v>0</v>
      </c>
      <c r="AF65" s="449">
        <f t="shared" si="108"/>
        <v>4</v>
      </c>
      <c r="AG65" s="449">
        <f t="shared" si="108"/>
        <v>10.75</v>
      </c>
      <c r="AH65" s="449">
        <f aca="true" t="shared" si="109" ref="AH65:BL65">AH63+AH64</f>
        <v>40.64</v>
      </c>
      <c r="AI65" s="449">
        <f t="shared" si="109"/>
        <v>620</v>
      </c>
      <c r="AJ65" s="449">
        <f t="shared" si="109"/>
        <v>575</v>
      </c>
      <c r="AK65" s="449">
        <f t="shared" si="109"/>
        <v>0</v>
      </c>
      <c r="AL65" s="449">
        <f t="shared" si="109"/>
        <v>0</v>
      </c>
      <c r="AM65" s="449">
        <f t="shared" si="109"/>
        <v>0</v>
      </c>
      <c r="AN65" s="449">
        <f t="shared" si="109"/>
        <v>0</v>
      </c>
      <c r="AO65" s="449">
        <f t="shared" si="109"/>
        <v>0</v>
      </c>
      <c r="AP65" s="449">
        <f t="shared" si="109"/>
        <v>0</v>
      </c>
      <c r="AQ65" s="449">
        <f t="shared" si="109"/>
        <v>575</v>
      </c>
      <c r="AR65" s="448">
        <f t="shared" si="109"/>
        <v>58</v>
      </c>
      <c r="AS65" s="449">
        <f t="shared" si="109"/>
        <v>42</v>
      </c>
      <c r="AT65" s="447">
        <f t="shared" si="109"/>
        <v>7.7</v>
      </c>
      <c r="AU65" s="449">
        <f t="shared" si="109"/>
        <v>29</v>
      </c>
      <c r="AV65" s="449">
        <f t="shared" si="109"/>
        <v>26.18</v>
      </c>
      <c r="AW65" s="449">
        <f t="shared" si="109"/>
        <v>4.25</v>
      </c>
      <c r="AX65" s="449">
        <f t="shared" si="109"/>
        <v>6.92</v>
      </c>
      <c r="AY65" s="449">
        <f t="shared" si="109"/>
        <v>15.01</v>
      </c>
      <c r="AZ65" s="449">
        <f t="shared" si="109"/>
        <v>0</v>
      </c>
      <c r="BA65" s="449">
        <f t="shared" si="109"/>
        <v>4.17</v>
      </c>
      <c r="BB65" s="449">
        <f t="shared" si="109"/>
        <v>10.75</v>
      </c>
      <c r="BC65" s="450">
        <f t="shared" si="109"/>
        <v>41.1</v>
      </c>
      <c r="BD65" s="486">
        <f t="shared" si="109"/>
        <v>620</v>
      </c>
      <c r="BE65" s="448">
        <f t="shared" si="109"/>
        <v>575</v>
      </c>
      <c r="BF65" s="448">
        <f t="shared" si="109"/>
        <v>0</v>
      </c>
      <c r="BG65" s="448">
        <f t="shared" si="109"/>
        <v>0</v>
      </c>
      <c r="BH65" s="448">
        <f t="shared" si="109"/>
        <v>0</v>
      </c>
      <c r="BI65" s="448">
        <f t="shared" si="109"/>
        <v>0</v>
      </c>
      <c r="BJ65" s="448">
        <f t="shared" si="109"/>
        <v>0</v>
      </c>
      <c r="BK65" s="448">
        <f t="shared" si="109"/>
        <v>0</v>
      </c>
      <c r="BL65" s="452">
        <f t="shared" si="109"/>
        <v>575</v>
      </c>
    </row>
    <row r="66" spans="1:64" s="122" customFormat="1" ht="15" customHeight="1">
      <c r="A66" s="467" t="s">
        <v>182</v>
      </c>
      <c r="B66" s="487">
        <v>2589</v>
      </c>
      <c r="C66" s="487">
        <v>130</v>
      </c>
      <c r="D66" s="441">
        <v>0</v>
      </c>
      <c r="E66" s="441">
        <v>19</v>
      </c>
      <c r="F66" s="441">
        <f>G66+H66+I66+J66</f>
        <v>22.32</v>
      </c>
      <c r="G66" s="441">
        <v>0.15</v>
      </c>
      <c r="H66" s="441">
        <v>2.4</v>
      </c>
      <c r="I66" s="441">
        <v>8.18</v>
      </c>
      <c r="J66" s="441">
        <v>11.59</v>
      </c>
      <c r="K66" s="441">
        <v>2.97</v>
      </c>
      <c r="L66" s="441">
        <v>1.35</v>
      </c>
      <c r="M66" s="441">
        <f>F66+K66+L66</f>
        <v>26.64</v>
      </c>
      <c r="N66" s="440">
        <v>364</v>
      </c>
      <c r="O66" s="440">
        <v>429</v>
      </c>
      <c r="P66" s="440">
        <v>0</v>
      </c>
      <c r="Q66" s="442">
        <v>0</v>
      </c>
      <c r="R66" s="442">
        <v>0</v>
      </c>
      <c r="S66" s="442">
        <v>0</v>
      </c>
      <c r="T66" s="442">
        <v>0</v>
      </c>
      <c r="U66" s="442">
        <v>0</v>
      </c>
      <c r="V66" s="442">
        <f>O66+U66</f>
        <v>429</v>
      </c>
      <c r="W66" s="487">
        <v>2334</v>
      </c>
      <c r="X66" s="487">
        <v>94</v>
      </c>
      <c r="Y66" s="441">
        <v>0</v>
      </c>
      <c r="Z66" s="441">
        <v>19</v>
      </c>
      <c r="AA66" s="441">
        <f>AB66+AC66+AD66+AE66</f>
        <v>22.03</v>
      </c>
      <c r="AB66" s="441">
        <v>1</v>
      </c>
      <c r="AC66" s="441">
        <v>1</v>
      </c>
      <c r="AD66" s="441">
        <v>10.5</v>
      </c>
      <c r="AE66" s="441">
        <v>9.53</v>
      </c>
      <c r="AF66" s="441">
        <v>2.9</v>
      </c>
      <c r="AG66" s="441">
        <v>1.35</v>
      </c>
      <c r="AH66" s="441">
        <f>AA66+AF66+AG66</f>
        <v>26.28</v>
      </c>
      <c r="AI66" s="440">
        <v>364</v>
      </c>
      <c r="AJ66" s="440">
        <v>423</v>
      </c>
      <c r="AK66" s="440">
        <v>0</v>
      </c>
      <c r="AL66" s="442">
        <v>0</v>
      </c>
      <c r="AM66" s="442">
        <v>0</v>
      </c>
      <c r="AN66" s="442">
        <v>0</v>
      </c>
      <c r="AO66" s="442">
        <v>0</v>
      </c>
      <c r="AP66" s="442">
        <v>0</v>
      </c>
      <c r="AQ66" s="442">
        <f>AJ66+AP66</f>
        <v>423</v>
      </c>
      <c r="AR66" s="487">
        <f aca="true" t="shared" si="110" ref="AR66:BK66">(B66*8+W66*4)/12</f>
        <v>2504</v>
      </c>
      <c r="AS66" s="487">
        <f t="shared" si="110"/>
        <v>118</v>
      </c>
      <c r="AT66" s="443">
        <f t="shared" si="110"/>
        <v>0</v>
      </c>
      <c r="AU66" s="440">
        <f t="shared" si="110"/>
        <v>19</v>
      </c>
      <c r="AV66" s="441">
        <f t="shared" si="110"/>
        <v>22.22</v>
      </c>
      <c r="AW66" s="441">
        <f t="shared" si="110"/>
        <v>0.43</v>
      </c>
      <c r="AX66" s="441">
        <f t="shared" si="110"/>
        <v>1.93</v>
      </c>
      <c r="AY66" s="441">
        <f t="shared" si="110"/>
        <v>8.95</v>
      </c>
      <c r="AZ66" s="441">
        <f t="shared" si="110"/>
        <v>10.9</v>
      </c>
      <c r="BA66" s="441">
        <f t="shared" si="110"/>
        <v>2.95</v>
      </c>
      <c r="BB66" s="441">
        <f t="shared" si="110"/>
        <v>1.35</v>
      </c>
      <c r="BC66" s="444">
        <f t="shared" si="110"/>
        <v>26.52</v>
      </c>
      <c r="BD66" s="445">
        <f t="shared" si="110"/>
        <v>364</v>
      </c>
      <c r="BE66" s="440">
        <f t="shared" si="110"/>
        <v>427</v>
      </c>
      <c r="BF66" s="440">
        <f t="shared" si="110"/>
        <v>0</v>
      </c>
      <c r="BG66" s="440">
        <f t="shared" si="110"/>
        <v>0</v>
      </c>
      <c r="BH66" s="440">
        <f t="shared" si="110"/>
        <v>0</v>
      </c>
      <c r="BI66" s="440">
        <f t="shared" si="110"/>
        <v>0</v>
      </c>
      <c r="BJ66" s="440">
        <f t="shared" si="110"/>
        <v>0</v>
      </c>
      <c r="BK66" s="440">
        <f t="shared" si="110"/>
        <v>0</v>
      </c>
      <c r="BL66" s="446">
        <f>BE66+BK66</f>
        <v>427</v>
      </c>
    </row>
    <row r="67" spans="1:64" s="122" customFormat="1" ht="15" customHeight="1">
      <c r="A67" s="488" t="s">
        <v>183</v>
      </c>
      <c r="B67" s="489">
        <v>2527</v>
      </c>
      <c r="C67" s="489">
        <v>31</v>
      </c>
      <c r="D67" s="418">
        <v>0</v>
      </c>
      <c r="E67" s="418">
        <v>15</v>
      </c>
      <c r="F67" s="418">
        <f>G67+H67+I67+J67</f>
        <v>17.88</v>
      </c>
      <c r="G67" s="418">
        <v>0.38</v>
      </c>
      <c r="H67" s="418">
        <v>1.5</v>
      </c>
      <c r="I67" s="418">
        <v>9.81</v>
      </c>
      <c r="J67" s="418">
        <v>6.19</v>
      </c>
      <c r="K67" s="418">
        <v>2.9</v>
      </c>
      <c r="L67" s="418">
        <v>1.5</v>
      </c>
      <c r="M67" s="418">
        <f>F67+K67+L67</f>
        <v>22.28</v>
      </c>
      <c r="N67" s="417">
        <v>290</v>
      </c>
      <c r="O67" s="417">
        <v>342</v>
      </c>
      <c r="P67" s="417">
        <v>0</v>
      </c>
      <c r="Q67" s="419">
        <v>0</v>
      </c>
      <c r="R67" s="419">
        <v>0</v>
      </c>
      <c r="S67" s="419">
        <v>0</v>
      </c>
      <c r="T67" s="419">
        <v>0</v>
      </c>
      <c r="U67" s="419">
        <v>0</v>
      </c>
      <c r="V67" s="419">
        <f>O67+U67</f>
        <v>342</v>
      </c>
      <c r="W67" s="489">
        <v>2830</v>
      </c>
      <c r="X67" s="489">
        <v>65</v>
      </c>
      <c r="Y67" s="418">
        <v>0</v>
      </c>
      <c r="Z67" s="418">
        <v>15</v>
      </c>
      <c r="AA67" s="418">
        <f>AB67+AC67+AD67+AE67</f>
        <v>18</v>
      </c>
      <c r="AB67" s="418">
        <v>0</v>
      </c>
      <c r="AC67" s="418">
        <v>2</v>
      </c>
      <c r="AD67" s="418">
        <v>4</v>
      </c>
      <c r="AE67" s="418">
        <v>12</v>
      </c>
      <c r="AF67" s="418">
        <v>2.8</v>
      </c>
      <c r="AG67" s="418">
        <v>1.75</v>
      </c>
      <c r="AH67" s="418">
        <f>AA67+AF67+AG67</f>
        <v>22.55</v>
      </c>
      <c r="AI67" s="417">
        <v>290</v>
      </c>
      <c r="AJ67" s="417">
        <v>344</v>
      </c>
      <c r="AK67" s="417">
        <v>0</v>
      </c>
      <c r="AL67" s="419">
        <v>0</v>
      </c>
      <c r="AM67" s="419">
        <v>0</v>
      </c>
      <c r="AN67" s="419">
        <v>0</v>
      </c>
      <c r="AO67" s="419">
        <v>0</v>
      </c>
      <c r="AP67" s="419">
        <v>0</v>
      </c>
      <c r="AQ67" s="419">
        <f>AJ67+AP67</f>
        <v>344</v>
      </c>
      <c r="AR67" s="489">
        <v>5357</v>
      </c>
      <c r="AS67" s="489">
        <v>96</v>
      </c>
      <c r="AT67" s="420">
        <f aca="true" t="shared" si="111" ref="AT67:BC68">(D67*8+Y67*4)/12</f>
        <v>0</v>
      </c>
      <c r="AU67" s="417">
        <f t="shared" si="111"/>
        <v>15</v>
      </c>
      <c r="AV67" s="418">
        <f t="shared" si="111"/>
        <v>17.92</v>
      </c>
      <c r="AW67" s="418">
        <f t="shared" si="111"/>
        <v>0.25</v>
      </c>
      <c r="AX67" s="418">
        <f t="shared" si="111"/>
        <v>1.67</v>
      </c>
      <c r="AY67" s="418">
        <f t="shared" si="111"/>
        <v>7.87</v>
      </c>
      <c r="AZ67" s="418">
        <f t="shared" si="111"/>
        <v>8.13</v>
      </c>
      <c r="BA67" s="418">
        <f t="shared" si="111"/>
        <v>2.87</v>
      </c>
      <c r="BB67" s="418">
        <f t="shared" si="111"/>
        <v>1.58</v>
      </c>
      <c r="BC67" s="421">
        <f t="shared" si="111"/>
        <v>22.37</v>
      </c>
      <c r="BD67" s="422">
        <f aca="true" t="shared" si="112" ref="BD67:BK68">(N67*8+AI67*4)/12</f>
        <v>290</v>
      </c>
      <c r="BE67" s="417">
        <f t="shared" si="112"/>
        <v>343</v>
      </c>
      <c r="BF67" s="417">
        <f t="shared" si="112"/>
        <v>0</v>
      </c>
      <c r="BG67" s="417">
        <f t="shared" si="112"/>
        <v>0</v>
      </c>
      <c r="BH67" s="417">
        <f t="shared" si="112"/>
        <v>0</v>
      </c>
      <c r="BI67" s="417">
        <f t="shared" si="112"/>
        <v>0</v>
      </c>
      <c r="BJ67" s="417">
        <f t="shared" si="112"/>
        <v>0</v>
      </c>
      <c r="BK67" s="417">
        <f t="shared" si="112"/>
        <v>0</v>
      </c>
      <c r="BL67" s="423">
        <f>BE67+BK67</f>
        <v>343</v>
      </c>
    </row>
    <row r="68" spans="1:64" s="122" customFormat="1" ht="15" customHeight="1">
      <c r="A68" s="468" t="s">
        <v>184</v>
      </c>
      <c r="B68" s="490">
        <v>2306</v>
      </c>
      <c r="C68" s="490"/>
      <c r="D68" s="425">
        <v>0</v>
      </c>
      <c r="E68" s="426">
        <v>16</v>
      </c>
      <c r="F68" s="426">
        <f>G68+H68+I68+J68</f>
        <v>16.2</v>
      </c>
      <c r="G68" s="426">
        <v>0.69</v>
      </c>
      <c r="H68" s="426">
        <v>0</v>
      </c>
      <c r="I68" s="426">
        <v>11.93</v>
      </c>
      <c r="J68" s="426">
        <v>3.58</v>
      </c>
      <c r="K68" s="426">
        <v>2.4</v>
      </c>
      <c r="L68" s="426">
        <v>1.35</v>
      </c>
      <c r="M68" s="426">
        <f>F68+K68+L68</f>
        <v>19.95</v>
      </c>
      <c r="N68" s="425">
        <v>306</v>
      </c>
      <c r="O68" s="425">
        <v>310</v>
      </c>
      <c r="P68" s="425">
        <v>0</v>
      </c>
      <c r="Q68" s="427">
        <v>0</v>
      </c>
      <c r="R68" s="427">
        <v>0</v>
      </c>
      <c r="S68" s="427">
        <v>0</v>
      </c>
      <c r="T68" s="427">
        <v>0</v>
      </c>
      <c r="U68" s="427">
        <v>0</v>
      </c>
      <c r="V68" s="427">
        <f>O68+U68</f>
        <v>310</v>
      </c>
      <c r="W68" s="490">
        <v>1811</v>
      </c>
      <c r="X68" s="490"/>
      <c r="Y68" s="425">
        <v>0</v>
      </c>
      <c r="Z68" s="426">
        <v>16</v>
      </c>
      <c r="AA68" s="426">
        <f>AB68+AC68+AD68+AE68</f>
        <v>16.88</v>
      </c>
      <c r="AB68" s="426">
        <v>1</v>
      </c>
      <c r="AC68" s="426">
        <v>0</v>
      </c>
      <c r="AD68" s="426">
        <v>9.95</v>
      </c>
      <c r="AE68" s="426">
        <v>5.93</v>
      </c>
      <c r="AF68" s="426">
        <v>2.3</v>
      </c>
      <c r="AG68" s="426">
        <v>1.35</v>
      </c>
      <c r="AH68" s="426">
        <f>AA68+AF68+AG68</f>
        <v>20.53</v>
      </c>
      <c r="AI68" s="425">
        <v>306</v>
      </c>
      <c r="AJ68" s="425">
        <v>314</v>
      </c>
      <c r="AK68" s="425">
        <v>0</v>
      </c>
      <c r="AL68" s="427">
        <v>0</v>
      </c>
      <c r="AM68" s="427">
        <v>0</v>
      </c>
      <c r="AN68" s="427">
        <v>0</v>
      </c>
      <c r="AO68" s="427">
        <v>0</v>
      </c>
      <c r="AP68" s="427">
        <v>0</v>
      </c>
      <c r="AQ68" s="427">
        <f>AJ68+AP68</f>
        <v>314</v>
      </c>
      <c r="AR68" s="490">
        <f>(B68*8+W68*4)/12</f>
        <v>2141</v>
      </c>
      <c r="AS68" s="490">
        <f>(C68*8+X68*4)/12</f>
        <v>0</v>
      </c>
      <c r="AT68" s="428">
        <f t="shared" si="111"/>
        <v>0</v>
      </c>
      <c r="AU68" s="425">
        <f t="shared" si="111"/>
        <v>16</v>
      </c>
      <c r="AV68" s="426">
        <f t="shared" si="111"/>
        <v>16.43</v>
      </c>
      <c r="AW68" s="426">
        <f t="shared" si="111"/>
        <v>0.79</v>
      </c>
      <c r="AX68" s="426">
        <f t="shared" si="111"/>
        <v>0</v>
      </c>
      <c r="AY68" s="426">
        <f t="shared" si="111"/>
        <v>11.27</v>
      </c>
      <c r="AZ68" s="426">
        <f t="shared" si="111"/>
        <v>4.36</v>
      </c>
      <c r="BA68" s="426">
        <f t="shared" si="111"/>
        <v>2.37</v>
      </c>
      <c r="BB68" s="426">
        <f t="shared" si="111"/>
        <v>1.35</v>
      </c>
      <c r="BC68" s="429">
        <f t="shared" si="111"/>
        <v>20.14</v>
      </c>
      <c r="BD68" s="430">
        <f t="shared" si="112"/>
        <v>306</v>
      </c>
      <c r="BE68" s="425">
        <f t="shared" si="112"/>
        <v>311</v>
      </c>
      <c r="BF68" s="425">
        <f t="shared" si="112"/>
        <v>0</v>
      </c>
      <c r="BG68" s="425">
        <f t="shared" si="112"/>
        <v>0</v>
      </c>
      <c r="BH68" s="425">
        <f t="shared" si="112"/>
        <v>0</v>
      </c>
      <c r="BI68" s="425">
        <f t="shared" si="112"/>
        <v>0</v>
      </c>
      <c r="BJ68" s="425">
        <f t="shared" si="112"/>
        <v>0</v>
      </c>
      <c r="BK68" s="425">
        <f t="shared" si="112"/>
        <v>0</v>
      </c>
      <c r="BL68" s="431">
        <f>BE68+BK68</f>
        <v>311</v>
      </c>
    </row>
    <row r="69" spans="1:64" s="122" customFormat="1" ht="15.75" customHeight="1">
      <c r="A69" s="432" t="s">
        <v>284</v>
      </c>
      <c r="B69" s="449">
        <f aca="true" t="shared" si="113" ref="B69:AG69">SUM(B66:B68)</f>
        <v>7422</v>
      </c>
      <c r="C69" s="449">
        <f t="shared" si="113"/>
        <v>161</v>
      </c>
      <c r="D69" s="449">
        <f t="shared" si="113"/>
        <v>0</v>
      </c>
      <c r="E69" s="449">
        <f t="shared" si="113"/>
        <v>50</v>
      </c>
      <c r="F69" s="449">
        <f t="shared" si="113"/>
        <v>56.4</v>
      </c>
      <c r="G69" s="449">
        <f t="shared" si="113"/>
        <v>1.22</v>
      </c>
      <c r="H69" s="449">
        <f t="shared" si="113"/>
        <v>3.9</v>
      </c>
      <c r="I69" s="449">
        <f t="shared" si="113"/>
        <v>29.92</v>
      </c>
      <c r="J69" s="449">
        <f t="shared" si="113"/>
        <v>21.36</v>
      </c>
      <c r="K69" s="449">
        <f t="shared" si="113"/>
        <v>8.27</v>
      </c>
      <c r="L69" s="449">
        <f t="shared" si="113"/>
        <v>4.2</v>
      </c>
      <c r="M69" s="449">
        <f t="shared" si="113"/>
        <v>68.87</v>
      </c>
      <c r="N69" s="449">
        <f t="shared" si="113"/>
        <v>960</v>
      </c>
      <c r="O69" s="449">
        <f t="shared" si="113"/>
        <v>1081</v>
      </c>
      <c r="P69" s="449">
        <f t="shared" si="113"/>
        <v>0</v>
      </c>
      <c r="Q69" s="449">
        <f t="shared" si="113"/>
        <v>0</v>
      </c>
      <c r="R69" s="449">
        <f t="shared" si="113"/>
        <v>0</v>
      </c>
      <c r="S69" s="449">
        <f t="shared" si="113"/>
        <v>0</v>
      </c>
      <c r="T69" s="449">
        <f t="shared" si="113"/>
        <v>0</v>
      </c>
      <c r="U69" s="449">
        <f t="shared" si="113"/>
        <v>0</v>
      </c>
      <c r="V69" s="449">
        <f t="shared" si="113"/>
        <v>1081</v>
      </c>
      <c r="W69" s="449">
        <f t="shared" si="113"/>
        <v>6975</v>
      </c>
      <c r="X69" s="449">
        <f t="shared" si="113"/>
        <v>159</v>
      </c>
      <c r="Y69" s="449">
        <f t="shared" si="113"/>
        <v>0</v>
      </c>
      <c r="Z69" s="449">
        <f t="shared" si="113"/>
        <v>50</v>
      </c>
      <c r="AA69" s="449">
        <f t="shared" si="113"/>
        <v>56.91</v>
      </c>
      <c r="AB69" s="449">
        <f t="shared" si="113"/>
        <v>2</v>
      </c>
      <c r="AC69" s="449">
        <f t="shared" si="113"/>
        <v>3</v>
      </c>
      <c r="AD69" s="449">
        <f t="shared" si="113"/>
        <v>24.45</v>
      </c>
      <c r="AE69" s="449">
        <f t="shared" si="113"/>
        <v>27.46</v>
      </c>
      <c r="AF69" s="449">
        <f t="shared" si="113"/>
        <v>8</v>
      </c>
      <c r="AG69" s="449">
        <f t="shared" si="113"/>
        <v>4.45</v>
      </c>
      <c r="AH69" s="449">
        <f aca="true" t="shared" si="114" ref="AH69:BL69">SUM(AH66:AH68)</f>
        <v>69.36</v>
      </c>
      <c r="AI69" s="449">
        <f t="shared" si="114"/>
        <v>960</v>
      </c>
      <c r="AJ69" s="449">
        <f t="shared" si="114"/>
        <v>1081</v>
      </c>
      <c r="AK69" s="449">
        <f t="shared" si="114"/>
        <v>0</v>
      </c>
      <c r="AL69" s="449">
        <f t="shared" si="114"/>
        <v>0</v>
      </c>
      <c r="AM69" s="449">
        <f t="shared" si="114"/>
        <v>0</v>
      </c>
      <c r="AN69" s="449">
        <f t="shared" si="114"/>
        <v>0</v>
      </c>
      <c r="AO69" s="449">
        <f t="shared" si="114"/>
        <v>0</v>
      </c>
      <c r="AP69" s="449">
        <f t="shared" si="114"/>
        <v>0</v>
      </c>
      <c r="AQ69" s="449">
        <f t="shared" si="114"/>
        <v>1081</v>
      </c>
      <c r="AR69" s="448">
        <f t="shared" si="114"/>
        <v>10002</v>
      </c>
      <c r="AS69" s="449">
        <f t="shared" si="114"/>
        <v>214</v>
      </c>
      <c r="AT69" s="447">
        <f t="shared" si="114"/>
        <v>0</v>
      </c>
      <c r="AU69" s="449">
        <f t="shared" si="114"/>
        <v>50</v>
      </c>
      <c r="AV69" s="449">
        <f t="shared" si="114"/>
        <v>56.57</v>
      </c>
      <c r="AW69" s="449">
        <f t="shared" si="114"/>
        <v>1.47</v>
      </c>
      <c r="AX69" s="449">
        <f t="shared" si="114"/>
        <v>3.6</v>
      </c>
      <c r="AY69" s="449">
        <f t="shared" si="114"/>
        <v>28.09</v>
      </c>
      <c r="AZ69" s="449">
        <f t="shared" si="114"/>
        <v>23.39</v>
      </c>
      <c r="BA69" s="449">
        <f t="shared" si="114"/>
        <v>8.19</v>
      </c>
      <c r="BB69" s="449">
        <f t="shared" si="114"/>
        <v>4.28</v>
      </c>
      <c r="BC69" s="450">
        <f t="shared" si="114"/>
        <v>69.03</v>
      </c>
      <c r="BD69" s="486">
        <f t="shared" si="114"/>
        <v>960</v>
      </c>
      <c r="BE69" s="448">
        <f t="shared" si="114"/>
        <v>1081</v>
      </c>
      <c r="BF69" s="448">
        <f t="shared" si="114"/>
        <v>0</v>
      </c>
      <c r="BG69" s="448">
        <f t="shared" si="114"/>
        <v>0</v>
      </c>
      <c r="BH69" s="448">
        <f t="shared" si="114"/>
        <v>0</v>
      </c>
      <c r="BI69" s="448">
        <f t="shared" si="114"/>
        <v>0</v>
      </c>
      <c r="BJ69" s="448">
        <f t="shared" si="114"/>
        <v>0</v>
      </c>
      <c r="BK69" s="448">
        <f t="shared" si="114"/>
        <v>0</v>
      </c>
      <c r="BL69" s="452">
        <f t="shared" si="114"/>
        <v>1081</v>
      </c>
    </row>
    <row r="70" spans="1:64" s="122" customFormat="1" ht="15.75" customHeight="1">
      <c r="A70" s="432" t="s">
        <v>285</v>
      </c>
      <c r="B70" s="449">
        <v>743</v>
      </c>
      <c r="C70" s="449">
        <v>0</v>
      </c>
      <c r="D70" s="435">
        <v>78</v>
      </c>
      <c r="E70" s="435">
        <v>14.7</v>
      </c>
      <c r="F70" s="435">
        <f>G70+H70+I70+J70</f>
        <v>18.72</v>
      </c>
      <c r="G70" s="435">
        <v>3.61</v>
      </c>
      <c r="H70" s="435">
        <v>5.39</v>
      </c>
      <c r="I70" s="435">
        <v>8.47</v>
      </c>
      <c r="J70" s="435">
        <v>1.25</v>
      </c>
      <c r="K70" s="435">
        <v>3.25</v>
      </c>
      <c r="L70" s="435">
        <v>6.25</v>
      </c>
      <c r="M70" s="435">
        <f>F70+K70+L70</f>
        <v>28.22</v>
      </c>
      <c r="N70" s="435">
        <v>245</v>
      </c>
      <c r="O70" s="435">
        <v>289</v>
      </c>
      <c r="P70" s="435">
        <v>0</v>
      </c>
      <c r="Q70" s="464">
        <v>0</v>
      </c>
      <c r="R70" s="464">
        <v>0</v>
      </c>
      <c r="S70" s="464">
        <v>0</v>
      </c>
      <c r="T70" s="464">
        <v>0</v>
      </c>
      <c r="U70" s="464">
        <v>0</v>
      </c>
      <c r="V70" s="464">
        <f>O70+U70</f>
        <v>289</v>
      </c>
      <c r="W70" s="449">
        <v>771</v>
      </c>
      <c r="X70" s="449">
        <v>0</v>
      </c>
      <c r="Y70" s="435">
        <v>77</v>
      </c>
      <c r="Z70" s="435">
        <v>14.7</v>
      </c>
      <c r="AA70" s="435">
        <f>AB70+AC70+AD70+AE70</f>
        <v>17.34</v>
      </c>
      <c r="AB70" s="435">
        <v>3.44</v>
      </c>
      <c r="AC70" s="435">
        <v>5.79</v>
      </c>
      <c r="AD70" s="435">
        <v>6.61</v>
      </c>
      <c r="AE70" s="435">
        <v>1.5</v>
      </c>
      <c r="AF70" s="435">
        <v>3.25</v>
      </c>
      <c r="AG70" s="435">
        <v>6.25</v>
      </c>
      <c r="AH70" s="435">
        <f>AA70+AF70+AG70</f>
        <v>26.84</v>
      </c>
      <c r="AI70" s="435">
        <v>245</v>
      </c>
      <c r="AJ70" s="435">
        <v>286</v>
      </c>
      <c r="AK70" s="435">
        <v>0</v>
      </c>
      <c r="AL70" s="464">
        <v>0</v>
      </c>
      <c r="AM70" s="464">
        <v>0</v>
      </c>
      <c r="AN70" s="464">
        <v>0</v>
      </c>
      <c r="AO70" s="464">
        <v>0</v>
      </c>
      <c r="AP70" s="464">
        <v>0</v>
      </c>
      <c r="AQ70" s="464">
        <f>AJ70+AP70</f>
        <v>286</v>
      </c>
      <c r="AR70" s="434">
        <f aca="true" t="shared" si="115" ref="AR70:BA73">(B70*8+W70*4)/12</f>
        <v>752</v>
      </c>
      <c r="AS70" s="434">
        <f t="shared" si="115"/>
        <v>0</v>
      </c>
      <c r="AT70" s="433">
        <f t="shared" si="115"/>
        <v>77.7</v>
      </c>
      <c r="AU70" s="434">
        <f t="shared" si="115"/>
        <v>15</v>
      </c>
      <c r="AV70" s="435">
        <f t="shared" si="115"/>
        <v>18.26</v>
      </c>
      <c r="AW70" s="435">
        <f t="shared" si="115"/>
        <v>3.55</v>
      </c>
      <c r="AX70" s="435">
        <f t="shared" si="115"/>
        <v>5.52</v>
      </c>
      <c r="AY70" s="435">
        <f t="shared" si="115"/>
        <v>7.85</v>
      </c>
      <c r="AZ70" s="435">
        <f t="shared" si="115"/>
        <v>1.33</v>
      </c>
      <c r="BA70" s="435">
        <f t="shared" si="115"/>
        <v>3.25</v>
      </c>
      <c r="BB70" s="435">
        <f aca="true" t="shared" si="116" ref="BB70:BK73">(L70*8+AG70*4)/12</f>
        <v>6.25</v>
      </c>
      <c r="BC70" s="436">
        <f t="shared" si="116"/>
        <v>27.76</v>
      </c>
      <c r="BD70" s="465">
        <f t="shared" si="116"/>
        <v>245</v>
      </c>
      <c r="BE70" s="434">
        <f t="shared" si="116"/>
        <v>288</v>
      </c>
      <c r="BF70" s="434">
        <f t="shared" si="116"/>
        <v>0</v>
      </c>
      <c r="BG70" s="434">
        <f t="shared" si="116"/>
        <v>0</v>
      </c>
      <c r="BH70" s="434">
        <f t="shared" si="116"/>
        <v>0</v>
      </c>
      <c r="BI70" s="434">
        <f t="shared" si="116"/>
        <v>0</v>
      </c>
      <c r="BJ70" s="434">
        <f t="shared" si="116"/>
        <v>0</v>
      </c>
      <c r="BK70" s="434">
        <f t="shared" si="116"/>
        <v>0</v>
      </c>
      <c r="BL70" s="466">
        <f>BE70+BK70</f>
        <v>288</v>
      </c>
    </row>
    <row r="71" spans="1:64" s="122" customFormat="1" ht="14.25" customHeight="1">
      <c r="A71" s="467" t="s">
        <v>149</v>
      </c>
      <c r="B71" s="491">
        <v>128</v>
      </c>
      <c r="C71" s="491">
        <v>128</v>
      </c>
      <c r="D71" s="491">
        <v>4</v>
      </c>
      <c r="E71" s="492">
        <v>6.7</v>
      </c>
      <c r="F71" s="441">
        <f>G71+H71+I71+J71</f>
        <v>9.76</v>
      </c>
      <c r="G71" s="492">
        <v>2.76</v>
      </c>
      <c r="H71" s="492">
        <v>1</v>
      </c>
      <c r="I71" s="492">
        <v>5.67</v>
      </c>
      <c r="J71" s="492">
        <v>0.33</v>
      </c>
      <c r="K71" s="492">
        <v>1</v>
      </c>
      <c r="L71" s="492">
        <v>8.75</v>
      </c>
      <c r="M71" s="441">
        <f>F71+K71+L71</f>
        <v>19.51</v>
      </c>
      <c r="N71" s="487">
        <v>205</v>
      </c>
      <c r="O71" s="487">
        <v>233</v>
      </c>
      <c r="P71" s="487">
        <v>0</v>
      </c>
      <c r="Q71" s="442">
        <v>0</v>
      </c>
      <c r="R71" s="442">
        <v>0</v>
      </c>
      <c r="S71" s="442">
        <v>0</v>
      </c>
      <c r="T71" s="442">
        <v>0</v>
      </c>
      <c r="U71" s="442">
        <v>0</v>
      </c>
      <c r="V71" s="442">
        <f>O71+U71</f>
        <v>233</v>
      </c>
      <c r="W71" s="491">
        <v>125</v>
      </c>
      <c r="X71" s="491">
        <v>125</v>
      </c>
      <c r="Y71" s="491">
        <v>4</v>
      </c>
      <c r="Z71" s="492">
        <v>6.7</v>
      </c>
      <c r="AA71" s="441">
        <f>AB71+AC71+AD71+AE71</f>
        <v>8.33</v>
      </c>
      <c r="AB71" s="492">
        <v>2</v>
      </c>
      <c r="AC71" s="492">
        <v>1</v>
      </c>
      <c r="AD71" s="492">
        <v>5</v>
      </c>
      <c r="AE71" s="492">
        <v>0.33</v>
      </c>
      <c r="AF71" s="492">
        <v>1</v>
      </c>
      <c r="AG71" s="492">
        <v>10.75</v>
      </c>
      <c r="AH71" s="441">
        <f>AA71+AF71+AG71</f>
        <v>20.08</v>
      </c>
      <c r="AI71" s="487">
        <v>205</v>
      </c>
      <c r="AJ71" s="487">
        <v>250</v>
      </c>
      <c r="AK71" s="487">
        <v>0</v>
      </c>
      <c r="AL71" s="442">
        <v>0</v>
      </c>
      <c r="AM71" s="442">
        <v>0</v>
      </c>
      <c r="AN71" s="442">
        <v>0</v>
      </c>
      <c r="AO71" s="442">
        <v>0</v>
      </c>
      <c r="AP71" s="442">
        <v>0</v>
      </c>
      <c r="AQ71" s="442">
        <f>AJ71+AP71</f>
        <v>250</v>
      </c>
      <c r="AR71" s="440">
        <f t="shared" si="115"/>
        <v>127</v>
      </c>
      <c r="AS71" s="440">
        <f t="shared" si="115"/>
        <v>127</v>
      </c>
      <c r="AT71" s="443">
        <f t="shared" si="115"/>
        <v>4</v>
      </c>
      <c r="AU71" s="440">
        <f t="shared" si="115"/>
        <v>7</v>
      </c>
      <c r="AV71" s="441">
        <f t="shared" si="115"/>
        <v>9.28</v>
      </c>
      <c r="AW71" s="441">
        <f t="shared" si="115"/>
        <v>2.51</v>
      </c>
      <c r="AX71" s="441">
        <f t="shared" si="115"/>
        <v>1</v>
      </c>
      <c r="AY71" s="441">
        <f t="shared" si="115"/>
        <v>5.45</v>
      </c>
      <c r="AZ71" s="441">
        <f t="shared" si="115"/>
        <v>0.33</v>
      </c>
      <c r="BA71" s="441">
        <f t="shared" si="115"/>
        <v>1</v>
      </c>
      <c r="BB71" s="441">
        <f t="shared" si="116"/>
        <v>9.42</v>
      </c>
      <c r="BC71" s="444">
        <f t="shared" si="116"/>
        <v>19.7</v>
      </c>
      <c r="BD71" s="445">
        <f t="shared" si="116"/>
        <v>205</v>
      </c>
      <c r="BE71" s="440">
        <f t="shared" si="116"/>
        <v>239</v>
      </c>
      <c r="BF71" s="440">
        <f t="shared" si="116"/>
        <v>0</v>
      </c>
      <c r="BG71" s="440">
        <f t="shared" si="116"/>
        <v>0</v>
      </c>
      <c r="BH71" s="440">
        <f t="shared" si="116"/>
        <v>0</v>
      </c>
      <c r="BI71" s="440">
        <f t="shared" si="116"/>
        <v>0</v>
      </c>
      <c r="BJ71" s="440">
        <f t="shared" si="116"/>
        <v>0</v>
      </c>
      <c r="BK71" s="440">
        <f t="shared" si="116"/>
        <v>0</v>
      </c>
      <c r="BL71" s="446">
        <f>BE71+BK71</f>
        <v>239</v>
      </c>
    </row>
    <row r="72" spans="1:64" s="122" customFormat="1" ht="14.25" customHeight="1">
      <c r="A72" s="488" t="s">
        <v>189</v>
      </c>
      <c r="B72" s="417">
        <v>110</v>
      </c>
      <c r="C72" s="417">
        <v>110</v>
      </c>
      <c r="D72" s="418">
        <v>6</v>
      </c>
      <c r="E72" s="418">
        <v>10</v>
      </c>
      <c r="F72" s="418">
        <f>G72+H72+I72+J72</f>
        <v>9</v>
      </c>
      <c r="G72" s="418">
        <v>0.7</v>
      </c>
      <c r="H72" s="418">
        <v>1.6</v>
      </c>
      <c r="I72" s="418">
        <v>6.7</v>
      </c>
      <c r="J72" s="418">
        <v>0</v>
      </c>
      <c r="K72" s="418">
        <v>3.2</v>
      </c>
      <c r="L72" s="418">
        <v>12</v>
      </c>
      <c r="M72" s="418">
        <f>F72+K72+L72</f>
        <v>24.2</v>
      </c>
      <c r="N72" s="417">
        <v>294</v>
      </c>
      <c r="O72" s="417">
        <v>250</v>
      </c>
      <c r="P72" s="417">
        <v>0</v>
      </c>
      <c r="Q72" s="419">
        <v>0</v>
      </c>
      <c r="R72" s="419">
        <v>0</v>
      </c>
      <c r="S72" s="419">
        <v>0</v>
      </c>
      <c r="T72" s="419">
        <v>0</v>
      </c>
      <c r="U72" s="419">
        <v>0</v>
      </c>
      <c r="V72" s="419">
        <f>O72+U72</f>
        <v>250</v>
      </c>
      <c r="W72" s="417">
        <v>15</v>
      </c>
      <c r="X72" s="417">
        <v>15</v>
      </c>
      <c r="Y72" s="418">
        <v>2</v>
      </c>
      <c r="Z72" s="418">
        <v>10</v>
      </c>
      <c r="AA72" s="418">
        <f>AB72+AC72+AD72+AE72</f>
        <v>5.6</v>
      </c>
      <c r="AB72" s="418">
        <v>0</v>
      </c>
      <c r="AC72" s="418">
        <v>0.6</v>
      </c>
      <c r="AD72" s="418">
        <v>5</v>
      </c>
      <c r="AE72" s="418">
        <v>0</v>
      </c>
      <c r="AF72" s="418">
        <v>3.2</v>
      </c>
      <c r="AG72" s="418">
        <v>9</v>
      </c>
      <c r="AH72" s="418">
        <f>AA72+AF72+AG72</f>
        <v>17.8</v>
      </c>
      <c r="AI72" s="417">
        <v>294</v>
      </c>
      <c r="AJ72" s="417">
        <v>170</v>
      </c>
      <c r="AK72" s="417">
        <v>0</v>
      </c>
      <c r="AL72" s="419">
        <v>0</v>
      </c>
      <c r="AM72" s="419">
        <v>0</v>
      </c>
      <c r="AN72" s="419">
        <v>0</v>
      </c>
      <c r="AO72" s="419">
        <v>0</v>
      </c>
      <c r="AP72" s="419">
        <v>0</v>
      </c>
      <c r="AQ72" s="419">
        <f>AJ72+AP72</f>
        <v>170</v>
      </c>
      <c r="AR72" s="417">
        <f t="shared" si="115"/>
        <v>78</v>
      </c>
      <c r="AS72" s="417">
        <f t="shared" si="115"/>
        <v>78</v>
      </c>
      <c r="AT72" s="420">
        <f t="shared" si="115"/>
        <v>4.7</v>
      </c>
      <c r="AU72" s="417">
        <f t="shared" si="115"/>
        <v>10</v>
      </c>
      <c r="AV72" s="418">
        <f t="shared" si="115"/>
        <v>7.87</v>
      </c>
      <c r="AW72" s="418">
        <f t="shared" si="115"/>
        <v>0.47</v>
      </c>
      <c r="AX72" s="418">
        <f t="shared" si="115"/>
        <v>1.27</v>
      </c>
      <c r="AY72" s="418">
        <f t="shared" si="115"/>
        <v>6.13</v>
      </c>
      <c r="AZ72" s="418">
        <f t="shared" si="115"/>
        <v>0</v>
      </c>
      <c r="BA72" s="418">
        <f t="shared" si="115"/>
        <v>3.2</v>
      </c>
      <c r="BB72" s="418">
        <f t="shared" si="116"/>
        <v>11</v>
      </c>
      <c r="BC72" s="421">
        <f t="shared" si="116"/>
        <v>22.07</v>
      </c>
      <c r="BD72" s="422">
        <f t="shared" si="116"/>
        <v>294</v>
      </c>
      <c r="BE72" s="417">
        <f t="shared" si="116"/>
        <v>223</v>
      </c>
      <c r="BF72" s="417">
        <f t="shared" si="116"/>
        <v>0</v>
      </c>
      <c r="BG72" s="417">
        <f t="shared" si="116"/>
        <v>0</v>
      </c>
      <c r="BH72" s="417">
        <f t="shared" si="116"/>
        <v>0</v>
      </c>
      <c r="BI72" s="417">
        <f t="shared" si="116"/>
        <v>0</v>
      </c>
      <c r="BJ72" s="417">
        <f t="shared" si="116"/>
        <v>0</v>
      </c>
      <c r="BK72" s="417">
        <f t="shared" si="116"/>
        <v>0</v>
      </c>
      <c r="BL72" s="423">
        <f>BE72+BK72</f>
        <v>223</v>
      </c>
    </row>
    <row r="73" spans="1:64" s="122" customFormat="1" ht="14.25" customHeight="1">
      <c r="A73" s="424" t="s">
        <v>187</v>
      </c>
      <c r="B73" s="425">
        <v>115</v>
      </c>
      <c r="C73" s="425">
        <v>115</v>
      </c>
      <c r="D73" s="426">
        <v>3</v>
      </c>
      <c r="E73" s="426">
        <v>6</v>
      </c>
      <c r="F73" s="426">
        <f>G73+H73+I73+J73</f>
        <v>6.07</v>
      </c>
      <c r="G73" s="426">
        <v>1.5</v>
      </c>
      <c r="H73" s="426">
        <v>1.23</v>
      </c>
      <c r="I73" s="426">
        <v>3.34</v>
      </c>
      <c r="J73" s="426">
        <v>0</v>
      </c>
      <c r="K73" s="426">
        <v>4</v>
      </c>
      <c r="L73" s="426">
        <v>12</v>
      </c>
      <c r="M73" s="426">
        <f>F73+K73+L73</f>
        <v>22.07</v>
      </c>
      <c r="N73" s="425">
        <v>162</v>
      </c>
      <c r="O73" s="425">
        <v>159</v>
      </c>
      <c r="P73" s="425">
        <v>0</v>
      </c>
      <c r="Q73" s="427">
        <v>0</v>
      </c>
      <c r="R73" s="427">
        <v>0</v>
      </c>
      <c r="S73" s="427">
        <v>0</v>
      </c>
      <c r="T73" s="427">
        <v>12</v>
      </c>
      <c r="U73" s="427">
        <v>0</v>
      </c>
      <c r="V73" s="427">
        <f>O73+U73</f>
        <v>159</v>
      </c>
      <c r="W73" s="425">
        <v>86</v>
      </c>
      <c r="X73" s="425">
        <v>86</v>
      </c>
      <c r="Y73" s="426">
        <v>3</v>
      </c>
      <c r="Z73" s="426">
        <v>6</v>
      </c>
      <c r="AA73" s="426">
        <f>AB73+AC73+AD73+AE73</f>
        <v>5.91</v>
      </c>
      <c r="AB73" s="426">
        <v>2.37</v>
      </c>
      <c r="AC73" s="426">
        <v>2.13</v>
      </c>
      <c r="AD73" s="426">
        <v>1.41</v>
      </c>
      <c r="AE73" s="426">
        <v>0</v>
      </c>
      <c r="AF73" s="426">
        <v>3.75</v>
      </c>
      <c r="AG73" s="426">
        <v>12</v>
      </c>
      <c r="AH73" s="426">
        <f>AA73+AF73+AG73</f>
        <v>21.66</v>
      </c>
      <c r="AI73" s="425">
        <v>162</v>
      </c>
      <c r="AJ73" s="425">
        <v>162</v>
      </c>
      <c r="AK73" s="425">
        <v>0</v>
      </c>
      <c r="AL73" s="427">
        <v>0</v>
      </c>
      <c r="AM73" s="427">
        <v>0</v>
      </c>
      <c r="AN73" s="427">
        <v>0</v>
      </c>
      <c r="AO73" s="427">
        <v>12</v>
      </c>
      <c r="AP73" s="427">
        <v>0</v>
      </c>
      <c r="AQ73" s="427">
        <f>AJ73+AP73</f>
        <v>162</v>
      </c>
      <c r="AR73" s="425">
        <f t="shared" si="115"/>
        <v>105</v>
      </c>
      <c r="AS73" s="425">
        <f t="shared" si="115"/>
        <v>105</v>
      </c>
      <c r="AT73" s="428">
        <f t="shared" si="115"/>
        <v>3</v>
      </c>
      <c r="AU73" s="425">
        <f t="shared" si="115"/>
        <v>6</v>
      </c>
      <c r="AV73" s="426">
        <f t="shared" si="115"/>
        <v>6.02</v>
      </c>
      <c r="AW73" s="426">
        <f t="shared" si="115"/>
        <v>1.79</v>
      </c>
      <c r="AX73" s="426">
        <f t="shared" si="115"/>
        <v>1.53</v>
      </c>
      <c r="AY73" s="426">
        <f t="shared" si="115"/>
        <v>2.7</v>
      </c>
      <c r="AZ73" s="426">
        <f t="shared" si="115"/>
        <v>0</v>
      </c>
      <c r="BA73" s="426">
        <f t="shared" si="115"/>
        <v>3.92</v>
      </c>
      <c r="BB73" s="426">
        <f t="shared" si="116"/>
        <v>12</v>
      </c>
      <c r="BC73" s="429">
        <f t="shared" si="116"/>
        <v>21.93</v>
      </c>
      <c r="BD73" s="430">
        <f t="shared" si="116"/>
        <v>162</v>
      </c>
      <c r="BE73" s="425">
        <f t="shared" si="116"/>
        <v>160</v>
      </c>
      <c r="BF73" s="425">
        <f t="shared" si="116"/>
        <v>0</v>
      </c>
      <c r="BG73" s="425">
        <f t="shared" si="116"/>
        <v>0</v>
      </c>
      <c r="BH73" s="425">
        <f t="shared" si="116"/>
        <v>0</v>
      </c>
      <c r="BI73" s="425">
        <f t="shared" si="116"/>
        <v>0</v>
      </c>
      <c r="BJ73" s="425">
        <f t="shared" si="116"/>
        <v>12</v>
      </c>
      <c r="BK73" s="425">
        <f t="shared" si="116"/>
        <v>0</v>
      </c>
      <c r="BL73" s="431">
        <f>BE73+BK73</f>
        <v>160</v>
      </c>
    </row>
    <row r="74" spans="1:64" s="122" customFormat="1" ht="15.75" customHeight="1">
      <c r="A74" s="432" t="s">
        <v>251</v>
      </c>
      <c r="B74" s="435">
        <f aca="true" t="shared" si="117" ref="B74:AG74">SUM(B71:B73)</f>
        <v>353</v>
      </c>
      <c r="C74" s="435">
        <f t="shared" si="117"/>
        <v>353</v>
      </c>
      <c r="D74" s="435">
        <f t="shared" si="117"/>
        <v>13</v>
      </c>
      <c r="E74" s="435">
        <f t="shared" si="117"/>
        <v>22.7</v>
      </c>
      <c r="F74" s="435">
        <f t="shared" si="117"/>
        <v>24.83</v>
      </c>
      <c r="G74" s="435">
        <f t="shared" si="117"/>
        <v>4.96</v>
      </c>
      <c r="H74" s="435">
        <f t="shared" si="117"/>
        <v>3.83</v>
      </c>
      <c r="I74" s="435">
        <f t="shared" si="117"/>
        <v>15.71</v>
      </c>
      <c r="J74" s="435">
        <f t="shared" si="117"/>
        <v>0.33</v>
      </c>
      <c r="K74" s="435">
        <f t="shared" si="117"/>
        <v>8.2</v>
      </c>
      <c r="L74" s="435">
        <f t="shared" si="117"/>
        <v>32.75</v>
      </c>
      <c r="M74" s="435">
        <f t="shared" si="117"/>
        <v>65.78</v>
      </c>
      <c r="N74" s="435">
        <f t="shared" si="117"/>
        <v>661</v>
      </c>
      <c r="O74" s="435">
        <f t="shared" si="117"/>
        <v>642</v>
      </c>
      <c r="P74" s="435">
        <f t="shared" si="117"/>
        <v>0</v>
      </c>
      <c r="Q74" s="435">
        <f t="shared" si="117"/>
        <v>0</v>
      </c>
      <c r="R74" s="435">
        <f t="shared" si="117"/>
        <v>0</v>
      </c>
      <c r="S74" s="435">
        <f t="shared" si="117"/>
        <v>0</v>
      </c>
      <c r="T74" s="435">
        <f t="shared" si="117"/>
        <v>12</v>
      </c>
      <c r="U74" s="435">
        <f t="shared" si="117"/>
        <v>0</v>
      </c>
      <c r="V74" s="435">
        <f t="shared" si="117"/>
        <v>642</v>
      </c>
      <c r="W74" s="435">
        <f t="shared" si="117"/>
        <v>226</v>
      </c>
      <c r="X74" s="435">
        <f t="shared" si="117"/>
        <v>226</v>
      </c>
      <c r="Y74" s="435">
        <f t="shared" si="117"/>
        <v>9</v>
      </c>
      <c r="Z74" s="435">
        <f t="shared" si="117"/>
        <v>22.7</v>
      </c>
      <c r="AA74" s="435">
        <f t="shared" si="117"/>
        <v>19.84</v>
      </c>
      <c r="AB74" s="435">
        <f t="shared" si="117"/>
        <v>4.37</v>
      </c>
      <c r="AC74" s="435">
        <f t="shared" si="117"/>
        <v>3.73</v>
      </c>
      <c r="AD74" s="435">
        <f t="shared" si="117"/>
        <v>11.41</v>
      </c>
      <c r="AE74" s="435">
        <f t="shared" si="117"/>
        <v>0.33</v>
      </c>
      <c r="AF74" s="435">
        <f t="shared" si="117"/>
        <v>7.95</v>
      </c>
      <c r="AG74" s="435">
        <f t="shared" si="117"/>
        <v>31.75</v>
      </c>
      <c r="AH74" s="435">
        <f aca="true" t="shared" si="118" ref="AH74:BL74">SUM(AH71:AH73)</f>
        <v>59.54</v>
      </c>
      <c r="AI74" s="435">
        <f t="shared" si="118"/>
        <v>661</v>
      </c>
      <c r="AJ74" s="435">
        <f t="shared" si="118"/>
        <v>582</v>
      </c>
      <c r="AK74" s="435">
        <f t="shared" si="118"/>
        <v>0</v>
      </c>
      <c r="AL74" s="435">
        <f t="shared" si="118"/>
        <v>0</v>
      </c>
      <c r="AM74" s="435">
        <f t="shared" si="118"/>
        <v>0</v>
      </c>
      <c r="AN74" s="435">
        <f t="shared" si="118"/>
        <v>0</v>
      </c>
      <c r="AO74" s="435">
        <f t="shared" si="118"/>
        <v>12</v>
      </c>
      <c r="AP74" s="435">
        <f t="shared" si="118"/>
        <v>0</v>
      </c>
      <c r="AQ74" s="435">
        <f t="shared" si="118"/>
        <v>582</v>
      </c>
      <c r="AR74" s="434">
        <f t="shared" si="118"/>
        <v>310</v>
      </c>
      <c r="AS74" s="435">
        <f t="shared" si="118"/>
        <v>310</v>
      </c>
      <c r="AT74" s="433">
        <f t="shared" si="118"/>
        <v>11.7</v>
      </c>
      <c r="AU74" s="435">
        <f t="shared" si="118"/>
        <v>23</v>
      </c>
      <c r="AV74" s="435">
        <f t="shared" si="118"/>
        <v>23.17</v>
      </c>
      <c r="AW74" s="435">
        <f t="shared" si="118"/>
        <v>4.77</v>
      </c>
      <c r="AX74" s="435">
        <f t="shared" si="118"/>
        <v>3.8</v>
      </c>
      <c r="AY74" s="435">
        <f t="shared" si="118"/>
        <v>14.28</v>
      </c>
      <c r="AZ74" s="435">
        <f t="shared" si="118"/>
        <v>0.33</v>
      </c>
      <c r="BA74" s="435">
        <f t="shared" si="118"/>
        <v>8.12</v>
      </c>
      <c r="BB74" s="435">
        <f t="shared" si="118"/>
        <v>32.42</v>
      </c>
      <c r="BC74" s="436">
        <f t="shared" si="118"/>
        <v>63.7</v>
      </c>
      <c r="BD74" s="469">
        <f t="shared" si="118"/>
        <v>661</v>
      </c>
      <c r="BE74" s="434">
        <f t="shared" si="118"/>
        <v>622</v>
      </c>
      <c r="BF74" s="434">
        <f t="shared" si="118"/>
        <v>0</v>
      </c>
      <c r="BG74" s="434">
        <f t="shared" si="118"/>
        <v>0</v>
      </c>
      <c r="BH74" s="434">
        <f t="shared" si="118"/>
        <v>0</v>
      </c>
      <c r="BI74" s="434">
        <f t="shared" si="118"/>
        <v>0</v>
      </c>
      <c r="BJ74" s="434">
        <f t="shared" si="118"/>
        <v>12</v>
      </c>
      <c r="BK74" s="434">
        <f t="shared" si="118"/>
        <v>0</v>
      </c>
      <c r="BL74" s="438">
        <f t="shared" si="118"/>
        <v>622</v>
      </c>
    </row>
    <row r="75" spans="1:64" s="122" customFormat="1" ht="21">
      <c r="A75" s="432" t="s">
        <v>191</v>
      </c>
      <c r="B75" s="435">
        <v>6351</v>
      </c>
      <c r="C75" s="435">
        <v>0</v>
      </c>
      <c r="D75" s="435"/>
      <c r="E75" s="435"/>
      <c r="F75" s="435">
        <f>G75+H75+I75+J75</f>
        <v>1</v>
      </c>
      <c r="G75" s="435">
        <v>0</v>
      </c>
      <c r="H75" s="435">
        <v>0</v>
      </c>
      <c r="I75" s="435">
        <v>1</v>
      </c>
      <c r="J75" s="435">
        <v>0</v>
      </c>
      <c r="K75" s="435">
        <v>5.5</v>
      </c>
      <c r="L75" s="435">
        <v>3</v>
      </c>
      <c r="M75" s="435">
        <f>F75+K75+L75</f>
        <v>9.5</v>
      </c>
      <c r="N75" s="435"/>
      <c r="O75" s="435">
        <v>0</v>
      </c>
      <c r="P75" s="435">
        <v>0</v>
      </c>
      <c r="Q75" s="435">
        <v>0</v>
      </c>
      <c r="R75" s="435">
        <v>0</v>
      </c>
      <c r="S75" s="435">
        <v>0</v>
      </c>
      <c r="T75" s="435">
        <v>0</v>
      </c>
      <c r="U75" s="435">
        <v>0</v>
      </c>
      <c r="V75" s="435">
        <v>0</v>
      </c>
      <c r="W75" s="435">
        <v>6351</v>
      </c>
      <c r="X75" s="435">
        <v>0</v>
      </c>
      <c r="Y75" s="435">
        <v>0</v>
      </c>
      <c r="Z75" s="435"/>
      <c r="AA75" s="435">
        <f>AB75+AC75+AD75+AE75</f>
        <v>1</v>
      </c>
      <c r="AB75" s="435">
        <v>0</v>
      </c>
      <c r="AC75" s="435">
        <v>0</v>
      </c>
      <c r="AD75" s="435">
        <v>1</v>
      </c>
      <c r="AE75" s="435">
        <v>0</v>
      </c>
      <c r="AF75" s="435">
        <v>5.5</v>
      </c>
      <c r="AG75" s="435">
        <v>3</v>
      </c>
      <c r="AH75" s="435">
        <f>AA75+AF75+AG75</f>
        <v>9.5</v>
      </c>
      <c r="AI75" s="435"/>
      <c r="AJ75" s="435">
        <v>0</v>
      </c>
      <c r="AK75" s="435">
        <v>0</v>
      </c>
      <c r="AL75" s="435">
        <v>0</v>
      </c>
      <c r="AM75" s="435">
        <v>0</v>
      </c>
      <c r="AN75" s="435">
        <v>0</v>
      </c>
      <c r="AO75" s="435">
        <v>0</v>
      </c>
      <c r="AP75" s="435">
        <v>0</v>
      </c>
      <c r="AQ75" s="435">
        <v>0</v>
      </c>
      <c r="AR75" s="434">
        <f aca="true" t="shared" si="119" ref="AR75:BK75">(B75*8+W75*4)/12</f>
        <v>6351</v>
      </c>
      <c r="AS75" s="434">
        <f t="shared" si="119"/>
        <v>0</v>
      </c>
      <c r="AT75" s="433">
        <f t="shared" si="119"/>
        <v>0</v>
      </c>
      <c r="AU75" s="434">
        <f t="shared" si="119"/>
        <v>0</v>
      </c>
      <c r="AV75" s="435">
        <f t="shared" si="119"/>
        <v>1</v>
      </c>
      <c r="AW75" s="435">
        <f t="shared" si="119"/>
        <v>0</v>
      </c>
      <c r="AX75" s="435">
        <f t="shared" si="119"/>
        <v>0</v>
      </c>
      <c r="AY75" s="435">
        <f t="shared" si="119"/>
        <v>1</v>
      </c>
      <c r="AZ75" s="435">
        <f t="shared" si="119"/>
        <v>0</v>
      </c>
      <c r="BA75" s="435">
        <f t="shared" si="119"/>
        <v>5.5</v>
      </c>
      <c r="BB75" s="435">
        <f t="shared" si="119"/>
        <v>3</v>
      </c>
      <c r="BC75" s="436">
        <f t="shared" si="119"/>
        <v>9.5</v>
      </c>
      <c r="BD75" s="465">
        <f t="shared" si="119"/>
        <v>0</v>
      </c>
      <c r="BE75" s="434">
        <f t="shared" si="119"/>
        <v>0</v>
      </c>
      <c r="BF75" s="434">
        <f t="shared" si="119"/>
        <v>0</v>
      </c>
      <c r="BG75" s="434">
        <f t="shared" si="119"/>
        <v>0</v>
      </c>
      <c r="BH75" s="434">
        <f t="shared" si="119"/>
        <v>0</v>
      </c>
      <c r="BI75" s="434">
        <f t="shared" si="119"/>
        <v>0</v>
      </c>
      <c r="BJ75" s="434">
        <f t="shared" si="119"/>
        <v>0</v>
      </c>
      <c r="BK75" s="434">
        <f t="shared" si="119"/>
        <v>0</v>
      </c>
      <c r="BL75" s="466">
        <f>BE75+BK75</f>
        <v>0</v>
      </c>
    </row>
    <row r="76" spans="1:64" s="453" customFormat="1" ht="16.5" customHeight="1">
      <c r="A76" s="493" t="s">
        <v>130</v>
      </c>
      <c r="B76" s="494">
        <f aca="true" t="shared" si="120" ref="B76:AQ76">B11+B17+B32+B42+B54+B55+B58+B59+B60+B62+B65+B70+B74+B75</f>
        <v>22377</v>
      </c>
      <c r="C76" s="494">
        <f t="shared" si="120"/>
        <v>4070</v>
      </c>
      <c r="D76" s="494">
        <f t="shared" si="120"/>
        <v>742.4</v>
      </c>
      <c r="E76" s="494">
        <f t="shared" si="120"/>
        <v>1527.99</v>
      </c>
      <c r="F76" s="494">
        <f t="shared" si="120"/>
        <v>1530.26</v>
      </c>
      <c r="G76" s="494">
        <f t="shared" si="120"/>
        <v>99.55</v>
      </c>
      <c r="H76" s="494">
        <f t="shared" si="120"/>
        <v>302.34</v>
      </c>
      <c r="I76" s="494">
        <f t="shared" si="120"/>
        <v>826.29</v>
      </c>
      <c r="J76" s="494">
        <f t="shared" si="120"/>
        <v>302.28</v>
      </c>
      <c r="K76" s="494">
        <f t="shared" si="120"/>
        <v>163.45</v>
      </c>
      <c r="L76" s="494">
        <f t="shared" si="120"/>
        <v>341</v>
      </c>
      <c r="M76" s="494">
        <f t="shared" si="120"/>
        <v>2034.61</v>
      </c>
      <c r="N76" s="494">
        <f t="shared" si="120"/>
        <v>28654</v>
      </c>
      <c r="O76" s="494">
        <f t="shared" si="120"/>
        <v>25941</v>
      </c>
      <c r="P76" s="494">
        <f t="shared" si="120"/>
        <v>276</v>
      </c>
      <c r="Q76" s="494">
        <f t="shared" si="120"/>
        <v>202</v>
      </c>
      <c r="R76" s="494">
        <f t="shared" si="120"/>
        <v>922.4</v>
      </c>
      <c r="S76" s="494">
        <f t="shared" si="120"/>
        <v>105</v>
      </c>
      <c r="T76" s="494">
        <f t="shared" si="120"/>
        <v>3286.65</v>
      </c>
      <c r="U76" s="494">
        <f t="shared" si="120"/>
        <v>796</v>
      </c>
      <c r="V76" s="494">
        <f t="shared" si="120"/>
        <v>26737</v>
      </c>
      <c r="W76" s="494">
        <f t="shared" si="120"/>
        <v>21610</v>
      </c>
      <c r="X76" s="494">
        <f t="shared" si="120"/>
        <v>3706</v>
      </c>
      <c r="Y76" s="494">
        <f t="shared" si="120"/>
        <v>654.4</v>
      </c>
      <c r="Z76" s="494">
        <f t="shared" si="120"/>
        <v>1527.99</v>
      </c>
      <c r="AA76" s="494">
        <f t="shared" si="120"/>
        <v>1484.37</v>
      </c>
      <c r="AB76" s="494">
        <f t="shared" si="120"/>
        <v>83.25</v>
      </c>
      <c r="AC76" s="494">
        <f t="shared" si="120"/>
        <v>284.48</v>
      </c>
      <c r="AD76" s="494">
        <f t="shared" si="120"/>
        <v>752.44</v>
      </c>
      <c r="AE76" s="494">
        <f t="shared" si="120"/>
        <v>364.2</v>
      </c>
      <c r="AF76" s="494">
        <f t="shared" si="120"/>
        <v>159.1</v>
      </c>
      <c r="AG76" s="494">
        <f t="shared" si="120"/>
        <v>339.75</v>
      </c>
      <c r="AH76" s="494">
        <f t="shared" si="120"/>
        <v>1983.02</v>
      </c>
      <c r="AI76" s="494">
        <f t="shared" si="120"/>
        <v>28654</v>
      </c>
      <c r="AJ76" s="494">
        <f t="shared" si="120"/>
        <v>25393</v>
      </c>
      <c r="AK76" s="494">
        <f t="shared" si="120"/>
        <v>277</v>
      </c>
      <c r="AL76" s="494">
        <f t="shared" si="120"/>
        <v>220</v>
      </c>
      <c r="AM76" s="494">
        <f t="shared" si="120"/>
        <v>650</v>
      </c>
      <c r="AN76" s="494">
        <f t="shared" si="120"/>
        <v>99</v>
      </c>
      <c r="AO76" s="494">
        <f t="shared" si="120"/>
        <v>2256</v>
      </c>
      <c r="AP76" s="494">
        <f t="shared" si="120"/>
        <v>753</v>
      </c>
      <c r="AQ76" s="494">
        <f t="shared" si="120"/>
        <v>26146</v>
      </c>
      <c r="AR76" s="495">
        <f>AR11+AR17+AR32+AR42+AR54+AR55+AR58+AR59+AR60+AR62+AR65+AR70+AR74</f>
        <v>15768</v>
      </c>
      <c r="AS76" s="494">
        <f aca="true" t="shared" si="121" ref="AS76:BL76">AS11+AS17+AS32+AS42+AS54+AS55+AS58+AS59+AS60+AS62+AS65+AS70+AS74+AS75</f>
        <v>3947</v>
      </c>
      <c r="AT76" s="496">
        <f t="shared" si="121"/>
        <v>713</v>
      </c>
      <c r="AU76" s="494">
        <f t="shared" si="121"/>
        <v>1528</v>
      </c>
      <c r="AV76" s="494">
        <f t="shared" si="121"/>
        <v>1514.96</v>
      </c>
      <c r="AW76" s="494">
        <f t="shared" si="121"/>
        <v>94.14</v>
      </c>
      <c r="AX76" s="494">
        <f t="shared" si="121"/>
        <v>296.36</v>
      </c>
      <c r="AY76" s="494">
        <f t="shared" si="121"/>
        <v>801.69</v>
      </c>
      <c r="AZ76" s="494">
        <f t="shared" si="121"/>
        <v>322.83</v>
      </c>
      <c r="BA76" s="494">
        <f t="shared" si="121"/>
        <v>161.94</v>
      </c>
      <c r="BB76" s="494">
        <f t="shared" si="121"/>
        <v>340.5</v>
      </c>
      <c r="BC76" s="497">
        <f t="shared" si="121"/>
        <v>2017.39</v>
      </c>
      <c r="BD76" s="498">
        <f t="shared" si="121"/>
        <v>28654</v>
      </c>
      <c r="BE76" s="495">
        <f t="shared" si="121"/>
        <v>25756</v>
      </c>
      <c r="BF76" s="495">
        <f t="shared" si="121"/>
        <v>276</v>
      </c>
      <c r="BG76" s="495">
        <f t="shared" si="121"/>
        <v>208</v>
      </c>
      <c r="BH76" s="495">
        <f t="shared" si="121"/>
        <v>832</v>
      </c>
      <c r="BI76" s="495">
        <f t="shared" si="121"/>
        <v>104</v>
      </c>
      <c r="BJ76" s="495">
        <f t="shared" si="121"/>
        <v>2942</v>
      </c>
      <c r="BK76" s="495">
        <f t="shared" si="121"/>
        <v>782</v>
      </c>
      <c r="BL76" s="495">
        <f t="shared" si="121"/>
        <v>26538</v>
      </c>
    </row>
    <row r="77" spans="1:64" s="89" customFormat="1" ht="11.25">
      <c r="A77" s="499"/>
      <c r="F77" s="122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AA77" s="122"/>
      <c r="AB77" s="500"/>
      <c r="AC77" s="500"/>
      <c r="AD77" s="500"/>
      <c r="AE77" s="500"/>
      <c r="AF77" s="500"/>
      <c r="AG77" s="500"/>
      <c r="AH77" s="500"/>
      <c r="AI77" s="500"/>
      <c r="AJ77" s="500"/>
      <c r="AK77" s="500"/>
      <c r="AL77" s="500"/>
      <c r="AM77" s="500"/>
      <c r="AN77" s="500"/>
      <c r="AO77" s="500"/>
      <c r="AP77" s="500"/>
      <c r="AQ77" s="500"/>
      <c r="AR77" s="501"/>
      <c r="AT77" s="88"/>
      <c r="AV77" s="502"/>
      <c r="AW77" s="500"/>
      <c r="AX77" s="500"/>
      <c r="AY77" s="500"/>
      <c r="AZ77" s="500"/>
      <c r="BA77" s="500"/>
      <c r="BB77" s="500"/>
      <c r="BC77" s="500"/>
      <c r="BD77" s="500"/>
      <c r="BE77" s="500"/>
      <c r="BF77" s="500"/>
      <c r="BG77" s="500"/>
      <c r="BH77" s="500"/>
      <c r="BI77" s="500"/>
      <c r="BJ77" s="500"/>
      <c r="BK77" s="500"/>
      <c r="BL77" s="500"/>
    </row>
    <row r="78" spans="1:64" s="89" customFormat="1" ht="11.25">
      <c r="A78" s="499"/>
      <c r="F78" s="122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AA78" s="122"/>
      <c r="AB78" s="500"/>
      <c r="AC78" s="500"/>
      <c r="AD78" s="500"/>
      <c r="AE78" s="500"/>
      <c r="AF78" s="500"/>
      <c r="AG78" s="500"/>
      <c r="AH78" s="500"/>
      <c r="AI78" s="500"/>
      <c r="AJ78" s="500"/>
      <c r="AK78" s="500"/>
      <c r="AL78" s="500"/>
      <c r="AM78" s="500"/>
      <c r="AN78" s="500"/>
      <c r="AO78" s="500"/>
      <c r="AP78" s="500"/>
      <c r="AQ78" s="500"/>
      <c r="AR78" s="501"/>
      <c r="AT78" s="88"/>
      <c r="AV78" s="502"/>
      <c r="AW78" s="500"/>
      <c r="AX78" s="500"/>
      <c r="AY78" s="500"/>
      <c r="AZ78" s="500"/>
      <c r="BA78" s="500"/>
      <c r="BB78" s="500"/>
      <c r="BC78" s="500"/>
      <c r="BD78" s="500"/>
      <c r="BE78" s="500"/>
      <c r="BF78" s="500"/>
      <c r="BG78" s="500"/>
      <c r="BH78" s="500"/>
      <c r="BI78" s="500"/>
      <c r="BJ78" s="500"/>
      <c r="BK78" s="500"/>
      <c r="BL78" s="500"/>
    </row>
    <row r="79" spans="1:64" s="89" customFormat="1" ht="11.25">
      <c r="A79" s="499"/>
      <c r="F79" s="122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AA79" s="122"/>
      <c r="AB79" s="500"/>
      <c r="AC79" s="500"/>
      <c r="AD79" s="500"/>
      <c r="AE79" s="500"/>
      <c r="AF79" s="500"/>
      <c r="AG79" s="500"/>
      <c r="AH79" s="500"/>
      <c r="AI79" s="500"/>
      <c r="AJ79" s="500"/>
      <c r="AK79" s="500"/>
      <c r="AL79" s="500"/>
      <c r="AM79" s="500"/>
      <c r="AN79" s="500"/>
      <c r="AO79" s="500"/>
      <c r="AP79" s="500"/>
      <c r="AQ79" s="500"/>
      <c r="AR79" s="501"/>
      <c r="AT79" s="88"/>
      <c r="AV79" s="502"/>
      <c r="AW79" s="500"/>
      <c r="AX79" s="500"/>
      <c r="AY79" s="500"/>
      <c r="AZ79" s="500"/>
      <c r="BA79" s="500"/>
      <c r="BB79" s="500"/>
      <c r="BC79" s="500"/>
      <c r="BD79" s="500"/>
      <c r="BE79" s="500"/>
      <c r="BF79" s="500"/>
      <c r="BG79" s="500"/>
      <c r="BH79" s="500"/>
      <c r="BI79" s="500"/>
      <c r="BJ79" s="500"/>
      <c r="BK79" s="500"/>
      <c r="BL79" s="500"/>
    </row>
    <row r="80" spans="1:64" s="89" customFormat="1" ht="11.25">
      <c r="A80" s="499"/>
      <c r="F80" s="122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AA80" s="122"/>
      <c r="AB80" s="500"/>
      <c r="AC80" s="500"/>
      <c r="AD80" s="500"/>
      <c r="AE80" s="500"/>
      <c r="AF80" s="500"/>
      <c r="AG80" s="500"/>
      <c r="AH80" s="500"/>
      <c r="AI80" s="500"/>
      <c r="AJ80" s="500"/>
      <c r="AK80" s="500"/>
      <c r="AL80" s="500"/>
      <c r="AM80" s="500"/>
      <c r="AN80" s="500"/>
      <c r="AO80" s="500"/>
      <c r="AP80" s="500"/>
      <c r="AQ80" s="500"/>
      <c r="AR80" s="501"/>
      <c r="AT80" s="88"/>
      <c r="AV80" s="502"/>
      <c r="AW80" s="500"/>
      <c r="AX80" s="500"/>
      <c r="AY80" s="500"/>
      <c r="AZ80" s="500"/>
      <c r="BA80" s="500"/>
      <c r="BB80" s="500"/>
      <c r="BC80" s="500"/>
      <c r="BD80" s="500"/>
      <c r="BE80" s="500"/>
      <c r="BF80" s="500"/>
      <c r="BG80" s="500"/>
      <c r="BH80" s="500"/>
      <c r="BI80" s="500"/>
      <c r="BJ80" s="500"/>
      <c r="BK80" s="500"/>
      <c r="BL80" s="500"/>
    </row>
    <row r="81" spans="1:64" s="89" customFormat="1" ht="11.25">
      <c r="A81" s="499"/>
      <c r="F81" s="122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AA81" s="122"/>
      <c r="AB81" s="500"/>
      <c r="AC81" s="500"/>
      <c r="AD81" s="500"/>
      <c r="AE81" s="500"/>
      <c r="AF81" s="500"/>
      <c r="AG81" s="500"/>
      <c r="AH81" s="500"/>
      <c r="AI81" s="500"/>
      <c r="AJ81" s="500"/>
      <c r="AK81" s="500"/>
      <c r="AL81" s="500"/>
      <c r="AM81" s="500"/>
      <c r="AN81" s="500"/>
      <c r="AO81" s="500"/>
      <c r="AP81" s="500"/>
      <c r="AQ81" s="500"/>
      <c r="AR81" s="501"/>
      <c r="AT81" s="88"/>
      <c r="AV81" s="502"/>
      <c r="AW81" s="500"/>
      <c r="AX81" s="500"/>
      <c r="AY81" s="500"/>
      <c r="AZ81" s="500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</row>
    <row r="82" spans="1:64" s="89" customFormat="1" ht="11.25">
      <c r="A82" s="499"/>
      <c r="F82" s="122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AA82" s="122"/>
      <c r="AB82" s="500"/>
      <c r="AC82" s="500"/>
      <c r="AD82" s="500"/>
      <c r="AE82" s="500"/>
      <c r="AF82" s="500"/>
      <c r="AG82" s="500"/>
      <c r="AH82" s="500"/>
      <c r="AI82" s="500"/>
      <c r="AJ82" s="500"/>
      <c r="AK82" s="500"/>
      <c r="AL82" s="500"/>
      <c r="AM82" s="500"/>
      <c r="AN82" s="500"/>
      <c r="AO82" s="500"/>
      <c r="AP82" s="500"/>
      <c r="AQ82" s="500"/>
      <c r="AR82" s="501"/>
      <c r="AT82" s="88"/>
      <c r="AV82" s="502"/>
      <c r="AW82" s="500"/>
      <c r="AX82" s="500"/>
      <c r="AY82" s="500"/>
      <c r="AZ82" s="500"/>
      <c r="BA82" s="500"/>
      <c r="BB82" s="500"/>
      <c r="BC82" s="500"/>
      <c r="BD82" s="500"/>
      <c r="BE82" s="500"/>
      <c r="BF82" s="500"/>
      <c r="BG82" s="500"/>
      <c r="BH82" s="500"/>
      <c r="BI82" s="500"/>
      <c r="BJ82" s="500"/>
      <c r="BK82" s="500"/>
      <c r="BL82" s="500"/>
    </row>
    <row r="83" spans="1:64" s="89" customFormat="1" ht="11.25">
      <c r="A83" s="499"/>
      <c r="F83" s="122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AA83" s="122"/>
      <c r="AB83" s="500"/>
      <c r="AC83" s="500"/>
      <c r="AD83" s="500"/>
      <c r="AE83" s="500"/>
      <c r="AF83" s="500"/>
      <c r="AG83" s="500"/>
      <c r="AH83" s="500"/>
      <c r="AI83" s="500"/>
      <c r="AJ83" s="500"/>
      <c r="AK83" s="500"/>
      <c r="AL83" s="500"/>
      <c r="AM83" s="500"/>
      <c r="AN83" s="500"/>
      <c r="AO83" s="500"/>
      <c r="AP83" s="500"/>
      <c r="AQ83" s="500"/>
      <c r="AR83" s="501"/>
      <c r="AT83" s="88"/>
      <c r="AV83" s="502"/>
      <c r="AW83" s="500"/>
      <c r="AX83" s="500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J83" s="500"/>
      <c r="BK83" s="500"/>
      <c r="BL83" s="500"/>
    </row>
    <row r="84" spans="1:64" s="89" customFormat="1" ht="11.25">
      <c r="A84" s="499"/>
      <c r="F84" s="122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AA84" s="122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0"/>
      <c r="AR84" s="501"/>
      <c r="AT84" s="88"/>
      <c r="AV84" s="502"/>
      <c r="AW84" s="500"/>
      <c r="AX84" s="500"/>
      <c r="AY84" s="500"/>
      <c r="AZ84" s="500"/>
      <c r="BA84" s="500"/>
      <c r="BB84" s="500"/>
      <c r="BC84" s="500"/>
      <c r="BD84" s="500"/>
      <c r="BE84" s="500"/>
      <c r="BF84" s="500"/>
      <c r="BG84" s="500"/>
      <c r="BH84" s="500"/>
      <c r="BI84" s="500"/>
      <c r="BJ84" s="500"/>
      <c r="BK84" s="500"/>
      <c r="BL84" s="500"/>
    </row>
    <row r="85" spans="1:64" s="89" customFormat="1" ht="11.25">
      <c r="A85" s="499"/>
      <c r="F85" s="122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AA85" s="122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P85" s="500"/>
      <c r="AQ85" s="500"/>
      <c r="AR85" s="501"/>
      <c r="AT85" s="88"/>
      <c r="AV85" s="502"/>
      <c r="AW85" s="500"/>
      <c r="AX85" s="500"/>
      <c r="AY85" s="500"/>
      <c r="AZ85" s="500"/>
      <c r="BA85" s="500"/>
      <c r="BB85" s="500"/>
      <c r="BC85" s="500"/>
      <c r="BD85" s="500"/>
      <c r="BE85" s="500"/>
      <c r="BF85" s="500"/>
      <c r="BG85" s="500"/>
      <c r="BH85" s="500"/>
      <c r="BI85" s="500"/>
      <c r="BJ85" s="500"/>
      <c r="BK85" s="500"/>
      <c r="BL85" s="500"/>
    </row>
    <row r="86" spans="1:64" s="89" customFormat="1" ht="11.25">
      <c r="A86" s="499"/>
      <c r="F86" s="122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AA86" s="122"/>
      <c r="AB86" s="500"/>
      <c r="AC86" s="500"/>
      <c r="AD86" s="500"/>
      <c r="AE86" s="500"/>
      <c r="AF86" s="500"/>
      <c r="AG86" s="500"/>
      <c r="AH86" s="500"/>
      <c r="AI86" s="500"/>
      <c r="AJ86" s="500"/>
      <c r="AK86" s="500"/>
      <c r="AL86" s="500"/>
      <c r="AM86" s="500"/>
      <c r="AN86" s="500"/>
      <c r="AO86" s="500"/>
      <c r="AP86" s="500"/>
      <c r="AQ86" s="500"/>
      <c r="AR86" s="501"/>
      <c r="AT86" s="88"/>
      <c r="AV86" s="502"/>
      <c r="AW86" s="500"/>
      <c r="AX86" s="500"/>
      <c r="AY86" s="500"/>
      <c r="AZ86" s="500"/>
      <c r="BA86" s="500"/>
      <c r="BB86" s="500"/>
      <c r="BC86" s="500"/>
      <c r="BD86" s="500"/>
      <c r="BE86" s="500"/>
      <c r="BF86" s="500"/>
      <c r="BG86" s="500"/>
      <c r="BH86" s="500"/>
      <c r="BI86" s="500"/>
      <c r="BJ86" s="500"/>
      <c r="BK86" s="500"/>
      <c r="BL86" s="500"/>
    </row>
    <row r="87" spans="1:64" s="89" customFormat="1" ht="11.25">
      <c r="A87" s="499"/>
      <c r="F87" s="122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AA87" s="122"/>
      <c r="AB87" s="500"/>
      <c r="AC87" s="500"/>
      <c r="AD87" s="500"/>
      <c r="AE87" s="500"/>
      <c r="AF87" s="500"/>
      <c r="AG87" s="500"/>
      <c r="AH87" s="500"/>
      <c r="AI87" s="500"/>
      <c r="AJ87" s="500"/>
      <c r="AK87" s="500"/>
      <c r="AL87" s="500"/>
      <c r="AM87" s="500"/>
      <c r="AN87" s="500"/>
      <c r="AO87" s="500"/>
      <c r="AP87" s="500"/>
      <c r="AQ87" s="500"/>
      <c r="AR87" s="501"/>
      <c r="AT87" s="88"/>
      <c r="AV87" s="502"/>
      <c r="AW87" s="500"/>
      <c r="AX87" s="500"/>
      <c r="AY87" s="500"/>
      <c r="AZ87" s="500"/>
      <c r="BA87" s="500"/>
      <c r="BB87" s="500"/>
      <c r="BC87" s="500"/>
      <c r="BD87" s="500"/>
      <c r="BE87" s="500"/>
      <c r="BF87" s="500"/>
      <c r="BG87" s="500"/>
      <c r="BH87" s="500"/>
      <c r="BI87" s="500"/>
      <c r="BJ87" s="500"/>
      <c r="BK87" s="500"/>
      <c r="BL87" s="500"/>
    </row>
    <row r="88" spans="1:64" s="89" customFormat="1" ht="11.25">
      <c r="A88" s="499"/>
      <c r="F88" s="122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AA88" s="122"/>
      <c r="AB88" s="500"/>
      <c r="AC88" s="500"/>
      <c r="AD88" s="500"/>
      <c r="AE88" s="500"/>
      <c r="AF88" s="500"/>
      <c r="AG88" s="500"/>
      <c r="AH88" s="500"/>
      <c r="AI88" s="500"/>
      <c r="AJ88" s="500"/>
      <c r="AK88" s="500"/>
      <c r="AL88" s="500"/>
      <c r="AM88" s="500"/>
      <c r="AN88" s="500"/>
      <c r="AO88" s="500"/>
      <c r="AP88" s="500"/>
      <c r="AQ88" s="500"/>
      <c r="AR88" s="501"/>
      <c r="AT88" s="88"/>
      <c r="AV88" s="502"/>
      <c r="AW88" s="500"/>
      <c r="AX88" s="500"/>
      <c r="AY88" s="500"/>
      <c r="AZ88" s="500"/>
      <c r="BA88" s="500"/>
      <c r="BB88" s="500"/>
      <c r="BC88" s="500"/>
      <c r="BD88" s="500"/>
      <c r="BE88" s="500"/>
      <c r="BF88" s="500"/>
      <c r="BG88" s="500"/>
      <c r="BH88" s="500"/>
      <c r="BI88" s="500"/>
      <c r="BJ88" s="500"/>
      <c r="BK88" s="500"/>
      <c r="BL88" s="500"/>
    </row>
    <row r="89" spans="1:64" s="89" customFormat="1" ht="11.25">
      <c r="A89" s="499"/>
      <c r="F89" s="122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AA89" s="122"/>
      <c r="AB89" s="500"/>
      <c r="AC89" s="500"/>
      <c r="AD89" s="500"/>
      <c r="AE89" s="500"/>
      <c r="AF89" s="500"/>
      <c r="AG89" s="500"/>
      <c r="AH89" s="500"/>
      <c r="AI89" s="500"/>
      <c r="AJ89" s="500"/>
      <c r="AK89" s="500"/>
      <c r="AL89" s="500"/>
      <c r="AM89" s="500"/>
      <c r="AN89" s="500"/>
      <c r="AO89" s="500"/>
      <c r="AP89" s="500"/>
      <c r="AQ89" s="500"/>
      <c r="AR89" s="501"/>
      <c r="AT89" s="88"/>
      <c r="AV89" s="502"/>
      <c r="AW89" s="500"/>
      <c r="AX89" s="500"/>
      <c r="AY89" s="500"/>
      <c r="AZ89" s="500"/>
      <c r="BA89" s="500"/>
      <c r="BB89" s="500"/>
      <c r="BC89" s="500"/>
      <c r="BD89" s="500"/>
      <c r="BE89" s="500"/>
      <c r="BF89" s="500"/>
      <c r="BG89" s="500"/>
      <c r="BH89" s="500"/>
      <c r="BI89" s="500"/>
      <c r="BJ89" s="500"/>
      <c r="BK89" s="500"/>
      <c r="BL89" s="500"/>
    </row>
    <row r="90" spans="1:64" s="89" customFormat="1" ht="11.25">
      <c r="A90" s="499"/>
      <c r="F90" s="122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AA90" s="122"/>
      <c r="AB90" s="500"/>
      <c r="AC90" s="500"/>
      <c r="AD90" s="500"/>
      <c r="AE90" s="500"/>
      <c r="AF90" s="500"/>
      <c r="AG90" s="500"/>
      <c r="AH90" s="500"/>
      <c r="AI90" s="500"/>
      <c r="AJ90" s="500"/>
      <c r="AK90" s="500"/>
      <c r="AL90" s="500"/>
      <c r="AM90" s="500"/>
      <c r="AN90" s="500"/>
      <c r="AO90" s="500"/>
      <c r="AP90" s="500"/>
      <c r="AQ90" s="500"/>
      <c r="AR90" s="501"/>
      <c r="AT90" s="88"/>
      <c r="AV90" s="502"/>
      <c r="AW90" s="500"/>
      <c r="AX90" s="500"/>
      <c r="AY90" s="500"/>
      <c r="AZ90" s="500"/>
      <c r="BA90" s="500"/>
      <c r="BB90" s="500"/>
      <c r="BC90" s="500"/>
      <c r="BD90" s="500"/>
      <c r="BE90" s="500"/>
      <c r="BF90" s="500"/>
      <c r="BG90" s="500"/>
      <c r="BH90" s="500"/>
      <c r="BI90" s="500"/>
      <c r="BJ90" s="500"/>
      <c r="BK90" s="500"/>
      <c r="BL90" s="500"/>
    </row>
    <row r="91" spans="1:64" s="89" customFormat="1" ht="11.25">
      <c r="A91" s="499"/>
      <c r="F91" s="122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AA91" s="122"/>
      <c r="AB91" s="500"/>
      <c r="AC91" s="500"/>
      <c r="AD91" s="500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0"/>
      <c r="AQ91" s="500"/>
      <c r="AR91" s="501"/>
      <c r="AT91" s="88"/>
      <c r="AV91" s="502"/>
      <c r="AW91" s="500"/>
      <c r="AX91" s="500"/>
      <c r="AY91" s="500"/>
      <c r="AZ91" s="500"/>
      <c r="BA91" s="500"/>
      <c r="BB91" s="500"/>
      <c r="BC91" s="500"/>
      <c r="BD91" s="500"/>
      <c r="BE91" s="500"/>
      <c r="BF91" s="500"/>
      <c r="BG91" s="500"/>
      <c r="BH91" s="500"/>
      <c r="BI91" s="500"/>
      <c r="BJ91" s="500"/>
      <c r="BK91" s="500"/>
      <c r="BL91" s="500"/>
    </row>
    <row r="92" spans="1:64" s="89" customFormat="1" ht="11.25">
      <c r="A92" s="499"/>
      <c r="F92" s="122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AA92" s="122"/>
      <c r="AB92" s="500"/>
      <c r="AC92" s="500"/>
      <c r="AD92" s="500"/>
      <c r="AE92" s="500"/>
      <c r="AF92" s="500"/>
      <c r="AG92" s="500"/>
      <c r="AH92" s="500"/>
      <c r="AI92" s="500"/>
      <c r="AJ92" s="500"/>
      <c r="AK92" s="500"/>
      <c r="AL92" s="500"/>
      <c r="AM92" s="500"/>
      <c r="AN92" s="500"/>
      <c r="AO92" s="500"/>
      <c r="AP92" s="500"/>
      <c r="AQ92" s="500"/>
      <c r="AR92" s="501"/>
      <c r="AT92" s="88"/>
      <c r="AV92" s="502"/>
      <c r="AW92" s="500"/>
      <c r="AX92" s="500"/>
      <c r="AY92" s="500"/>
      <c r="AZ92" s="500"/>
      <c r="BA92" s="500"/>
      <c r="BB92" s="500"/>
      <c r="BC92" s="500"/>
      <c r="BD92" s="500"/>
      <c r="BE92" s="500"/>
      <c r="BF92" s="500"/>
      <c r="BG92" s="500"/>
      <c r="BH92" s="500"/>
      <c r="BI92" s="500"/>
      <c r="BJ92" s="500"/>
      <c r="BK92" s="500"/>
      <c r="BL92" s="500"/>
    </row>
    <row r="93" spans="1:64" s="89" customFormat="1" ht="11.25">
      <c r="A93" s="499"/>
      <c r="F93" s="122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AA93" s="122"/>
      <c r="AB93" s="500"/>
      <c r="AC93" s="500"/>
      <c r="AD93" s="500"/>
      <c r="AE93" s="500"/>
      <c r="AF93" s="500"/>
      <c r="AG93" s="500"/>
      <c r="AH93" s="500"/>
      <c r="AI93" s="500"/>
      <c r="AJ93" s="500"/>
      <c r="AK93" s="500"/>
      <c r="AL93" s="500"/>
      <c r="AM93" s="500"/>
      <c r="AN93" s="500"/>
      <c r="AO93" s="500"/>
      <c r="AP93" s="500"/>
      <c r="AQ93" s="500"/>
      <c r="AR93" s="501"/>
      <c r="AT93" s="88"/>
      <c r="AV93" s="502"/>
      <c r="AW93" s="500"/>
      <c r="AX93" s="500"/>
      <c r="AY93" s="500"/>
      <c r="AZ93" s="500"/>
      <c r="BA93" s="500"/>
      <c r="BB93" s="500"/>
      <c r="BC93" s="500"/>
      <c r="BD93" s="500"/>
      <c r="BE93" s="500"/>
      <c r="BF93" s="500"/>
      <c r="BG93" s="500"/>
      <c r="BH93" s="500"/>
      <c r="BI93" s="500"/>
      <c r="BJ93" s="500"/>
      <c r="BK93" s="500"/>
      <c r="BL93" s="500"/>
    </row>
    <row r="94" spans="1:64" s="89" customFormat="1" ht="11.25">
      <c r="A94" s="499"/>
      <c r="F94" s="122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AA94" s="122"/>
      <c r="AB94" s="500"/>
      <c r="AC94" s="500"/>
      <c r="AD94" s="500"/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500"/>
      <c r="AP94" s="500"/>
      <c r="AQ94" s="500"/>
      <c r="AR94" s="501"/>
      <c r="AT94" s="88"/>
      <c r="AV94" s="502"/>
      <c r="AW94" s="500"/>
      <c r="AX94" s="500"/>
      <c r="AY94" s="500"/>
      <c r="AZ94" s="500"/>
      <c r="BA94" s="500"/>
      <c r="BB94" s="500"/>
      <c r="BC94" s="500"/>
      <c r="BD94" s="500"/>
      <c r="BE94" s="500"/>
      <c r="BF94" s="500"/>
      <c r="BG94" s="500"/>
      <c r="BH94" s="500"/>
      <c r="BI94" s="500"/>
      <c r="BJ94" s="500"/>
      <c r="BK94" s="500"/>
      <c r="BL94" s="500"/>
    </row>
    <row r="95" spans="1:64" s="89" customFormat="1" ht="11.25">
      <c r="A95" s="499"/>
      <c r="F95" s="122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AA95" s="122"/>
      <c r="AB95" s="500"/>
      <c r="AC95" s="500"/>
      <c r="AD95" s="500"/>
      <c r="AE95" s="500"/>
      <c r="AF95" s="500"/>
      <c r="AG95" s="500"/>
      <c r="AH95" s="500"/>
      <c r="AI95" s="500"/>
      <c r="AJ95" s="500"/>
      <c r="AK95" s="500"/>
      <c r="AL95" s="500"/>
      <c r="AM95" s="500"/>
      <c r="AN95" s="500"/>
      <c r="AO95" s="500"/>
      <c r="AP95" s="500"/>
      <c r="AQ95" s="500"/>
      <c r="AR95" s="501"/>
      <c r="AT95" s="88"/>
      <c r="AV95" s="502"/>
      <c r="AW95" s="500"/>
      <c r="AX95" s="500"/>
      <c r="AY95" s="500"/>
      <c r="AZ95" s="500"/>
      <c r="BA95" s="500"/>
      <c r="BB95" s="500"/>
      <c r="BC95" s="500"/>
      <c r="BD95" s="500"/>
      <c r="BE95" s="500"/>
      <c r="BF95" s="500"/>
      <c r="BG95" s="500"/>
      <c r="BH95" s="500"/>
      <c r="BI95" s="500"/>
      <c r="BJ95" s="500"/>
      <c r="BK95" s="500"/>
      <c r="BL95" s="500"/>
    </row>
    <row r="96" spans="1:64" s="89" customFormat="1" ht="11.25">
      <c r="A96" s="499"/>
      <c r="F96" s="122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0"/>
      <c r="U96" s="500"/>
      <c r="V96" s="500"/>
      <c r="AA96" s="122"/>
      <c r="AB96" s="500"/>
      <c r="AC96" s="500"/>
      <c r="AD96" s="500"/>
      <c r="AE96" s="500"/>
      <c r="AF96" s="500"/>
      <c r="AG96" s="500"/>
      <c r="AH96" s="500"/>
      <c r="AI96" s="500"/>
      <c r="AJ96" s="500"/>
      <c r="AK96" s="500"/>
      <c r="AL96" s="500"/>
      <c r="AM96" s="500"/>
      <c r="AN96" s="500"/>
      <c r="AO96" s="500"/>
      <c r="AP96" s="500"/>
      <c r="AQ96" s="500"/>
      <c r="AR96" s="501"/>
      <c r="AT96" s="88"/>
      <c r="AV96" s="502"/>
      <c r="AW96" s="500"/>
      <c r="AX96" s="500"/>
      <c r="AY96" s="500"/>
      <c r="AZ96" s="500"/>
      <c r="BA96" s="500"/>
      <c r="BB96" s="500"/>
      <c r="BC96" s="500"/>
      <c r="BD96" s="500"/>
      <c r="BE96" s="500"/>
      <c r="BF96" s="500"/>
      <c r="BG96" s="500"/>
      <c r="BH96" s="500"/>
      <c r="BI96" s="500"/>
      <c r="BJ96" s="500"/>
      <c r="BK96" s="500"/>
      <c r="BL96" s="500"/>
    </row>
    <row r="97" spans="1:64" s="89" customFormat="1" ht="11.25">
      <c r="A97" s="499"/>
      <c r="F97" s="122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AA97" s="122"/>
      <c r="AB97" s="500"/>
      <c r="AC97" s="500"/>
      <c r="AD97" s="500"/>
      <c r="AE97" s="500"/>
      <c r="AF97" s="500"/>
      <c r="AG97" s="500"/>
      <c r="AH97" s="500"/>
      <c r="AI97" s="500"/>
      <c r="AJ97" s="500"/>
      <c r="AK97" s="500"/>
      <c r="AL97" s="500"/>
      <c r="AM97" s="500"/>
      <c r="AN97" s="500"/>
      <c r="AO97" s="500"/>
      <c r="AP97" s="500"/>
      <c r="AQ97" s="500"/>
      <c r="AR97" s="501"/>
      <c r="AT97" s="88"/>
      <c r="AV97" s="502"/>
      <c r="AW97" s="500"/>
      <c r="AX97" s="500"/>
      <c r="AY97" s="500"/>
      <c r="AZ97" s="500"/>
      <c r="BA97" s="500"/>
      <c r="BB97" s="500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</row>
    <row r="98" spans="1:64" s="89" customFormat="1" ht="11.25">
      <c r="A98" s="499"/>
      <c r="F98" s="122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AA98" s="122"/>
      <c r="AB98" s="500"/>
      <c r="AC98" s="500"/>
      <c r="AD98" s="500"/>
      <c r="AE98" s="500"/>
      <c r="AF98" s="500"/>
      <c r="AG98" s="500"/>
      <c r="AH98" s="500"/>
      <c r="AI98" s="500"/>
      <c r="AJ98" s="500"/>
      <c r="AK98" s="500"/>
      <c r="AL98" s="500"/>
      <c r="AM98" s="500"/>
      <c r="AN98" s="500"/>
      <c r="AO98" s="500"/>
      <c r="AP98" s="500"/>
      <c r="AQ98" s="500"/>
      <c r="AR98" s="501"/>
      <c r="AT98" s="88"/>
      <c r="AV98" s="502"/>
      <c r="AW98" s="500"/>
      <c r="AX98" s="500"/>
      <c r="AY98" s="500"/>
      <c r="AZ98" s="500"/>
      <c r="BA98" s="500"/>
      <c r="BB98" s="500"/>
      <c r="BC98" s="500"/>
      <c r="BD98" s="500"/>
      <c r="BE98" s="500"/>
      <c r="BF98" s="500"/>
      <c r="BG98" s="500"/>
      <c r="BH98" s="500"/>
      <c r="BI98" s="500"/>
      <c r="BJ98" s="500"/>
      <c r="BK98" s="500"/>
      <c r="BL98" s="500"/>
    </row>
    <row r="99" spans="1:64" s="89" customFormat="1" ht="11.25">
      <c r="A99" s="499"/>
      <c r="F99" s="122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AA99" s="122"/>
      <c r="AB99" s="500"/>
      <c r="AC99" s="500"/>
      <c r="AD99" s="500"/>
      <c r="AE99" s="500"/>
      <c r="AF99" s="500"/>
      <c r="AG99" s="500"/>
      <c r="AH99" s="500"/>
      <c r="AI99" s="500"/>
      <c r="AJ99" s="500"/>
      <c r="AK99" s="500"/>
      <c r="AL99" s="500"/>
      <c r="AM99" s="500"/>
      <c r="AN99" s="500"/>
      <c r="AO99" s="500"/>
      <c r="AP99" s="500"/>
      <c r="AQ99" s="500"/>
      <c r="AR99" s="501"/>
      <c r="AT99" s="88"/>
      <c r="AV99" s="502"/>
      <c r="AW99" s="500"/>
      <c r="AX99" s="500"/>
      <c r="AY99" s="500"/>
      <c r="AZ99" s="500"/>
      <c r="BA99" s="500"/>
      <c r="BB99" s="500"/>
      <c r="BC99" s="500"/>
      <c r="BD99" s="500"/>
      <c r="BE99" s="500"/>
      <c r="BF99" s="500"/>
      <c r="BG99" s="500"/>
      <c r="BH99" s="500"/>
      <c r="BI99" s="500"/>
      <c r="BJ99" s="500"/>
      <c r="BK99" s="500"/>
      <c r="BL99" s="500"/>
    </row>
    <row r="100" spans="1:64" s="89" customFormat="1" ht="11.25">
      <c r="A100" s="499"/>
      <c r="F100" s="122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AA100" s="122"/>
      <c r="AB100" s="500"/>
      <c r="AC100" s="500"/>
      <c r="AD100" s="500"/>
      <c r="AE100" s="500"/>
      <c r="AF100" s="500"/>
      <c r="AG100" s="500"/>
      <c r="AH100" s="500"/>
      <c r="AI100" s="500"/>
      <c r="AJ100" s="500"/>
      <c r="AK100" s="500"/>
      <c r="AL100" s="500"/>
      <c r="AM100" s="500"/>
      <c r="AN100" s="500"/>
      <c r="AO100" s="500"/>
      <c r="AP100" s="500"/>
      <c r="AQ100" s="500"/>
      <c r="AR100" s="501"/>
      <c r="AT100" s="88"/>
      <c r="AV100" s="502"/>
      <c r="AW100" s="500"/>
      <c r="AX100" s="500"/>
      <c r="AY100" s="500"/>
      <c r="AZ100" s="500"/>
      <c r="BA100" s="500"/>
      <c r="BB100" s="500"/>
      <c r="BC100" s="500"/>
      <c r="BD100" s="500"/>
      <c r="BE100" s="500"/>
      <c r="BF100" s="500"/>
      <c r="BG100" s="500"/>
      <c r="BH100" s="500"/>
      <c r="BI100" s="500"/>
      <c r="BJ100" s="500"/>
      <c r="BK100" s="500"/>
      <c r="BL100" s="500"/>
    </row>
    <row r="101" spans="1:64" s="89" customFormat="1" ht="11.25">
      <c r="A101" s="499"/>
      <c r="F101" s="122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AA101" s="122"/>
      <c r="AB101" s="500"/>
      <c r="AC101" s="500"/>
      <c r="AD101" s="500"/>
      <c r="AE101" s="500"/>
      <c r="AF101" s="500"/>
      <c r="AG101" s="500"/>
      <c r="AH101" s="500"/>
      <c r="AI101" s="500"/>
      <c r="AJ101" s="500"/>
      <c r="AK101" s="500"/>
      <c r="AL101" s="500"/>
      <c r="AM101" s="500"/>
      <c r="AN101" s="500"/>
      <c r="AO101" s="500"/>
      <c r="AP101" s="500"/>
      <c r="AQ101" s="500"/>
      <c r="AR101" s="501"/>
      <c r="AT101" s="88"/>
      <c r="AV101" s="502"/>
      <c r="AW101" s="500"/>
      <c r="AX101" s="500"/>
      <c r="AY101" s="500"/>
      <c r="AZ101" s="500"/>
      <c r="BA101" s="500"/>
      <c r="BB101" s="500"/>
      <c r="BC101" s="500"/>
      <c r="BD101" s="500"/>
      <c r="BE101" s="500"/>
      <c r="BF101" s="500"/>
      <c r="BG101" s="500"/>
      <c r="BH101" s="500"/>
      <c r="BI101" s="500"/>
      <c r="BJ101" s="500"/>
      <c r="BK101" s="500"/>
      <c r="BL101" s="500"/>
    </row>
    <row r="102" spans="1:64" s="89" customFormat="1" ht="11.25">
      <c r="A102" s="499"/>
      <c r="F102" s="122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AA102" s="122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1"/>
      <c r="AT102" s="88"/>
      <c r="AV102" s="502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500"/>
      <c r="BG102" s="500"/>
      <c r="BH102" s="500"/>
      <c r="BI102" s="500"/>
      <c r="BJ102" s="500"/>
      <c r="BK102" s="500"/>
      <c r="BL102" s="500"/>
    </row>
    <row r="103" spans="1:64" s="89" customFormat="1" ht="11.25">
      <c r="A103" s="499"/>
      <c r="F103" s="122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AA103" s="122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500"/>
      <c r="AL103" s="500"/>
      <c r="AM103" s="500"/>
      <c r="AN103" s="500"/>
      <c r="AO103" s="500"/>
      <c r="AP103" s="500"/>
      <c r="AQ103" s="500"/>
      <c r="AR103" s="501"/>
      <c r="AT103" s="88"/>
      <c r="AV103" s="502"/>
      <c r="AW103" s="500"/>
      <c r="AX103" s="500"/>
      <c r="AY103" s="500"/>
      <c r="AZ103" s="500"/>
      <c r="BA103" s="500"/>
      <c r="BB103" s="500"/>
      <c r="BC103" s="500"/>
      <c r="BD103" s="500"/>
      <c r="BE103" s="500"/>
      <c r="BF103" s="500"/>
      <c r="BG103" s="500"/>
      <c r="BH103" s="500"/>
      <c r="BI103" s="500"/>
      <c r="BJ103" s="500"/>
      <c r="BK103" s="500"/>
      <c r="BL103" s="500"/>
    </row>
    <row r="104" spans="1:64" s="89" customFormat="1" ht="11.25">
      <c r="A104" s="499"/>
      <c r="F104" s="122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AA104" s="122"/>
      <c r="AB104" s="500"/>
      <c r="AC104" s="500"/>
      <c r="AD104" s="500"/>
      <c r="AE104" s="500"/>
      <c r="AF104" s="500"/>
      <c r="AG104" s="500"/>
      <c r="AH104" s="500"/>
      <c r="AI104" s="500"/>
      <c r="AJ104" s="500"/>
      <c r="AK104" s="500"/>
      <c r="AL104" s="500"/>
      <c r="AM104" s="500"/>
      <c r="AN104" s="500"/>
      <c r="AO104" s="500"/>
      <c r="AP104" s="500"/>
      <c r="AQ104" s="500"/>
      <c r="AR104" s="501"/>
      <c r="AT104" s="88"/>
      <c r="AV104" s="502"/>
      <c r="AW104" s="500"/>
      <c r="AX104" s="500"/>
      <c r="AY104" s="500"/>
      <c r="AZ104" s="500"/>
      <c r="BA104" s="500"/>
      <c r="BB104" s="500"/>
      <c r="BC104" s="500"/>
      <c r="BD104" s="500"/>
      <c r="BE104" s="500"/>
      <c r="BF104" s="500"/>
      <c r="BG104" s="500"/>
      <c r="BH104" s="500"/>
      <c r="BI104" s="500"/>
      <c r="BJ104" s="500"/>
      <c r="BK104" s="500"/>
      <c r="BL104" s="500"/>
    </row>
    <row r="105" spans="1:64" s="89" customFormat="1" ht="11.25">
      <c r="A105" s="499"/>
      <c r="F105" s="122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AA105" s="122"/>
      <c r="AB105" s="500"/>
      <c r="AC105" s="500"/>
      <c r="AD105" s="500"/>
      <c r="AE105" s="500"/>
      <c r="AF105" s="500"/>
      <c r="AG105" s="500"/>
      <c r="AH105" s="500"/>
      <c r="AI105" s="500"/>
      <c r="AJ105" s="500"/>
      <c r="AK105" s="500"/>
      <c r="AL105" s="500"/>
      <c r="AM105" s="500"/>
      <c r="AN105" s="500"/>
      <c r="AO105" s="500"/>
      <c r="AP105" s="500"/>
      <c r="AQ105" s="500"/>
      <c r="AR105" s="501"/>
      <c r="AT105" s="88"/>
      <c r="AV105" s="502"/>
      <c r="AW105" s="500"/>
      <c r="AX105" s="500"/>
      <c r="AY105" s="500"/>
      <c r="AZ105" s="500"/>
      <c r="BA105" s="500"/>
      <c r="BB105" s="500"/>
      <c r="BC105" s="500"/>
      <c r="BD105" s="500"/>
      <c r="BE105" s="500"/>
      <c r="BF105" s="500"/>
      <c r="BG105" s="500"/>
      <c r="BH105" s="500"/>
      <c r="BI105" s="500"/>
      <c r="BJ105" s="500"/>
      <c r="BK105" s="500"/>
      <c r="BL105" s="500"/>
    </row>
    <row r="106" spans="1:64" s="89" customFormat="1" ht="11.25">
      <c r="A106" s="499"/>
      <c r="F106" s="122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AA106" s="122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1"/>
      <c r="AT106" s="88"/>
      <c r="AV106" s="502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0"/>
      <c r="BI106" s="500"/>
      <c r="BJ106" s="500"/>
      <c r="BK106" s="500"/>
      <c r="BL106" s="500"/>
    </row>
    <row r="107" spans="1:64" s="89" customFormat="1" ht="11.25">
      <c r="A107" s="499"/>
      <c r="F107" s="122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AA107" s="122"/>
      <c r="AB107" s="500"/>
      <c r="AC107" s="500"/>
      <c r="AD107" s="500"/>
      <c r="AE107" s="500"/>
      <c r="AF107" s="500"/>
      <c r="AG107" s="500"/>
      <c r="AH107" s="500"/>
      <c r="AI107" s="500"/>
      <c r="AJ107" s="500"/>
      <c r="AK107" s="500"/>
      <c r="AL107" s="500"/>
      <c r="AM107" s="500"/>
      <c r="AN107" s="500"/>
      <c r="AO107" s="500"/>
      <c r="AP107" s="500"/>
      <c r="AQ107" s="500"/>
      <c r="AR107" s="501"/>
      <c r="AT107" s="88"/>
      <c r="AV107" s="502"/>
      <c r="AW107" s="500"/>
      <c r="AX107" s="500"/>
      <c r="AY107" s="500"/>
      <c r="AZ107" s="500"/>
      <c r="BA107" s="500"/>
      <c r="BB107" s="500"/>
      <c r="BC107" s="500"/>
      <c r="BD107" s="500"/>
      <c r="BE107" s="500"/>
      <c r="BF107" s="500"/>
      <c r="BG107" s="500"/>
      <c r="BH107" s="500"/>
      <c r="BI107" s="500"/>
      <c r="BJ107" s="500"/>
      <c r="BK107" s="500"/>
      <c r="BL107" s="500"/>
    </row>
    <row r="108" spans="1:64" s="89" customFormat="1" ht="11.25">
      <c r="A108" s="499"/>
      <c r="F108" s="122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AA108" s="122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500"/>
      <c r="AL108" s="500"/>
      <c r="AM108" s="500"/>
      <c r="AN108" s="500"/>
      <c r="AO108" s="500"/>
      <c r="AP108" s="500"/>
      <c r="AQ108" s="500"/>
      <c r="AR108" s="501"/>
      <c r="AT108" s="88"/>
      <c r="AV108" s="502"/>
      <c r="AW108" s="500"/>
      <c r="AX108" s="500"/>
      <c r="AY108" s="500"/>
      <c r="AZ108" s="500"/>
      <c r="BA108" s="500"/>
      <c r="BB108" s="500"/>
      <c r="BC108" s="500"/>
      <c r="BD108" s="500"/>
      <c r="BE108" s="500"/>
      <c r="BF108" s="500"/>
      <c r="BG108" s="500"/>
      <c r="BH108" s="500"/>
      <c r="BI108" s="500"/>
      <c r="BJ108" s="500"/>
      <c r="BK108" s="500"/>
      <c r="BL108" s="500"/>
    </row>
    <row r="109" spans="1:64" s="89" customFormat="1" ht="11.25">
      <c r="A109" s="499"/>
      <c r="F109" s="122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AA109" s="122"/>
      <c r="AB109" s="500"/>
      <c r="AC109" s="500"/>
      <c r="AD109" s="500"/>
      <c r="AE109" s="500"/>
      <c r="AF109" s="500"/>
      <c r="AG109" s="500"/>
      <c r="AH109" s="500"/>
      <c r="AI109" s="500"/>
      <c r="AJ109" s="500"/>
      <c r="AK109" s="500"/>
      <c r="AL109" s="500"/>
      <c r="AM109" s="500"/>
      <c r="AN109" s="500"/>
      <c r="AO109" s="500"/>
      <c r="AP109" s="500"/>
      <c r="AQ109" s="500"/>
      <c r="AR109" s="501"/>
      <c r="AT109" s="88"/>
      <c r="AV109" s="502"/>
      <c r="AW109" s="500"/>
      <c r="AX109" s="500"/>
      <c r="AY109" s="500"/>
      <c r="AZ109" s="500"/>
      <c r="BA109" s="500"/>
      <c r="BB109" s="500"/>
      <c r="BC109" s="500"/>
      <c r="BD109" s="500"/>
      <c r="BE109" s="500"/>
      <c r="BF109" s="500"/>
      <c r="BG109" s="500"/>
      <c r="BH109" s="500"/>
      <c r="BI109" s="500"/>
      <c r="BJ109" s="500"/>
      <c r="BK109" s="500"/>
      <c r="BL109" s="500"/>
    </row>
    <row r="110" spans="1:64" s="89" customFormat="1" ht="11.25">
      <c r="A110" s="499"/>
      <c r="F110" s="122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AA110" s="122"/>
      <c r="AB110" s="500"/>
      <c r="AC110" s="500"/>
      <c r="AD110" s="500"/>
      <c r="AE110" s="500"/>
      <c r="AF110" s="500"/>
      <c r="AG110" s="500"/>
      <c r="AH110" s="500"/>
      <c r="AI110" s="500"/>
      <c r="AJ110" s="500"/>
      <c r="AK110" s="500"/>
      <c r="AL110" s="500"/>
      <c r="AM110" s="500"/>
      <c r="AN110" s="500"/>
      <c r="AO110" s="500"/>
      <c r="AP110" s="500"/>
      <c r="AQ110" s="500"/>
      <c r="AR110" s="501"/>
      <c r="AT110" s="88"/>
      <c r="AV110" s="502"/>
      <c r="AW110" s="500"/>
      <c r="AX110" s="500"/>
      <c r="AY110" s="500"/>
      <c r="AZ110" s="500"/>
      <c r="BA110" s="500"/>
      <c r="BB110" s="500"/>
      <c r="BC110" s="500"/>
      <c r="BD110" s="500"/>
      <c r="BE110" s="500"/>
      <c r="BF110" s="500"/>
      <c r="BG110" s="500"/>
      <c r="BH110" s="500"/>
      <c r="BI110" s="500"/>
      <c r="BJ110" s="500"/>
      <c r="BK110" s="500"/>
      <c r="BL110" s="500"/>
    </row>
    <row r="111" spans="1:64" s="89" customFormat="1" ht="11.25">
      <c r="A111" s="499"/>
      <c r="F111" s="122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AA111" s="122"/>
      <c r="AB111" s="500"/>
      <c r="AC111" s="500"/>
      <c r="AD111" s="500"/>
      <c r="AE111" s="500"/>
      <c r="AF111" s="500"/>
      <c r="AG111" s="500"/>
      <c r="AH111" s="500"/>
      <c r="AI111" s="500"/>
      <c r="AJ111" s="500"/>
      <c r="AK111" s="500"/>
      <c r="AL111" s="500"/>
      <c r="AM111" s="500"/>
      <c r="AN111" s="500"/>
      <c r="AO111" s="500"/>
      <c r="AP111" s="500"/>
      <c r="AQ111" s="500"/>
      <c r="AR111" s="501"/>
      <c r="AT111" s="88"/>
      <c r="AV111" s="502"/>
      <c r="AW111" s="500"/>
      <c r="AX111" s="500"/>
      <c r="AY111" s="500"/>
      <c r="AZ111" s="500"/>
      <c r="BA111" s="500"/>
      <c r="BB111" s="500"/>
      <c r="BC111" s="500"/>
      <c r="BD111" s="500"/>
      <c r="BE111" s="500"/>
      <c r="BF111" s="500"/>
      <c r="BG111" s="500"/>
      <c r="BH111" s="500"/>
      <c r="BI111" s="500"/>
      <c r="BJ111" s="500"/>
      <c r="BK111" s="500"/>
      <c r="BL111" s="500"/>
    </row>
    <row r="112" spans="1:64" s="89" customFormat="1" ht="11.25">
      <c r="A112" s="499"/>
      <c r="F112" s="122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AA112" s="122"/>
      <c r="AB112" s="500"/>
      <c r="AC112" s="500"/>
      <c r="AD112" s="500"/>
      <c r="AE112" s="500"/>
      <c r="AF112" s="500"/>
      <c r="AG112" s="500"/>
      <c r="AH112" s="500"/>
      <c r="AI112" s="500"/>
      <c r="AJ112" s="500"/>
      <c r="AK112" s="500"/>
      <c r="AL112" s="500"/>
      <c r="AM112" s="500"/>
      <c r="AN112" s="500"/>
      <c r="AO112" s="500"/>
      <c r="AP112" s="500"/>
      <c r="AQ112" s="500"/>
      <c r="AR112" s="501"/>
      <c r="AT112" s="88"/>
      <c r="AV112" s="502"/>
      <c r="AW112" s="500"/>
      <c r="AX112" s="500"/>
      <c r="AY112" s="500"/>
      <c r="AZ112" s="500"/>
      <c r="BA112" s="500"/>
      <c r="BB112" s="500"/>
      <c r="BC112" s="500"/>
      <c r="BD112" s="500"/>
      <c r="BE112" s="500"/>
      <c r="BF112" s="500"/>
      <c r="BG112" s="500"/>
      <c r="BH112" s="500"/>
      <c r="BI112" s="500"/>
      <c r="BJ112" s="500"/>
      <c r="BK112" s="500"/>
      <c r="BL112" s="500"/>
    </row>
    <row r="113" spans="1:64" s="89" customFormat="1" ht="11.25">
      <c r="A113" s="499"/>
      <c r="F113" s="122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AA113" s="122"/>
      <c r="AB113" s="500"/>
      <c r="AC113" s="500"/>
      <c r="AD113" s="500"/>
      <c r="AE113" s="500"/>
      <c r="AF113" s="500"/>
      <c r="AG113" s="500"/>
      <c r="AH113" s="500"/>
      <c r="AI113" s="500"/>
      <c r="AJ113" s="500"/>
      <c r="AK113" s="500"/>
      <c r="AL113" s="500"/>
      <c r="AM113" s="500"/>
      <c r="AN113" s="500"/>
      <c r="AO113" s="500"/>
      <c r="AP113" s="500"/>
      <c r="AQ113" s="500"/>
      <c r="AR113" s="501"/>
      <c r="AT113" s="88"/>
      <c r="AV113" s="502"/>
      <c r="AW113" s="500"/>
      <c r="AX113" s="500"/>
      <c r="AY113" s="500"/>
      <c r="AZ113" s="500"/>
      <c r="BA113" s="500"/>
      <c r="BB113" s="500"/>
      <c r="BC113" s="500"/>
      <c r="BD113" s="500"/>
      <c r="BE113" s="500"/>
      <c r="BF113" s="500"/>
      <c r="BG113" s="500"/>
      <c r="BH113" s="500"/>
      <c r="BI113" s="500"/>
      <c r="BJ113" s="500"/>
      <c r="BK113" s="500"/>
      <c r="BL113" s="500"/>
    </row>
    <row r="114" spans="1:64" s="89" customFormat="1" ht="11.25">
      <c r="A114" s="499"/>
      <c r="F114" s="122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AA114" s="122"/>
      <c r="AB114" s="500"/>
      <c r="AC114" s="500"/>
      <c r="AD114" s="500"/>
      <c r="AE114" s="500"/>
      <c r="AF114" s="500"/>
      <c r="AG114" s="500"/>
      <c r="AH114" s="500"/>
      <c r="AI114" s="500"/>
      <c r="AJ114" s="500"/>
      <c r="AK114" s="500"/>
      <c r="AL114" s="500"/>
      <c r="AM114" s="500"/>
      <c r="AN114" s="500"/>
      <c r="AO114" s="500"/>
      <c r="AP114" s="500"/>
      <c r="AQ114" s="500"/>
      <c r="AR114" s="501"/>
      <c r="AT114" s="88"/>
      <c r="AV114" s="502"/>
      <c r="AW114" s="500"/>
      <c r="AX114" s="500"/>
      <c r="AY114" s="500"/>
      <c r="AZ114" s="500"/>
      <c r="BA114" s="500"/>
      <c r="BB114" s="500"/>
      <c r="BC114" s="500"/>
      <c r="BD114" s="500"/>
      <c r="BE114" s="500"/>
      <c r="BF114" s="500"/>
      <c r="BG114" s="500"/>
      <c r="BH114" s="500"/>
      <c r="BI114" s="500"/>
      <c r="BJ114" s="500"/>
      <c r="BK114" s="500"/>
      <c r="BL114" s="500"/>
    </row>
    <row r="115" spans="1:64" s="89" customFormat="1" ht="11.25">
      <c r="A115" s="499"/>
      <c r="F115" s="122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AA115" s="122"/>
      <c r="AB115" s="500"/>
      <c r="AC115" s="500"/>
      <c r="AD115" s="500"/>
      <c r="AE115" s="500"/>
      <c r="AF115" s="500"/>
      <c r="AG115" s="500"/>
      <c r="AH115" s="500"/>
      <c r="AI115" s="500"/>
      <c r="AJ115" s="500"/>
      <c r="AK115" s="500"/>
      <c r="AL115" s="500"/>
      <c r="AM115" s="500"/>
      <c r="AN115" s="500"/>
      <c r="AO115" s="500"/>
      <c r="AP115" s="500"/>
      <c r="AQ115" s="500"/>
      <c r="AR115" s="501"/>
      <c r="AT115" s="88"/>
      <c r="AV115" s="502"/>
      <c r="AW115" s="500"/>
      <c r="AX115" s="500"/>
      <c r="AY115" s="500"/>
      <c r="AZ115" s="500"/>
      <c r="BA115" s="500"/>
      <c r="BB115" s="500"/>
      <c r="BC115" s="500"/>
      <c r="BD115" s="500"/>
      <c r="BE115" s="500"/>
      <c r="BF115" s="500"/>
      <c r="BG115" s="500"/>
      <c r="BH115" s="500"/>
      <c r="BI115" s="500"/>
      <c r="BJ115" s="500"/>
      <c r="BK115" s="500"/>
      <c r="BL115" s="500"/>
    </row>
    <row r="116" spans="1:64" s="89" customFormat="1" ht="11.25">
      <c r="A116" s="499"/>
      <c r="F116" s="122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AA116" s="122"/>
      <c r="AB116" s="500"/>
      <c r="AC116" s="500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1"/>
      <c r="AT116" s="88"/>
      <c r="AV116" s="502"/>
      <c r="AW116" s="500"/>
      <c r="AX116" s="500"/>
      <c r="AY116" s="500"/>
      <c r="AZ116" s="500"/>
      <c r="BA116" s="500"/>
      <c r="BB116" s="500"/>
      <c r="BC116" s="500"/>
      <c r="BD116" s="500"/>
      <c r="BE116" s="500"/>
      <c r="BF116" s="500"/>
      <c r="BG116" s="500"/>
      <c r="BH116" s="500"/>
      <c r="BI116" s="500"/>
      <c r="BJ116" s="500"/>
      <c r="BK116" s="500"/>
      <c r="BL116" s="500"/>
    </row>
    <row r="117" spans="1:64" s="89" customFormat="1" ht="11.25">
      <c r="A117" s="499"/>
      <c r="F117" s="122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AA117" s="122"/>
      <c r="AB117" s="500"/>
      <c r="AC117" s="500"/>
      <c r="AD117" s="500"/>
      <c r="AE117" s="500"/>
      <c r="AF117" s="500"/>
      <c r="AG117" s="500"/>
      <c r="AH117" s="500"/>
      <c r="AI117" s="500"/>
      <c r="AJ117" s="500"/>
      <c r="AK117" s="500"/>
      <c r="AL117" s="500"/>
      <c r="AM117" s="500"/>
      <c r="AN117" s="500"/>
      <c r="AO117" s="500"/>
      <c r="AP117" s="500"/>
      <c r="AQ117" s="500"/>
      <c r="AR117" s="501"/>
      <c r="AT117" s="88"/>
      <c r="AV117" s="502"/>
      <c r="AW117" s="500"/>
      <c r="AX117" s="500"/>
      <c r="AY117" s="500"/>
      <c r="AZ117" s="500"/>
      <c r="BA117" s="500"/>
      <c r="BB117" s="500"/>
      <c r="BC117" s="500"/>
      <c r="BD117" s="500"/>
      <c r="BE117" s="500"/>
      <c r="BF117" s="500"/>
      <c r="BG117" s="500"/>
      <c r="BH117" s="500"/>
      <c r="BI117" s="500"/>
      <c r="BJ117" s="500"/>
      <c r="BK117" s="500"/>
      <c r="BL117" s="500"/>
    </row>
    <row r="118" spans="1:64" s="89" customFormat="1" ht="11.25">
      <c r="A118" s="499"/>
      <c r="F118" s="122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AA118" s="122"/>
      <c r="AB118" s="500"/>
      <c r="AC118" s="500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1"/>
      <c r="AT118" s="88"/>
      <c r="AV118" s="502"/>
      <c r="AW118" s="500"/>
      <c r="AX118" s="500"/>
      <c r="AY118" s="500"/>
      <c r="AZ118" s="500"/>
      <c r="BA118" s="500"/>
      <c r="BB118" s="500"/>
      <c r="BC118" s="500"/>
      <c r="BD118" s="500"/>
      <c r="BE118" s="500"/>
      <c r="BF118" s="500"/>
      <c r="BG118" s="500"/>
      <c r="BH118" s="500"/>
      <c r="BI118" s="500"/>
      <c r="BJ118" s="500"/>
      <c r="BK118" s="500"/>
      <c r="BL118" s="500"/>
    </row>
    <row r="119" spans="1:64" s="89" customFormat="1" ht="11.25">
      <c r="A119" s="499"/>
      <c r="F119" s="122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AA119" s="122"/>
      <c r="AB119" s="500"/>
      <c r="AC119" s="500"/>
      <c r="AD119" s="500"/>
      <c r="AE119" s="500"/>
      <c r="AF119" s="500"/>
      <c r="AG119" s="500"/>
      <c r="AH119" s="500"/>
      <c r="AI119" s="500"/>
      <c r="AJ119" s="500"/>
      <c r="AK119" s="500"/>
      <c r="AL119" s="500"/>
      <c r="AM119" s="500"/>
      <c r="AN119" s="500"/>
      <c r="AO119" s="500"/>
      <c r="AP119" s="500"/>
      <c r="AQ119" s="500"/>
      <c r="AR119" s="501"/>
      <c r="AT119" s="88"/>
      <c r="AV119" s="502"/>
      <c r="AW119" s="500"/>
      <c r="AX119" s="500"/>
      <c r="AY119" s="500"/>
      <c r="AZ119" s="500"/>
      <c r="BA119" s="500"/>
      <c r="BB119" s="500"/>
      <c r="BC119" s="500"/>
      <c r="BD119" s="500"/>
      <c r="BE119" s="500"/>
      <c r="BF119" s="500"/>
      <c r="BG119" s="500"/>
      <c r="BH119" s="500"/>
      <c r="BI119" s="500"/>
      <c r="BJ119" s="500"/>
      <c r="BK119" s="500"/>
      <c r="BL119" s="500"/>
    </row>
    <row r="120" spans="1:64" s="89" customFormat="1" ht="11.25">
      <c r="A120" s="499"/>
      <c r="F120" s="122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AA120" s="122"/>
      <c r="AB120" s="500"/>
      <c r="AC120" s="500"/>
      <c r="AD120" s="500"/>
      <c r="AE120" s="500"/>
      <c r="AF120" s="500"/>
      <c r="AG120" s="500"/>
      <c r="AH120" s="500"/>
      <c r="AI120" s="500"/>
      <c r="AJ120" s="500"/>
      <c r="AK120" s="500"/>
      <c r="AL120" s="500"/>
      <c r="AM120" s="500"/>
      <c r="AN120" s="500"/>
      <c r="AO120" s="500"/>
      <c r="AP120" s="500"/>
      <c r="AQ120" s="500"/>
      <c r="AR120" s="501"/>
      <c r="AT120" s="88"/>
      <c r="AV120" s="502"/>
      <c r="AW120" s="500"/>
      <c r="AX120" s="500"/>
      <c r="AY120" s="500"/>
      <c r="AZ120" s="500"/>
      <c r="BA120" s="500"/>
      <c r="BB120" s="500"/>
      <c r="BC120" s="500"/>
      <c r="BD120" s="500"/>
      <c r="BE120" s="500"/>
      <c r="BF120" s="500"/>
      <c r="BG120" s="500"/>
      <c r="BH120" s="500"/>
      <c r="BI120" s="500"/>
      <c r="BJ120" s="500"/>
      <c r="BK120" s="500"/>
      <c r="BL120" s="500"/>
    </row>
    <row r="121" spans="1:64" s="89" customFormat="1" ht="11.25">
      <c r="A121" s="499"/>
      <c r="F121" s="122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AA121" s="122"/>
      <c r="AB121" s="500"/>
      <c r="AC121" s="500"/>
      <c r="AD121" s="500"/>
      <c r="AE121" s="500"/>
      <c r="AF121" s="500"/>
      <c r="AG121" s="500"/>
      <c r="AH121" s="500"/>
      <c r="AI121" s="500"/>
      <c r="AJ121" s="500"/>
      <c r="AK121" s="500"/>
      <c r="AL121" s="500"/>
      <c r="AM121" s="500"/>
      <c r="AN121" s="500"/>
      <c r="AO121" s="500"/>
      <c r="AP121" s="500"/>
      <c r="AQ121" s="500"/>
      <c r="AR121" s="501"/>
      <c r="AT121" s="88"/>
      <c r="AV121" s="502"/>
      <c r="AW121" s="500"/>
      <c r="AX121" s="500"/>
      <c r="AY121" s="500"/>
      <c r="AZ121" s="500"/>
      <c r="BA121" s="500"/>
      <c r="BB121" s="500"/>
      <c r="BC121" s="500"/>
      <c r="BD121" s="500"/>
      <c r="BE121" s="500"/>
      <c r="BF121" s="500"/>
      <c r="BG121" s="500"/>
      <c r="BH121" s="500"/>
      <c r="BI121" s="500"/>
      <c r="BJ121" s="500"/>
      <c r="BK121" s="500"/>
      <c r="BL121" s="500"/>
    </row>
    <row r="122" spans="1:64" s="89" customFormat="1" ht="11.25">
      <c r="A122" s="499"/>
      <c r="F122" s="122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AA122" s="122"/>
      <c r="AB122" s="500"/>
      <c r="AC122" s="500"/>
      <c r="AD122" s="500"/>
      <c r="AE122" s="500"/>
      <c r="AF122" s="500"/>
      <c r="AG122" s="500"/>
      <c r="AH122" s="500"/>
      <c r="AI122" s="500"/>
      <c r="AJ122" s="500"/>
      <c r="AK122" s="500"/>
      <c r="AL122" s="500"/>
      <c r="AM122" s="500"/>
      <c r="AN122" s="500"/>
      <c r="AO122" s="500"/>
      <c r="AP122" s="500"/>
      <c r="AQ122" s="500"/>
      <c r="AR122" s="501"/>
      <c r="AT122" s="88"/>
      <c r="AV122" s="502"/>
      <c r="AW122" s="500"/>
      <c r="AX122" s="500"/>
      <c r="AY122" s="500"/>
      <c r="AZ122" s="500"/>
      <c r="BA122" s="500"/>
      <c r="BB122" s="500"/>
      <c r="BC122" s="500"/>
      <c r="BD122" s="500"/>
      <c r="BE122" s="500"/>
      <c r="BF122" s="500"/>
      <c r="BG122" s="500"/>
      <c r="BH122" s="500"/>
      <c r="BI122" s="500"/>
      <c r="BJ122" s="500"/>
      <c r="BK122" s="500"/>
      <c r="BL122" s="500"/>
    </row>
    <row r="123" spans="1:64" s="89" customFormat="1" ht="11.25">
      <c r="A123" s="499"/>
      <c r="F123" s="122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AA123" s="122"/>
      <c r="AB123" s="500"/>
      <c r="AC123" s="500"/>
      <c r="AD123" s="500"/>
      <c r="AE123" s="500"/>
      <c r="AF123" s="500"/>
      <c r="AG123" s="500"/>
      <c r="AH123" s="500"/>
      <c r="AI123" s="500"/>
      <c r="AJ123" s="500"/>
      <c r="AK123" s="500"/>
      <c r="AL123" s="500"/>
      <c r="AM123" s="500"/>
      <c r="AN123" s="500"/>
      <c r="AO123" s="500"/>
      <c r="AP123" s="500"/>
      <c r="AQ123" s="500"/>
      <c r="AR123" s="501"/>
      <c r="AT123" s="88"/>
      <c r="AV123" s="502"/>
      <c r="AW123" s="500"/>
      <c r="AX123" s="500"/>
      <c r="AY123" s="500"/>
      <c r="AZ123" s="500"/>
      <c r="BA123" s="500"/>
      <c r="BB123" s="500"/>
      <c r="BC123" s="500"/>
      <c r="BD123" s="500"/>
      <c r="BE123" s="500"/>
      <c r="BF123" s="500"/>
      <c r="BG123" s="500"/>
      <c r="BH123" s="500"/>
      <c r="BI123" s="500"/>
      <c r="BJ123" s="500"/>
      <c r="BK123" s="500"/>
      <c r="BL123" s="500"/>
    </row>
    <row r="124" spans="1:64" s="89" customFormat="1" ht="11.25">
      <c r="A124" s="499"/>
      <c r="F124" s="122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AA124" s="122"/>
      <c r="AB124" s="500"/>
      <c r="AC124" s="500"/>
      <c r="AD124" s="500"/>
      <c r="AE124" s="500"/>
      <c r="AF124" s="500"/>
      <c r="AG124" s="500"/>
      <c r="AH124" s="500"/>
      <c r="AI124" s="500"/>
      <c r="AJ124" s="500"/>
      <c r="AK124" s="500"/>
      <c r="AL124" s="500"/>
      <c r="AM124" s="500"/>
      <c r="AN124" s="500"/>
      <c r="AO124" s="500"/>
      <c r="AP124" s="500"/>
      <c r="AQ124" s="500"/>
      <c r="AR124" s="501"/>
      <c r="AT124" s="88"/>
      <c r="AV124" s="502"/>
      <c r="AW124" s="500"/>
      <c r="AX124" s="500"/>
      <c r="AY124" s="500"/>
      <c r="AZ124" s="500"/>
      <c r="BA124" s="500"/>
      <c r="BB124" s="500"/>
      <c r="BC124" s="500"/>
      <c r="BD124" s="500"/>
      <c r="BE124" s="500"/>
      <c r="BF124" s="500"/>
      <c r="BG124" s="500"/>
      <c r="BH124" s="500"/>
      <c r="BI124" s="500"/>
      <c r="BJ124" s="500"/>
      <c r="BK124" s="500"/>
      <c r="BL124" s="500"/>
    </row>
    <row r="125" spans="1:64" s="89" customFormat="1" ht="11.25">
      <c r="A125" s="499"/>
      <c r="F125" s="122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AA125" s="122"/>
      <c r="AB125" s="500"/>
      <c r="AC125" s="500"/>
      <c r="AD125" s="500"/>
      <c r="AE125" s="500"/>
      <c r="AF125" s="500"/>
      <c r="AG125" s="500"/>
      <c r="AH125" s="500"/>
      <c r="AI125" s="500"/>
      <c r="AJ125" s="500"/>
      <c r="AK125" s="500"/>
      <c r="AL125" s="500"/>
      <c r="AM125" s="500"/>
      <c r="AN125" s="500"/>
      <c r="AO125" s="500"/>
      <c r="AP125" s="500"/>
      <c r="AQ125" s="500"/>
      <c r="AR125" s="501"/>
      <c r="AT125" s="88"/>
      <c r="AV125" s="502"/>
      <c r="AW125" s="500"/>
      <c r="AX125" s="500"/>
      <c r="AY125" s="500"/>
      <c r="AZ125" s="500"/>
      <c r="BA125" s="500"/>
      <c r="BB125" s="500"/>
      <c r="BC125" s="500"/>
      <c r="BD125" s="500"/>
      <c r="BE125" s="500"/>
      <c r="BF125" s="500"/>
      <c r="BG125" s="500"/>
      <c r="BH125" s="500"/>
      <c r="BI125" s="500"/>
      <c r="BJ125" s="500"/>
      <c r="BK125" s="500"/>
      <c r="BL125" s="500"/>
    </row>
    <row r="126" spans="1:64" s="89" customFormat="1" ht="11.25">
      <c r="A126" s="499"/>
      <c r="F126" s="122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AA126" s="122"/>
      <c r="AB126" s="500"/>
      <c r="AC126" s="500"/>
      <c r="AD126" s="500"/>
      <c r="AE126" s="500"/>
      <c r="AF126" s="500"/>
      <c r="AG126" s="500"/>
      <c r="AH126" s="500"/>
      <c r="AI126" s="500"/>
      <c r="AJ126" s="500"/>
      <c r="AK126" s="500"/>
      <c r="AL126" s="500"/>
      <c r="AM126" s="500"/>
      <c r="AN126" s="500"/>
      <c r="AO126" s="500"/>
      <c r="AP126" s="500"/>
      <c r="AQ126" s="500"/>
      <c r="AR126" s="501"/>
      <c r="AT126" s="88"/>
      <c r="AV126" s="502"/>
      <c r="AW126" s="500"/>
      <c r="AX126" s="500"/>
      <c r="AY126" s="500"/>
      <c r="AZ126" s="500"/>
      <c r="BA126" s="500"/>
      <c r="BB126" s="500"/>
      <c r="BC126" s="500"/>
      <c r="BD126" s="500"/>
      <c r="BE126" s="500"/>
      <c r="BF126" s="500"/>
      <c r="BG126" s="500"/>
      <c r="BH126" s="500"/>
      <c r="BI126" s="500"/>
      <c r="BJ126" s="500"/>
      <c r="BK126" s="500"/>
      <c r="BL126" s="500"/>
    </row>
    <row r="127" spans="1:64" s="89" customFormat="1" ht="11.25">
      <c r="A127" s="499"/>
      <c r="F127" s="122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AA127" s="122"/>
      <c r="AB127" s="500"/>
      <c r="AC127" s="500"/>
      <c r="AD127" s="500"/>
      <c r="AE127" s="500"/>
      <c r="AF127" s="500"/>
      <c r="AG127" s="500"/>
      <c r="AH127" s="500"/>
      <c r="AI127" s="500"/>
      <c r="AJ127" s="500"/>
      <c r="AK127" s="500"/>
      <c r="AL127" s="500"/>
      <c r="AM127" s="500"/>
      <c r="AN127" s="500"/>
      <c r="AO127" s="500"/>
      <c r="AP127" s="500"/>
      <c r="AQ127" s="500"/>
      <c r="AR127" s="501"/>
      <c r="AT127" s="88"/>
      <c r="AV127" s="502"/>
      <c r="AW127" s="500"/>
      <c r="AX127" s="500"/>
      <c r="AY127" s="500"/>
      <c r="AZ127" s="500"/>
      <c r="BA127" s="500"/>
      <c r="BB127" s="500"/>
      <c r="BC127" s="500"/>
      <c r="BD127" s="500"/>
      <c r="BE127" s="500"/>
      <c r="BF127" s="500"/>
      <c r="BG127" s="500"/>
      <c r="BH127" s="500"/>
      <c r="BI127" s="500"/>
      <c r="BJ127" s="500"/>
      <c r="BK127" s="500"/>
      <c r="BL127" s="500"/>
    </row>
    <row r="128" spans="1:64" s="89" customFormat="1" ht="11.25">
      <c r="A128" s="499"/>
      <c r="F128" s="122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AA128" s="122"/>
      <c r="AB128" s="500"/>
      <c r="AC128" s="500"/>
      <c r="AD128" s="500"/>
      <c r="AE128" s="500"/>
      <c r="AF128" s="500"/>
      <c r="AG128" s="500"/>
      <c r="AH128" s="500"/>
      <c r="AI128" s="500"/>
      <c r="AJ128" s="500"/>
      <c r="AK128" s="500"/>
      <c r="AL128" s="500"/>
      <c r="AM128" s="500"/>
      <c r="AN128" s="500"/>
      <c r="AO128" s="500"/>
      <c r="AP128" s="500"/>
      <c r="AQ128" s="500"/>
      <c r="AR128" s="501"/>
      <c r="AT128" s="88"/>
      <c r="AV128" s="502"/>
      <c r="AW128" s="500"/>
      <c r="AX128" s="500"/>
      <c r="AY128" s="500"/>
      <c r="AZ128" s="500"/>
      <c r="BA128" s="500"/>
      <c r="BB128" s="500"/>
      <c r="BC128" s="500"/>
      <c r="BD128" s="500"/>
      <c r="BE128" s="500"/>
      <c r="BF128" s="500"/>
      <c r="BG128" s="500"/>
      <c r="BH128" s="500"/>
      <c r="BI128" s="500"/>
      <c r="BJ128" s="500"/>
      <c r="BK128" s="500"/>
      <c r="BL128" s="500"/>
    </row>
    <row r="129" spans="7:64" ht="12"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BD129" s="297"/>
      <c r="BE129" s="297"/>
      <c r="BF129" s="297"/>
      <c r="BG129" s="297"/>
      <c r="BH129" s="297"/>
      <c r="BI129" s="297"/>
      <c r="BJ129" s="297"/>
      <c r="BK129" s="297"/>
      <c r="BL129" s="297"/>
    </row>
    <row r="130" spans="7:64" ht="12"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BD130" s="297"/>
      <c r="BE130" s="297"/>
      <c r="BF130" s="297"/>
      <c r="BG130" s="297"/>
      <c r="BH130" s="297"/>
      <c r="BI130" s="297"/>
      <c r="BJ130" s="297"/>
      <c r="BK130" s="297"/>
      <c r="BL130" s="297"/>
    </row>
    <row r="131" spans="7:64" ht="12"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BD131" s="297"/>
      <c r="BE131" s="297"/>
      <c r="BF131" s="297"/>
      <c r="BG131" s="297"/>
      <c r="BH131" s="297"/>
      <c r="BI131" s="297"/>
      <c r="BJ131" s="297"/>
      <c r="BK131" s="297"/>
      <c r="BL131" s="297"/>
    </row>
    <row r="132" spans="7:64" ht="12"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BD132" s="297"/>
      <c r="BE132" s="297"/>
      <c r="BF132" s="297"/>
      <c r="BG132" s="297"/>
      <c r="BH132" s="297"/>
      <c r="BI132" s="297"/>
      <c r="BJ132" s="297"/>
      <c r="BK132" s="297"/>
      <c r="BL132" s="297"/>
    </row>
    <row r="133" spans="7:64" ht="12"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BD133" s="297"/>
      <c r="BE133" s="297"/>
      <c r="BF133" s="297"/>
      <c r="BG133" s="297"/>
      <c r="BH133" s="297"/>
      <c r="BI133" s="297"/>
      <c r="BJ133" s="297"/>
      <c r="BK133" s="297"/>
      <c r="BL133" s="297"/>
    </row>
    <row r="134" spans="7:64" ht="12"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7"/>
      <c r="AQ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</row>
    <row r="135" spans="7:64" ht="12"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</row>
  </sheetData>
  <mergeCells count="23">
    <mergeCell ref="F5:J5"/>
    <mergeCell ref="AK4:AP4"/>
    <mergeCell ref="AA5:AE5"/>
    <mergeCell ref="AJ5:AO5"/>
    <mergeCell ref="W3:AQ3"/>
    <mergeCell ref="AR3:BL3"/>
    <mergeCell ref="P4:U4"/>
    <mergeCell ref="O5:T5"/>
    <mergeCell ref="BE4:BK4"/>
    <mergeCell ref="BE5:BJ5"/>
    <mergeCell ref="AT4:AT6"/>
    <mergeCell ref="AR4:AR6"/>
    <mergeCell ref="AS4:AS6"/>
    <mergeCell ref="A4:A6"/>
    <mergeCell ref="A2:BL2"/>
    <mergeCell ref="BK5:BK6"/>
    <mergeCell ref="BL4:BL6"/>
    <mergeCell ref="BA5:BA6"/>
    <mergeCell ref="BB5:BB6"/>
    <mergeCell ref="BC4:BC6"/>
    <mergeCell ref="K3:V3"/>
    <mergeCell ref="W5:X5"/>
    <mergeCell ref="AV5:AZ5"/>
  </mergeCells>
  <printOptions horizontalCentered="1"/>
  <pageMargins left="0.4" right="0.4" top="0.77" bottom="0.51" header="0.18" footer="0.3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jsa</cp:lastModifiedBy>
  <cp:lastPrinted>2005-03-08T11:16:49Z</cp:lastPrinted>
  <dcterms:created xsi:type="dcterms:W3CDTF">1998-01-28T09:06:54Z</dcterms:created>
  <dcterms:modified xsi:type="dcterms:W3CDTF">2005-03-08T11:20:29Z</dcterms:modified>
  <cp:category/>
  <cp:version/>
  <cp:contentType/>
  <cp:contentStatus/>
</cp:coreProperties>
</file>