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90" windowHeight="12525" activeTab="0"/>
  </bookViews>
  <sheets>
    <sheet name="wg Klasyfikacji" sheetId="1" r:id="rId1"/>
  </sheets>
  <definedNames>
    <definedName name="_xlnm.Print_Titles" localSheetId="0">'wg Klasyfikacji'!$2:$3</definedName>
  </definedNames>
  <calcPr fullCalcOnLoad="1"/>
</workbook>
</file>

<file path=xl/sharedStrings.xml><?xml version="1.0" encoding="utf-8"?>
<sst xmlns="http://schemas.openxmlformats.org/spreadsheetml/2006/main" count="1212" uniqueCount="422">
  <si>
    <t>KOLONIE I OBOZY ORAZ INNE FORMY WYPOCZYNKU DZIECI I MŁODZIEŻY SZKOLNEJ, A TAKŻE SZKOLENIA MŁODZIEŻY</t>
  </si>
  <si>
    <t>DOTACJE CELOWE OTRZYMANE Z BUDŻETU PAŃSTWA NA REALIZACJĘ ZADAŃ BIEŻĄCYCH GMIN Z ZAKRESU EDUKACYJNEJ OPIEKI WYCHOWAWCZEJ FINANSOWANYCH W CAŁOŚCI PRZEZ BUDŻET PAŃSTWA W RAMACH PROGRAMÓW RZĄDOWYCH</t>
  </si>
  <si>
    <t>899 GOSPODARKA KOMUNALNA I OCHRONA ŚRODOWISKA</t>
  </si>
  <si>
    <t>Suma końcowa</t>
  </si>
  <si>
    <t>01095</t>
  </si>
  <si>
    <t>POZOSTAŁA DZIAŁALNOŚĆ</t>
  </si>
  <si>
    <t>201</t>
  </si>
  <si>
    <t>0</t>
  </si>
  <si>
    <t>DOTACJE CELOWE OTRZYMANE Z BUDŻETU PAŃSTWA NA REALIZACJĘ ZADAŃ BIEŻĄCYCH Z ZAKRESU ADM.RZĄDOWEJ ORAZ INNYCH ZADAŃ ZLECONYCH GMINIE/ZWIĄZKOM GMIN/</t>
  </si>
  <si>
    <t>01095 Suma</t>
  </si>
  <si>
    <t>010 Suma</t>
  </si>
  <si>
    <t>02001</t>
  </si>
  <si>
    <t>GOSPODARKA LEŚNA</t>
  </si>
  <si>
    <t>084</t>
  </si>
  <si>
    <t>WPŁYWY ZE SPRZEDAŻY WYROBÓW</t>
  </si>
  <si>
    <t>02001 Suma</t>
  </si>
  <si>
    <t>020 Suma</t>
  </si>
  <si>
    <t>60004</t>
  </si>
  <si>
    <t>LOKALNY TRANSPORT ZBIOROWY</t>
  </si>
  <si>
    <t>075</t>
  </si>
  <si>
    <t>DOCHODY Z NAJMU I DZIERŻAWY SKŁADNIKÓW MAJĄTKOWYCH SKARBU PAŃSTWA, J.S.T. LUB INNYCH JEDNOSTEK ZALICZANYCH DO SEKTORA FINANSÓW PUBLICZNYCH ORAZ INNYCH UMÓW O PODOBNYM CHARAKTERZE</t>
  </si>
  <si>
    <t>083</t>
  </si>
  <si>
    <t>WPŁYWY Z USŁUG</t>
  </si>
  <si>
    <t>092</t>
  </si>
  <si>
    <t>POZOSTAŁE ODSETKI</t>
  </si>
  <si>
    <t>097</t>
  </si>
  <si>
    <t>WPŁYWY Z RÓŻNYCH DOCHODÓW</t>
  </si>
  <si>
    <t>200</t>
  </si>
  <si>
    <t>7</t>
  </si>
  <si>
    <t>DOTACJE CELOWE W RAMACH PROGRAMÓW FINANSOWANYCH Z UDZIAŁEM ŚRODKÓW EUROPEJSKICH ORAZ ŚRODKÓW, O KTÓRYCH MOWA W ART. 5 UST 1 PKT 3 ORAZ UST. 3 PKT 5 I 6 USTAWY, LUB PŁATNOŚCI W RAMACH BUDŻETU ŚRODKÓW EUROPEJSKICH</t>
  </si>
  <si>
    <t>8</t>
  </si>
  <si>
    <t>231</t>
  </si>
  <si>
    <t>DOTACJE CELOWE OTRZYMANE Z GMINY NA ZADANIA BIEŻĄCE REALIZOWANE NA PODSTAWIE POROZUMIEŃ (UMÓW) MIĘDZY J.S.T.</t>
  </si>
  <si>
    <t>60004 Suma</t>
  </si>
  <si>
    <t>60015</t>
  </si>
  <si>
    <t>DROGI PUBLICZNE W MIASTACH NA PRAWACH POWIATU</t>
  </si>
  <si>
    <t>057</t>
  </si>
  <si>
    <t>GRZYWNY, MANDATY I INNE KARY PIENIĘŻNE OD OSÓB FIZYCZNYCH</t>
  </si>
  <si>
    <t>058</t>
  </si>
  <si>
    <t>GRZYWNY I INNE KARY PIENIĘŻNE OD OSÓB PRAWNYCH I INNYCH JEDNOSTEK ORGANIZACYJNYCH</t>
  </si>
  <si>
    <t>069</t>
  </si>
  <si>
    <t>WPŁYWY Z RÓŻNYCH OPŁAT</t>
  </si>
  <si>
    <t>077</t>
  </si>
  <si>
    <t>WPŁATY Z TYTUŁU ODPŁATNEGO NABYCIA PRAWA WŁASNOŚCI ORAZ PRAWA UŻYTKOWANIA WIECZYSTEGO NIERUCHOMOŚCI</t>
  </si>
  <si>
    <t>620</t>
  </si>
  <si>
    <t>DOTACJE CELOWE W RAMACH PROGRAMÓW FINANSOWANYCH Z UDZIAŁEM ŚRODKÓW EUROPEJSKICH ORAZ ŚRODKÓW, O KTÓRYCH MOWA  W ART. 5 UST. 1 PKT 3 ORAZ UST. 3 PKT 5 I 6 USTAWY, LUB PŁATNOŚCI W RAMACH BUDŻETU ŚRODKÓW EUROPEJSKICH</t>
  </si>
  <si>
    <t>629</t>
  </si>
  <si>
    <t>ŚRODKI NA DOFIN. WŁASNYCH INWEST. GMIN, POWIATÓW, ZW. POW., SAMORZ. WOJEW., POZYSK. Z INNYCH ńRÓDEŁ</t>
  </si>
  <si>
    <t>60015 Suma</t>
  </si>
  <si>
    <t>60095</t>
  </si>
  <si>
    <t>POZOSTAŁA DZIAŁALNOŚC</t>
  </si>
  <si>
    <t>270</t>
  </si>
  <si>
    <t>ŚRODKI NA DOFIN.WŁ.ZADAŃ BIEŻĄCYCH GMIN/ZWIĄZKÓW GMIN/, POWIATÓW/ZWIĄZKÓW POWIATÓW/, SAMORZĄDÓW WOJEWÓDZTW POZYSKANE Z INNYCH ńRÓDEŁ</t>
  </si>
  <si>
    <t>60095 Suma</t>
  </si>
  <si>
    <t>600 Suma</t>
  </si>
  <si>
    <t>70005</t>
  </si>
  <si>
    <t>GOSPODARKA GRUNTAMI I NIERUCHOMOŚCIAMI</t>
  </si>
  <si>
    <t>047</t>
  </si>
  <si>
    <t>WPŁYWY Z OPŁAT ZA ZARZĄD, UŻYTKOWANIE I UŻYTKOWANIE WIECZYSTE NIERUCHOMOŚCI</t>
  </si>
  <si>
    <t>076</t>
  </si>
  <si>
    <t>WPŁYWY Z TYTUŁU PRZEKSZTAŁCENIA PRAWA UŻYTKOWANIA WIECZYSTEGO PRZYSŁUGUJĄCEGO OSOBOM FIZYCZNYM W PRAWO WŁASNOŚCI</t>
  </si>
  <si>
    <t>211</t>
  </si>
  <si>
    <t>DOT.CELOWE OTRZYM.Z BUDŻETU PAŃSTWA NA ZAD.BIEŻĄCE Z ZAKRESU ADM.RZĄD. ORAZ INNNE ZADANIA ZLECONE USTAWAMI REALIZOWANE PRZEZ POWIAT</t>
  </si>
  <si>
    <t>236</t>
  </si>
  <si>
    <t>DOCHODY JEDN.SAM.TERYTORIALNEGO ZWIĄZANE Z REALIZACJĄ ZADAŃ Z ZAKRESU ADMINISTRACJI RZĄDOWEJ ORAZ INNYCH ZADAŃ ZLECONYCH USTAWAMI</t>
  </si>
  <si>
    <t>70005 Suma</t>
  </si>
  <si>
    <t>70095</t>
  </si>
  <si>
    <t>70095 Suma</t>
  </si>
  <si>
    <t>700 Suma</t>
  </si>
  <si>
    <t>71003</t>
  </si>
  <si>
    <t>BIURA PLANOWANIA PRZESTRZENNEGO</t>
  </si>
  <si>
    <t>71003 Suma</t>
  </si>
  <si>
    <t>71013</t>
  </si>
  <si>
    <t>PRACE GEODEZYJNE I KARTOGRAFICZNE/NIEINWESTYCYJNE/</t>
  </si>
  <si>
    <t>71013 Suma</t>
  </si>
  <si>
    <t>71014</t>
  </si>
  <si>
    <t>OPRACOWANIA GEODEZYJNE I KARTOGRAFICZNE</t>
  </si>
  <si>
    <t>71014 Suma</t>
  </si>
  <si>
    <t>71015</t>
  </si>
  <si>
    <t>NADZÓR BUDOWLANY</t>
  </si>
  <si>
    <t>71015 Suma</t>
  </si>
  <si>
    <t>CMENTARZE</t>
  </si>
  <si>
    <t>202</t>
  </si>
  <si>
    <t>DOTACJE CELOWE OTRZYM.Z BUDŻETU PAŃSTWA NA ZADANIA BIEŻĄCE REALIZOWANE PRZEZ GMINĘ NA PODSTAWIE POROZUMIEŃ Z ORGANAMI ADM.RZĄDOWEJ</t>
  </si>
  <si>
    <t>71035 Suma</t>
  </si>
  <si>
    <t>9</t>
  </si>
  <si>
    <t>71095 Suma</t>
  </si>
  <si>
    <t>710 Suma</t>
  </si>
  <si>
    <t>75011</t>
  </si>
  <si>
    <t>URZĘDY WOJEWÓDZKIE</t>
  </si>
  <si>
    <t>75011 Suma</t>
  </si>
  <si>
    <t>URZĘDY GMIN/MIAST I MIAST NA PRAWACH POWIATU</t>
  </si>
  <si>
    <t>059</t>
  </si>
  <si>
    <t>WPŁYWY Z OPŁAT ZA KONCESJE I LICENCJE</t>
  </si>
  <si>
    <t>75023 Suma</t>
  </si>
  <si>
    <t>75045</t>
  </si>
  <si>
    <t>KWALIFIKACJA WOJSKOWA</t>
  </si>
  <si>
    <t>212</t>
  </si>
  <si>
    <t>DOT.CELOWE OTRZYM.Z BUDŻETU PAŃSTWA NA ZAD.BIEŻĄCE REALIZOWANE PRZEZ POWIAT NA PODST.POROZUMIEŃ Z ORGANAMI ADM.RZĄDOWEJ</t>
  </si>
  <si>
    <t>75045 Suma</t>
  </si>
  <si>
    <t>6</t>
  </si>
  <si>
    <t>1</t>
  </si>
  <si>
    <t>75095 Suma</t>
  </si>
  <si>
    <t>750 Suma</t>
  </si>
  <si>
    <t>75101</t>
  </si>
  <si>
    <t>URZĘDY NACZELNYCH ORGANÓW WŁADZY PAŃSTWOWEJ, KONTROLI I OCHRONY PRAWA</t>
  </si>
  <si>
    <t>75101 Suma</t>
  </si>
  <si>
    <t>75113</t>
  </si>
  <si>
    <t>WYBORY DO PARLAMENTU EUROPEJSKIEGO</t>
  </si>
  <si>
    <t>75113 Suma</t>
  </si>
  <si>
    <t>751 Suma</t>
  </si>
  <si>
    <t>75411</t>
  </si>
  <si>
    <t>KOMENDY POWIATOWE PAŃSTWOWEJ STRAŻY POŻARNEJ</t>
  </si>
  <si>
    <t>244</t>
  </si>
  <si>
    <t>DOTACJE OTRZYMANE Z PAŃSTWOWYCH FUNDUSZY CELOWYCH NA REALIZACJĘ ZADAŃ BIEŻĄCYCH JEDNOSTEK SEKTORA FINANSÓW PUBLICZNYCH</t>
  </si>
  <si>
    <t>626</t>
  </si>
  <si>
    <t>DOTACJE OTRZYMANE Z PAŃSTWOWYCH FUNDUSZY CELOWYCH NA FINANSOWANIE LUB DOFINANSOWANIE KOSZTÓW REALIZACJI INWESTYCJI I ZAKUPÓW INWESTYCYJNYCH JEDNOSTEK SEKTORA FINANSÓW PUBLICZNYCH</t>
  </si>
  <si>
    <t>641</t>
  </si>
  <si>
    <t>DOTACJE CELOWE OTRZYMANE Z BUDŻETU PAŃSTWA NA INWESTYCJE I ZAKUPY INWESTYCYJNE Z ZAKRESU ADMINISTRACJI RZĄDOWEJ ORAZ INNE ZADANIA ZLECONE USTAWAMI REALIZOWANE PRZEZ POWIAT</t>
  </si>
  <si>
    <t>75411 Suma</t>
  </si>
  <si>
    <t>75416</t>
  </si>
  <si>
    <t>STRAŻ GMINNA (MIEJSKA)</t>
  </si>
  <si>
    <t>75416 Suma</t>
  </si>
  <si>
    <t>754 Suma</t>
  </si>
  <si>
    <t>75601</t>
  </si>
  <si>
    <t>WPŁYWY Z PODATKU DOCHODOWEGO OD OSÓB FIZYCZNYCH</t>
  </si>
  <si>
    <t>035</t>
  </si>
  <si>
    <t>PODATEK OD DZIAŁALNOŚCI GOSPODARCZEJ OSÓB FIZYCZNYCH OPŁACANY W FORMIE KARTY PODATKOWEJ</t>
  </si>
  <si>
    <t>75601 Suma</t>
  </si>
  <si>
    <t>75615</t>
  </si>
  <si>
    <t>WPŁYWY Z PODATKU ROLNEGO, PODATKU LEŚNEGO, PODATKU OD CZYNNOŚCI CYWILNOPRAWNYCH, PODATKÓW I OPŁAT LOKALNYCH OD OSÓB PRAWNYCH I INNYCH JEDNOSTEK ORGANIZACYJNYCH</t>
  </si>
  <si>
    <t>031</t>
  </si>
  <si>
    <t>PODATEK OD NIERUCHOMOŚCI</t>
  </si>
  <si>
    <t>032</t>
  </si>
  <si>
    <t>PODATEK ROLNY</t>
  </si>
  <si>
    <t>033</t>
  </si>
  <si>
    <t>PODATEK LEŚNY</t>
  </si>
  <si>
    <t>034</t>
  </si>
  <si>
    <t>PODATEK OD ŚRODKÓW TRANSPORTOWYCH</t>
  </si>
  <si>
    <t>050</t>
  </si>
  <si>
    <t>PODATEK OD CZYNNOŚCI CYWILNOPRAWNYCH</t>
  </si>
  <si>
    <t>091</t>
  </si>
  <si>
    <t>ODSETKI OD NIETERMINOWYCH WPŁAT Z TYTUŁU PODATKÓW I OPŁAT</t>
  </si>
  <si>
    <t>268</t>
  </si>
  <si>
    <t>REKOMPENSATY UTRACONYCH DOCHODÓW W PODATKACH I OPŁATACH LOKALNYCH</t>
  </si>
  <si>
    <t>75615 Suma</t>
  </si>
  <si>
    <t>75616</t>
  </si>
  <si>
    <t>WPŁYWY Z PODATKU ROLNEGO, PODATKU LEŚNEGO, PODATKU OD SPADKÓW I DAROWIZN, PODATKU OD CZYNNOŚCI CYWILNOPRAWNYCH ORAZ PODATKÓW I OPŁAT LOKALNYCH OD OSÓB FIZYCZNYCH</t>
  </si>
  <si>
    <t>036</t>
  </si>
  <si>
    <t>PODATEK OD SPADKÓW I DAROWIZN</t>
  </si>
  <si>
    <t>043</t>
  </si>
  <si>
    <t>WPŁYWY Z OPŁATY TARGOWEJ</t>
  </si>
  <si>
    <t>044</t>
  </si>
  <si>
    <t>WPŁYWY Z OPŁATY MIEJSCOWEJ</t>
  </si>
  <si>
    <t>75616 Suma</t>
  </si>
  <si>
    <t>75618</t>
  </si>
  <si>
    <t>WPŁYWY Z INNYCH OPŁAT STANOWIĄCYCH DOCHODY J.S.T. NA PODSTAWIE USTAW</t>
  </si>
  <si>
    <t>041</t>
  </si>
  <si>
    <t>WPŁYWY Z OPŁATY SKARBOWEJ</t>
  </si>
  <si>
    <t>042</t>
  </si>
  <si>
    <t>WPŁYWY Z OPŁATY KOMUNIKACYJNEJ</t>
  </si>
  <si>
    <t>048</t>
  </si>
  <si>
    <t>WPŁYWY Z OPŁAT ZA ZEZWOLENIA NA SPRZEDAŻ NAPOJÓW ALKOHOLOWYCH</t>
  </si>
  <si>
    <t>049</t>
  </si>
  <si>
    <t>WPŁYWY Z INNYCH LOKALNYCH OPŁAT POBIERANYCH PRZEZ J.S.T. NA PODST.ODRĘBNYCH USTAW</t>
  </si>
  <si>
    <t>75618 Suma</t>
  </si>
  <si>
    <t>75621</t>
  </si>
  <si>
    <t>UDZIAŁY GMIN W PODATKACH STANOWIĄCYCH DOCHÓD BUDŻETU PAŃSTWA</t>
  </si>
  <si>
    <t>001</t>
  </si>
  <si>
    <t>PODATEK DOCHODOWY OD OSÓB FIZYCZNYCH</t>
  </si>
  <si>
    <t>002</t>
  </si>
  <si>
    <t>PODATEK DOCHODOWY OD OSÓB PRAWNYCH</t>
  </si>
  <si>
    <t>75621 Suma</t>
  </si>
  <si>
    <t>75622</t>
  </si>
  <si>
    <t>UDZIAŁY POWIATÓW W PODATKACH STANOWIĄCYCH DOCHÓD BUDŻETU PAŃSTWA</t>
  </si>
  <si>
    <t>75622 Suma</t>
  </si>
  <si>
    <t>756 Suma</t>
  </si>
  <si>
    <t>75801</t>
  </si>
  <si>
    <t>CZĘŚĆ OŚWIATOWA SUBW.OGÓLNEJ DLA JEDN.SAMORZĄDU TERYTORALNEGO</t>
  </si>
  <si>
    <t>292</t>
  </si>
  <si>
    <t>SUBWENCJE OGÓLNE Z BUDŻETU PAŃSTWA</t>
  </si>
  <si>
    <t>75801 Suma</t>
  </si>
  <si>
    <t>75814</t>
  </si>
  <si>
    <t>RÓŻNE ROZLICZENIA FINANSOWE</t>
  </si>
  <si>
    <t>078</t>
  </si>
  <si>
    <t>75814 Suma</t>
  </si>
  <si>
    <t>75832</t>
  </si>
  <si>
    <t>CZĘŚĆ RÓWNOWAŻĄCA SUBEWNCJI OGÓLNEJ DLA POWIATÓW</t>
  </si>
  <si>
    <t>75832 Suma</t>
  </si>
  <si>
    <t>758 Suma</t>
  </si>
  <si>
    <t>80101</t>
  </si>
  <si>
    <t>SZKOŁY PODSTAWOWE</t>
  </si>
  <si>
    <t>633</t>
  </si>
  <si>
    <t>DOTACJE CELOWE OTRZYMANE Z BUDŻETU PAŃSTWA NA REALIZACJĘ INWESTYCJI I ZAKUPÓW INWESTYCYJNYCH WŁASNYCH GMIN (ZWIĄZKÓW GMIN)</t>
  </si>
  <si>
    <t>80101 Suma</t>
  </si>
  <si>
    <t>80102</t>
  </si>
  <si>
    <t>SZKOŁY PODSTAWOWE SPECJALNE</t>
  </si>
  <si>
    <t>80102 Suma</t>
  </si>
  <si>
    <t>80103</t>
  </si>
  <si>
    <t>ODDZIAŁY PRZEDSZKOLNE W SZKOŁACH PODSTAWOWYCH</t>
  </si>
  <si>
    <t>203</t>
  </si>
  <si>
    <t>DOTACJE CELOWE OTRZYM.Z BUDŻETU PAŃSTWA NA REALIZACJĘ WŁASNYCH ZADAŃ BIEŻĄCYCH GMIN/ZWIĄZKÓW GMIN/</t>
  </si>
  <si>
    <t>80103 Suma</t>
  </si>
  <si>
    <t>80104</t>
  </si>
  <si>
    <t>PRZEDSZKOLA</t>
  </si>
  <si>
    <t>80104 Suma</t>
  </si>
  <si>
    <t>80105</t>
  </si>
  <si>
    <t>PRZEDSZKOLA SPECJALNE</t>
  </si>
  <si>
    <t>80105 Suma</t>
  </si>
  <si>
    <t>80106</t>
  </si>
  <si>
    <t>80106 Suma</t>
  </si>
  <si>
    <t>80110</t>
  </si>
  <si>
    <t>GIMNAZJA</t>
  </si>
  <si>
    <t>80110 Suma</t>
  </si>
  <si>
    <t>LICEA OGÓLNOKSZTAŁCĄCE</t>
  </si>
  <si>
    <t>80120 Suma</t>
  </si>
  <si>
    <t>SZKOŁY ZAWODOWE</t>
  </si>
  <si>
    <t>80130 Suma</t>
  </si>
  <si>
    <t>80132</t>
  </si>
  <si>
    <t>SZKOŁY ARTYSTYCZNE</t>
  </si>
  <si>
    <t>80132 Suma</t>
  </si>
  <si>
    <t>80195</t>
  </si>
  <si>
    <t>80195 Suma</t>
  </si>
  <si>
    <t>801 Suma</t>
  </si>
  <si>
    <t>85156</t>
  </si>
  <si>
    <t>SKŁADKI NA UBEZPIECZENIA ZDROWOTNE ORAZ ŚWIADCZENIA DLA OSÓB NIE OBJĘTYCH OBOWIĄZKIEM UBEZPIECZENIA ZDROWOTNEGO</t>
  </si>
  <si>
    <t>85156 Suma</t>
  </si>
  <si>
    <t>85195</t>
  </si>
  <si>
    <t>85195 Suma</t>
  </si>
  <si>
    <t>851 Suma</t>
  </si>
  <si>
    <t>PLACÓWKI OPIEKUŃCZO-WYCHOWAWCZE</t>
  </si>
  <si>
    <t>232</t>
  </si>
  <si>
    <t>DOTACJE CELOWE OTRZYMANE Z POWIATU NA ZADANIA BIEŻĄCE REALIZOWANE NA PODSTAWIE POROZUMIEŃ/UMÓW/ MIĘDZY JEDNOSTAKAMI SAMORZĄDU TERYTORIALNEGO</t>
  </si>
  <si>
    <t>85201 Suma</t>
  </si>
  <si>
    <t>85202</t>
  </si>
  <si>
    <t>DOMY POMOCY SPOŁECZNEJ</t>
  </si>
  <si>
    <t>213</t>
  </si>
  <si>
    <t>DOT.CELOWE OTRZYM. Z BUDŻETU PAŃSTWA NA REALIZACJĘ BIEŻĄCYCH ZADAŃ WŁASNYCH POWIATU</t>
  </si>
  <si>
    <t>85202 Suma</t>
  </si>
  <si>
    <t>85203</t>
  </si>
  <si>
    <t>OŚRODKI WSPARCIA</t>
  </si>
  <si>
    <t>85203 Suma</t>
  </si>
  <si>
    <t>RODZINY ZASTĘPCZE</t>
  </si>
  <si>
    <t>85204 Suma</t>
  </si>
  <si>
    <t>85205</t>
  </si>
  <si>
    <t>ZADANIA W ZAKRESIE PRZECIWDZIAŁANIA PRZEMOCY W RODZINIE</t>
  </si>
  <si>
    <t>85205 Suma</t>
  </si>
  <si>
    <t>85212</t>
  </si>
  <si>
    <t>ŚWIADCZENIA RODZINNE, ŚWIADCZENIA Z FUNDUSZU ALIMENTACYJNEGO ORAZ SKŁADKI NA UBEZPIECZENIA EMERYTALNE I RENTOWE Z UBEZPIECZENIA SPOŁECZNEGO</t>
  </si>
  <si>
    <t>85212 Suma</t>
  </si>
  <si>
    <t>SKŁADKI NA UBEZPIECZENIA ZDROWOTNE OPŁACANE ZA OSOBY POB.NIEKTÓRE ŚWIADCZENIA Z POMOCY SPOŁECZNE</t>
  </si>
  <si>
    <t>85213 Suma</t>
  </si>
  <si>
    <t>ZASIŁKI I POMOC W NATURZE ORAZ SKŁADKI NA UBEZPIECZENIA EMERYTALNE I RENTOWE</t>
  </si>
  <si>
    <t>85214 Suma</t>
  </si>
  <si>
    <t>DODATKI MIESZKANIOWE</t>
  </si>
  <si>
    <t>85215 Suma</t>
  </si>
  <si>
    <t>ZASIŁKI STAŁE</t>
  </si>
  <si>
    <t>85216 Suma</t>
  </si>
  <si>
    <t>OŚRODKI POMOCY SPOŁECZNEJ</t>
  </si>
  <si>
    <t>85219 Suma</t>
  </si>
  <si>
    <t>85228</t>
  </si>
  <si>
    <t>USŁUGI OPIEKUŃCZE I SPECJALISTYCZNE USŁUGI OPIEKUŃCZE</t>
  </si>
  <si>
    <t>85228 Suma</t>
  </si>
  <si>
    <t>85295 Suma</t>
  </si>
  <si>
    <t>852 Suma</t>
  </si>
  <si>
    <t>85305</t>
  </si>
  <si>
    <t>ŻŁOBKI</t>
  </si>
  <si>
    <t>85305 Suma</t>
  </si>
  <si>
    <t>REHABILITACJA ZAWODOWA I SPOŁECZNA OSÓB NIEPEŁNOSPRAWNYCH</t>
  </si>
  <si>
    <t>85311 Suma</t>
  </si>
  <si>
    <t>85321</t>
  </si>
  <si>
    <t>ZESPOŁY DO SPRAW ORZEKANIA O NIEPEŁNOSPRAWNOŚCI</t>
  </si>
  <si>
    <t>85321 Suma</t>
  </si>
  <si>
    <t>POWIATOWE URZĘDY PRACY</t>
  </si>
  <si>
    <t>269</t>
  </si>
  <si>
    <t>ŚRODKI Z FUNDUSZU PRACY OTRZYMANE PRZEZ POWIAT Z PRZEZNACZENIEM NA FINANSOWANIE KOSZTÓW WYNAGRODZENIA I SKŁADEK NA UBEZPIECZENIA SPOŁECZNE PRACOWNIKÓW PUP</t>
  </si>
  <si>
    <t>85333 Suma</t>
  </si>
  <si>
    <t>85395</t>
  </si>
  <si>
    <t>85395 Suma</t>
  </si>
  <si>
    <t>853 Suma</t>
  </si>
  <si>
    <t>SPECJALNE OŚRODKI SZKOLNO-WYCHOWAWCZE</t>
  </si>
  <si>
    <t>85403 Suma</t>
  </si>
  <si>
    <t>85406</t>
  </si>
  <si>
    <t>PORADNIE PSYCHOLOGICZNO - PEDAGOGICZNE, W TYM PORADNIE SPECJALISTYCZNE</t>
  </si>
  <si>
    <t>85406 Suma</t>
  </si>
  <si>
    <t>85407</t>
  </si>
  <si>
    <t>PLACÓWKI WYCHOWANIA POZASZKOLNEGO</t>
  </si>
  <si>
    <t>85407 Suma</t>
  </si>
  <si>
    <t>85410</t>
  </si>
  <si>
    <t>INTERNATY I BURSY SZKOLNE</t>
  </si>
  <si>
    <t>85410 Suma</t>
  </si>
  <si>
    <t>85415</t>
  </si>
  <si>
    <t>POMOC MATERIALNA DLA UCZNIÓW</t>
  </si>
  <si>
    <t>85415 Suma</t>
  </si>
  <si>
    <t>SZKOLNE SCHRONISKA MŁODZIEŻOWE</t>
  </si>
  <si>
    <t>85417 Suma</t>
  </si>
  <si>
    <t>854 Suma</t>
  </si>
  <si>
    <t>GOSPODARKA ŚCIEKOWA I OCHRONA WÓD</t>
  </si>
  <si>
    <t>90001 Suma</t>
  </si>
  <si>
    <t>GOSPODARKA ODPADAMI</t>
  </si>
  <si>
    <t>290</t>
  </si>
  <si>
    <t>WPŁYWY Z WPŁAT GMIN I POWIATÓW NA RZECZ INNYCH JEDN.SAM.TERYTORIALNEGO ORAZ ZWIĄZKÓW GMIN LUB ZWIĄZKÓW POWIATÓW NA DOFIN.ZADAŃ BIEŻĄCYCH</t>
  </si>
  <si>
    <t>661</t>
  </si>
  <si>
    <t>DOTACJE CELOWE OTRZYM.Z GMINY NA INWESTYCJE I ZAKUPY INWEST.REALIZ.NA PODST.POROZUMIEŃ MIĘDZY JST</t>
  </si>
  <si>
    <t>90002 Suma</t>
  </si>
  <si>
    <t>UTRZYMANIE ZIELENI W MIASTACH I GMINACH</t>
  </si>
  <si>
    <t>628</t>
  </si>
  <si>
    <t>ŚRODKI OTRZYMANE OD POZOSTAŁYCH JEDNOSTEK ZALICZANYCH DO SEKTORA FINANSÓW PUBLICZNYCH NA FINANSOWANIE LUB DOFINANSOWANIE KOSZTÓW REALIZACJI INWESTYCJI I ZAKUP OW INWESTYCYJNYCH JEDNOSTEK ZALICZANYCH DO SEKTORA FINANSÓW PUBLICZNYCH</t>
  </si>
  <si>
    <t>90004 Suma</t>
  </si>
  <si>
    <t>WPŁYWY I WYDATKI ZWIĄZANE Z GROMADZENIEM ŚRODKÓW Z OPŁAT I KAR ZA KORZYSTANIE ZE ŚRODOWISKA</t>
  </si>
  <si>
    <t>90019 Suma</t>
  </si>
  <si>
    <t>90095 Suma</t>
  </si>
  <si>
    <t>900 Suma</t>
  </si>
  <si>
    <t>92121</t>
  </si>
  <si>
    <t>WOJEWÓDZKIE URZĘDY OCHRONY ZABYTKÓW</t>
  </si>
  <si>
    <t>92121 Suma</t>
  </si>
  <si>
    <t>921 Suma</t>
  </si>
  <si>
    <t>92605</t>
  </si>
  <si>
    <t>ZADANIA W ZAKRESIE KULTURY FIZYCZNEJ</t>
  </si>
  <si>
    <t>92605 Suma</t>
  </si>
  <si>
    <t>926 Suma</t>
  </si>
  <si>
    <t>Rozdział</t>
  </si>
  <si>
    <t>Paragraf</t>
  </si>
  <si>
    <t>Zadania własne</t>
  </si>
  <si>
    <t>Zadania własne - porozumienia</t>
  </si>
  <si>
    <t>Zadania zlecone gminy</t>
  </si>
  <si>
    <t>Zadania zlecone powiatu</t>
  </si>
  <si>
    <t>% wyk</t>
  </si>
  <si>
    <t>010 ROLNICTWO I ŁOWIECTWO</t>
  </si>
  <si>
    <t>,020 LEŚNICTWO</t>
  </si>
  <si>
    <t>600 TRANSPORT I ŁĄCZNOŚĆ</t>
  </si>
  <si>
    <t>700 GOSPODARKA MIESZKANIOWA</t>
  </si>
  <si>
    <t>710 DZIAŁALNOŚĆ USŁUGOWA</t>
  </si>
  <si>
    <t>750 ADMINISTRACJA PUBLICZNA</t>
  </si>
  <si>
    <t>751 URZĘDY NACZELNYCH ORGANÓW WŁADZY PAŃSTWOWEJ,KONTROLI I OCHRONY PRAWA ORAZ SĄDOWNICTWA</t>
  </si>
  <si>
    <t>756 DOCHODY OD OSÓB PRAWNYCH, OD OSÓB FIZYCZNYCH I OD INNYCH JEDNOSTEK NIE POSIADAJĄCYCH OSOBOWOŚCI PRAWNEJ ORAZ WYDATKI ZWIĄZANE Z ICH POBOREM</t>
  </si>
  <si>
    <t>758 RÓŻNE ROZLICZENIA</t>
  </si>
  <si>
    <t>801 OŚWIATA I WYCHOWANIE</t>
  </si>
  <si>
    <t>851 OCHRONA ZDROWIA</t>
  </si>
  <si>
    <t>852 POMOC SPOŁECZNA</t>
  </si>
  <si>
    <t>853 POZOSTAŁE ZADANIA W ZAKRESIE POLITYKI SPOŁECZNEJ</t>
  </si>
  <si>
    <t>854 EDUKACYJNA OPIEKA WYCHOWAWCZA</t>
  </si>
  <si>
    <t>921 KULTURA I OCHRONA DZIEDZICTWA NARODOWEGO</t>
  </si>
  <si>
    <t>926 KULTURA FIZYCZNA</t>
  </si>
  <si>
    <t>754 BEZPIECZEŃSTWO PUBLICZNE I OCHRONA PRZECIWPOŻAROWA</t>
  </si>
  <si>
    <t>DOTACJE CELOWE OTRZYMANE Z GMINY NA INWESTYCJE I ZAKUPY INWESTYCYJNE REALIZOWANE NA PODSTAWIE POROZUMIEŃ (UMÓW) MIĘDZY JEDNOSTKAMI SAMORZĄDU TERYTORIALNEGO</t>
  </si>
  <si>
    <t>WPŁYWY ZE ZWROTÓW DOTACJI ORAZ PŁATNOŚCI, W TYM WYKORZYSTANYCH NIEZGODNIE Z PRZEZNACZENIEM LUB WYKORZYSTANYCH Z NARUSZENIEM PROCEDUR, O KTÓRYCH MOWA W ART. 184 USTAWY, POBRANYCH NIENALEŻNIE LUB W NADMIERNEJ WYSOKOŚCI</t>
  </si>
  <si>
    <t>WPŁYWY DO WYJAŚNIENIA</t>
  </si>
  <si>
    <t>630 TURYSTYKA</t>
  </si>
  <si>
    <t>630 Suma</t>
  </si>
  <si>
    <t>63095 Suma</t>
  </si>
  <si>
    <t>70001 SUMA</t>
  </si>
  <si>
    <t>ZAKŁADY GOSPODARKI MIESZKANIOWEJ</t>
  </si>
  <si>
    <t>090</t>
  </si>
  <si>
    <t>ODSETKI OD DOTACJI ORAZ PŁATNOŚCI: WYKORZYSTANYCH NIEZGODNIE Z PRZEZNACZENIEM LUB WYKORZYSTANYCH Z NARUSZENIEM PROCEDUR, O KTÓRYCH MOWA W ART. 184 USTAWY, POBRANYCH NIENALEŻNIE LUB W NADMIERNEJ WYSOKOŚCI</t>
  </si>
  <si>
    <t>75815 Suma</t>
  </si>
  <si>
    <t>DOCHODY ZE ZBYCIA PRAW MAJĄTKOWYCH</t>
  </si>
  <si>
    <t>087</t>
  </si>
  <si>
    <t>WPŁYWY ZE SPRZEDAŻY SKŁADNIKÓW MAJĄTKOWYCH</t>
  </si>
  <si>
    <t>80111 Suma</t>
  </si>
  <si>
    <t>GIMNAZJA SPECJALNE</t>
  </si>
  <si>
    <t>WPŁYWY DO BUDŻETU POZOSTAŁOŚCI ŚRODKÓW FINANSOWYCH GROMADZONYCH NA WYDZIELONYM RACHUNKU JEDNOSTKI BUDŻETOWEJ</t>
  </si>
  <si>
    <t>85111Suma</t>
  </si>
  <si>
    <t>SZPITALE OGÓLNE</t>
  </si>
  <si>
    <t>85141 Suma</t>
  </si>
  <si>
    <t>RATOWNICTWO MEDYCZNE</t>
  </si>
  <si>
    <t>85153  Suma</t>
  </si>
  <si>
    <t>85154 Suma</t>
  </si>
  <si>
    <t>ZWALCZANIE NARKOMANII</t>
  </si>
  <si>
    <t>PRZECIWDZIAŁANIE ALKOHOLIZMOWI</t>
  </si>
  <si>
    <t>068</t>
  </si>
  <si>
    <t>WPŁYWY OD RODZICÓW Z TYTUŁU ODPŁATNOŚCI ZA UTRZYMANIE DZIECI (WYCHOWANKÓW) W PLACÓWKACH OPIEKUŃCZO-WYCHOWAWCZYCH I W RODZINACH ZASTĘPCZYCH</t>
  </si>
  <si>
    <t>DOCHODY JEDNOSTEK SAMORZĄDU TERYTORIALNEGO ZWIĄZANE Z REALIZACJĄ ZADAŃ Z ZAKRESU ADMINISTRACJI RZĄDOWEJ ORAZ INNYCH ZADAŃ ZLECONYCH USTAWAMI</t>
  </si>
  <si>
    <t>096</t>
  </si>
  <si>
    <t>OTRZYMANE SPADKI, ZAPISY I DAROWIZNY W POSTACI PIENIĘŻNEJ</t>
  </si>
  <si>
    <t>85404 Suma</t>
  </si>
  <si>
    <t>WCZESNE WSPOMAGANIE ROZWOJU DZIECKA</t>
  </si>
  <si>
    <t>OCZYSZCZANIE MIAST I WSI</t>
  </si>
  <si>
    <t>90003 Suma</t>
  </si>
  <si>
    <t>90015 Suma</t>
  </si>
  <si>
    <t>OŚWIETLENIE ULIC, PLACÓW I DRÓG</t>
  </si>
  <si>
    <t>92109 Suma</t>
  </si>
  <si>
    <t>92114 Suma</t>
  </si>
  <si>
    <t>92118 Suma</t>
  </si>
  <si>
    <t>DOMY I OŚRODKI KULTURY, ŚWIETLICE I KLUBY</t>
  </si>
  <si>
    <t>POZOSTAŁE INSTYTUCJE KULTURY</t>
  </si>
  <si>
    <t>MUZEA</t>
  </si>
  <si>
    <t>Dział</t>
  </si>
  <si>
    <t>80148 Suma</t>
  </si>
  <si>
    <t>STOŁÓWKI SZKOLNE I PRZEDSZKOLNE</t>
  </si>
  <si>
    <t>60016 Suma</t>
  </si>
  <si>
    <t xml:space="preserve">Plan na 31 XII 2014 rok </t>
  </si>
  <si>
    <t xml:space="preserve">Informacja z wykonania dochodów budżetu miasta Gdyni za okres I - XII 2014r. </t>
  </si>
  <si>
    <t>Wykonanie za okres I - XII 2014r.</t>
  </si>
  <si>
    <t>ŚRODKI OTRZYMANE OD POZOSTAŁYCH JEDNOSTEK ZALICZANYCH DO SEKTORA FINANSÓW PUBLICZNYCH NA REALIZACJĘ ZADAŃ BIEŻĄCYCH JEDNOSTEK ZALICZANYCH DO SEKTORA FINANSÓW PUBLICZNYCH</t>
  </si>
  <si>
    <t>WYBORY DO RAD GMIN, RAD POWIATÓW I SEJMIKÓW WOJEWÓDZTW, WYBORY WÓJTÓW, BURMISTRZÓW I PREZYDENTÓW MIAST ORAZ REFERENDA GMINNE, POWIATOWE I WOJEWÓDZKIE</t>
  </si>
  <si>
    <t>75109 Suma</t>
  </si>
  <si>
    <t>USUWANIE SKUTKÓW KLĘSK ŻYWIOŁOWYCH</t>
  </si>
  <si>
    <t>75478 Suma</t>
  </si>
  <si>
    <t>75802 Suma</t>
  </si>
  <si>
    <t>UZUPEŁNIENIE SUBWENCJI OGÓLNEJ DLA JEDNOSTEK SAMORZĄDU TERYTORIALNEGO</t>
  </si>
  <si>
    <t>DOTACJE CELOWE OTRZYMANE Z BUDŻETU PAŃSTWA NA REALIZACJĘ ZADAŃ BIEŻĄCYCH Z ZAKRESU ADMINISTRACJI RZĄDOWEJ ORAZ INNYCH ZADAŃ ZLECONYCH GMINIE (ZWIĄZKOM GMIN) USTAWAMI</t>
  </si>
  <si>
    <t>DOTACJE CELOWE OTRZYMANE Z BUDŻETU PAŃSTWA NA ZADANIA BIEŻĄCE Z ZAKRESU ADMINISTRACJI RZĄDOWEJ ORAZ INNE ZADANIA ZLECONE USTAWAMI REALIZOWANE PRZEZ POWIAT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</si>
  <si>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</si>
  <si>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INNYCH ZADAŃ ZLECONYCH GMINOM USTAWAMI</t>
  </si>
  <si>
    <t>DOTACJE CELOWE OTRZYMANE Z BUDŻETU PAŃSTWA NA REALIZACJĘ BIEŻĄCYCH ZADAŃ WŁASNYCH POWIATU</t>
  </si>
  <si>
    <t>85206 Suma</t>
  </si>
  <si>
    <t>WSPIERANIE RODZINY</t>
  </si>
  <si>
    <t>DOTACJE CELOWE OTRZYMANE Z BUDŻETU PAŃSTWA NA REALIZACJĘ WŁASNYCH ZADAŃ BIEŻĄCYCH GMIN (ZWIĄZKÓW GMIN)</t>
  </si>
  <si>
    <t>OBIEKTY SPORTOWE</t>
  </si>
  <si>
    <t>92601  Suma</t>
  </si>
  <si>
    <t>Gosia</t>
  </si>
  <si>
    <t>80140 Suma</t>
  </si>
  <si>
    <t>CENTRA KSZTAŁCENIA USTAWICZNEGO I PRAKTYCZNEGO ORAZ OŚRODKI DOKSZTAŁCANIA ZAWODOWEGO</t>
  </si>
  <si>
    <t>RÓŻNICE KURSOWE</t>
  </si>
  <si>
    <t>zakłady kształcenia nauczycieli</t>
  </si>
  <si>
    <t>80141 Suma</t>
  </si>
  <si>
    <t>85419 Suma</t>
  </si>
  <si>
    <t>OŚRODKI REWALIDACYJNO-WYCHOWAWCZE</t>
  </si>
  <si>
    <t>majątkowe - 076, 077, 078, 087, 600-etki</t>
  </si>
  <si>
    <t>bieżące</t>
  </si>
  <si>
    <t>85412 Suma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</si>
</sst>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[$-415]d\ mmmm\ yyyy"/>
    <numFmt numFmtId="174" formatCode="0.0"/>
    <numFmt numFmtId="175" formatCode="#,##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i/>
      <sz val="7"/>
      <name val="Arial"/>
      <family val="0"/>
    </font>
    <font>
      <b/>
      <i/>
      <sz val="8"/>
      <name val="Arial"/>
      <family val="0"/>
    </font>
    <font>
      <b/>
      <sz val="7"/>
      <name val="Arial"/>
      <family val="0"/>
    </font>
    <font>
      <b/>
      <sz val="8"/>
      <name val="Arial"/>
      <family val="0"/>
    </font>
    <font>
      <b/>
      <sz val="12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18" applyFill="1">
      <alignment/>
      <protection/>
    </xf>
    <xf numFmtId="0" fontId="4" fillId="0" borderId="1" xfId="18" applyBorder="1" applyAlignment="1">
      <alignment vertical="top"/>
      <protection/>
    </xf>
    <xf numFmtId="0" fontId="4" fillId="0" borderId="1" xfId="18" applyFont="1" applyBorder="1" applyAlignment="1">
      <alignment vertical="top"/>
      <protection/>
    </xf>
    <xf numFmtId="0" fontId="4" fillId="0" borderId="1" xfId="18" applyNumberFormat="1" applyFont="1" applyFill="1" applyBorder="1" applyAlignment="1" applyProtection="1">
      <alignment vertical="top"/>
      <protection/>
    </xf>
    <xf numFmtId="0" fontId="4" fillId="0" borderId="0" xfId="18" applyNumberFormat="1" applyFont="1" applyFill="1" applyBorder="1" applyAlignment="1" applyProtection="1">
      <alignment/>
      <protection/>
    </xf>
    <xf numFmtId="0" fontId="9" fillId="0" borderId="2" xfId="18" applyFont="1" applyBorder="1" applyAlignment="1">
      <alignment horizontal="center" vertical="center" wrapText="1"/>
      <protection/>
    </xf>
    <xf numFmtId="0" fontId="8" fillId="0" borderId="2" xfId="18" applyFont="1" applyBorder="1" applyAlignment="1">
      <alignment horizontal="center" vertical="center" wrapText="1"/>
      <protection/>
    </xf>
    <xf numFmtId="3" fontId="9" fillId="0" borderId="2" xfId="18" applyNumberFormat="1" applyFont="1" applyBorder="1" applyAlignment="1">
      <alignment horizontal="center" vertical="center" wrapText="1"/>
      <protection/>
    </xf>
    <xf numFmtId="3" fontId="8" fillId="0" borderId="2" xfId="18" applyNumberFormat="1" applyFont="1" applyBorder="1" applyAlignment="1">
      <alignment horizontal="center" vertical="center" wrapText="1"/>
      <protection/>
    </xf>
    <xf numFmtId="172" fontId="9" fillId="0" borderId="2" xfId="20" applyNumberFormat="1" applyFont="1" applyBorder="1" applyAlignment="1">
      <alignment horizontal="center" vertical="center" wrapText="1"/>
    </xf>
    <xf numFmtId="0" fontId="9" fillId="0" borderId="0" xfId="18" applyFont="1" applyAlignment="1">
      <alignment vertical="center"/>
      <protection/>
    </xf>
    <xf numFmtId="0" fontId="5" fillId="0" borderId="3" xfId="0" applyFont="1" applyBorder="1" applyAlignment="1" quotePrefix="1">
      <alignment vertical="top" wrapText="1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2" borderId="3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8" fillId="3" borderId="3" xfId="0" applyFont="1" applyFill="1" applyBorder="1" applyAlignment="1">
      <alignment vertical="top"/>
    </xf>
    <xf numFmtId="0" fontId="8" fillId="3" borderId="5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0" fillId="0" borderId="0" xfId="0" applyAlignment="1">
      <alignment vertical="top"/>
    </xf>
    <xf numFmtId="3" fontId="4" fillId="0" borderId="2" xfId="0" applyNumberFormat="1" applyFont="1" applyBorder="1" applyAlignment="1">
      <alignment vertical="center"/>
    </xf>
    <xf numFmtId="172" fontId="4" fillId="0" borderId="2" xfId="20" applyNumberFormat="1" applyFont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172" fontId="7" fillId="2" borderId="2" xfId="0" applyNumberFormat="1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vertical="center"/>
    </xf>
    <xf numFmtId="172" fontId="9" fillId="3" borderId="2" xfId="0" applyNumberFormat="1" applyFont="1" applyFill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172" fontId="9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0" applyFont="1" applyBorder="1" applyAlignment="1">
      <alignment vertical="top"/>
    </xf>
    <xf numFmtId="3" fontId="9" fillId="0" borderId="2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13" xfId="0" applyFont="1" applyFill="1" applyBorder="1" applyAlignment="1">
      <alignment vertical="top"/>
    </xf>
    <xf numFmtId="3" fontId="4" fillId="0" borderId="2" xfId="0" applyNumberFormat="1" applyFont="1" applyFill="1" applyBorder="1" applyAlignment="1">
      <alignment vertical="center"/>
    </xf>
    <xf numFmtId="3" fontId="10" fillId="0" borderId="14" xfId="18" applyNumberFormat="1" applyFont="1" applyFill="1" applyBorder="1" applyAlignment="1">
      <alignment horizontal="center" vertical="center" wrapText="1"/>
      <protection/>
    </xf>
    <xf numFmtId="3" fontId="10" fillId="0" borderId="1" xfId="18" applyNumberFormat="1" applyFont="1" applyFill="1" applyBorder="1" applyAlignment="1">
      <alignment horizontal="center" vertical="center" wrapText="1"/>
      <protection/>
    </xf>
    <xf numFmtId="0" fontId="6" fillId="2" borderId="15" xfId="0" applyFont="1" applyFill="1" applyBorder="1" applyAlignment="1">
      <alignment vertical="top"/>
    </xf>
    <xf numFmtId="3" fontId="7" fillId="0" borderId="2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vertical="center"/>
    </xf>
    <xf numFmtId="0" fontId="0" fillId="0" borderId="8" xfId="0" applyBorder="1" applyAlignment="1">
      <alignment vertical="top"/>
    </xf>
    <xf numFmtId="3" fontId="9" fillId="0" borderId="2" xfId="0" applyNumberFormat="1" applyFont="1" applyFill="1" applyBorder="1" applyAlignment="1">
      <alignment vertical="center"/>
    </xf>
    <xf numFmtId="172" fontId="9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8" fillId="0" borderId="9" xfId="0" applyFont="1" applyFill="1" applyBorder="1" applyAlignment="1">
      <alignment vertical="top"/>
    </xf>
    <xf numFmtId="0" fontId="6" fillId="2" borderId="10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6" fillId="2" borderId="16" xfId="0" applyFont="1" applyFill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8" xfId="0" applyFont="1" applyBorder="1" applyAlignment="1">
      <alignment vertical="top"/>
    </xf>
    <xf numFmtId="0" fontId="5" fillId="0" borderId="17" xfId="0" applyFont="1" applyBorder="1" applyAlignment="1">
      <alignment vertical="top" wrapText="1"/>
    </xf>
    <xf numFmtId="3" fontId="7" fillId="2" borderId="2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top"/>
    </xf>
    <xf numFmtId="0" fontId="6" fillId="2" borderId="19" xfId="0" applyFont="1" applyFill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9" xfId="0" applyFont="1" applyFill="1" applyBorder="1" applyAlignment="1">
      <alignment vertical="top" wrapText="1"/>
    </xf>
    <xf numFmtId="0" fontId="5" fillId="0" borderId="20" xfId="0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top"/>
    </xf>
    <xf numFmtId="0" fontId="9" fillId="0" borderId="21" xfId="18" applyFont="1" applyBorder="1" applyAlignment="1">
      <alignment horizontal="center" vertical="center"/>
      <protection/>
    </xf>
    <xf numFmtId="3" fontId="0" fillId="0" borderId="0" xfId="0" applyNumberFormat="1" applyAlignment="1">
      <alignment vertical="center"/>
    </xf>
    <xf numFmtId="3" fontId="11" fillId="0" borderId="1" xfId="18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6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172" fontId="4" fillId="0" borderId="2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Alignment="1">
      <alignment/>
    </xf>
    <xf numFmtId="172" fontId="3" fillId="0" borderId="0" xfId="20" applyNumberFormat="1" applyFont="1" applyAlignment="1">
      <alignment vertical="center"/>
    </xf>
    <xf numFmtId="172" fontId="0" fillId="0" borderId="0" xfId="20" applyNumberFormat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0" fontId="6" fillId="2" borderId="25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0" fillId="0" borderId="17" xfId="0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0" fontId="5" fillId="0" borderId="15" xfId="0" applyFont="1" applyBorder="1" applyAlignment="1">
      <alignment vertical="center" wrapText="1"/>
    </xf>
    <xf numFmtId="0" fontId="6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8" fillId="0" borderId="2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8" fillId="0" borderId="2" xfId="0" applyFont="1" applyFill="1" applyBorder="1" applyAlignment="1" quotePrefix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0" xfId="0" applyAlignment="1" quotePrefix="1">
      <alignment/>
    </xf>
    <xf numFmtId="0" fontId="6" fillId="2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0" borderId="2" xfId="0" applyFont="1" applyBorder="1" applyAlignment="1" quotePrefix="1">
      <alignment vertical="center"/>
    </xf>
    <xf numFmtId="0" fontId="8" fillId="0" borderId="31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5" fillId="0" borderId="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8" fillId="0" borderId="2" xfId="0" applyFont="1" applyBorder="1" applyAlignment="1" quotePrefix="1">
      <alignment vertical="center"/>
    </xf>
    <xf numFmtId="0" fontId="5" fillId="0" borderId="17" xfId="0" applyFont="1" applyBorder="1" applyAlignment="1">
      <alignment vertical="top" wrapText="1"/>
    </xf>
    <xf numFmtId="3" fontId="10" fillId="0" borderId="19" xfId="18" applyNumberFormat="1" applyFont="1" applyFill="1" applyBorder="1" applyAlignment="1">
      <alignment horizontal="center" vertical="center" wrapText="1"/>
      <protection/>
    </xf>
    <xf numFmtId="3" fontId="10" fillId="0" borderId="34" xfId="18" applyNumberFormat="1" applyFont="1" applyFill="1" applyBorder="1" applyAlignment="1">
      <alignment horizontal="center" vertical="center" wrapText="1"/>
      <protection/>
    </xf>
    <xf numFmtId="3" fontId="10" fillId="0" borderId="28" xfId="18" applyNumberFormat="1" applyFont="1" applyFill="1" applyBorder="1" applyAlignment="1">
      <alignment horizontal="center" vertical="center" wrapText="1"/>
      <protection/>
    </xf>
    <xf numFmtId="0" fontId="9" fillId="0" borderId="35" xfId="18" applyFont="1" applyBorder="1" applyAlignment="1">
      <alignment horizontal="center" vertical="center"/>
      <protection/>
    </xf>
    <xf numFmtId="0" fontId="9" fillId="0" borderId="36" xfId="18" applyFont="1" applyBorder="1" applyAlignment="1">
      <alignment horizontal="center" vertical="center"/>
      <protection/>
    </xf>
    <xf numFmtId="0" fontId="9" fillId="0" borderId="37" xfId="18" applyFont="1" applyBorder="1" applyAlignment="1">
      <alignment horizontal="center" vertical="center"/>
      <protection/>
    </xf>
    <xf numFmtId="0" fontId="9" fillId="0" borderId="38" xfId="18" applyFont="1" applyBorder="1" applyAlignment="1">
      <alignment horizontal="center" vertical="center"/>
      <protection/>
    </xf>
    <xf numFmtId="0" fontId="9" fillId="0" borderId="39" xfId="18" applyFont="1" applyBorder="1" applyAlignment="1">
      <alignment horizontal="center" vertical="center"/>
      <protection/>
    </xf>
    <xf numFmtId="0" fontId="5" fillId="0" borderId="32" xfId="0" applyFont="1" applyBorder="1" applyAlignment="1">
      <alignment vertical="center" wrapText="1"/>
    </xf>
    <xf numFmtId="0" fontId="8" fillId="0" borderId="2" xfId="0" applyFont="1" applyFill="1" applyBorder="1" applyAlignment="1" quotePrefix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0" fillId="0" borderId="0" xfId="18" applyFont="1" applyFill="1" applyBorder="1" applyAlignment="1">
      <alignment horizontal="center" vertical="top" wrapText="1"/>
      <protection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5" fillId="0" borderId="44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Hyperlink" xfId="17"/>
    <cellStyle name="Normalny_tabela dochodów 201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2"/>
  <sheetViews>
    <sheetView tabSelected="1" view="pageBreakPreview" zoomScaleSheetLayoutView="100" workbookViewId="0" topLeftCell="A1">
      <pane xSplit="6" ySplit="3" topLeftCell="G419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433" sqref="D1:D16384"/>
    </sheetView>
  </sheetViews>
  <sheetFormatPr defaultColWidth="9.00390625" defaultRowHeight="12.75"/>
  <cols>
    <col min="1" max="1" width="9.875" style="23" customWidth="1"/>
    <col min="2" max="2" width="4.375" style="23" customWidth="1"/>
    <col min="3" max="3" width="12.375" style="23" customWidth="1"/>
    <col min="4" max="4" width="2.875" style="33" customWidth="1"/>
    <col min="5" max="5" width="1.625" style="80" customWidth="1"/>
    <col min="6" max="6" width="21.625" style="33" customWidth="1"/>
    <col min="7" max="7" width="10.00390625" style="33" customWidth="1"/>
    <col min="8" max="8" width="9.125" style="33" customWidth="1"/>
    <col min="9" max="9" width="8.875" style="33" customWidth="1"/>
    <col min="10" max="10" width="8.75390625" style="33" customWidth="1"/>
    <col min="11" max="11" width="9.75390625" style="33" customWidth="1"/>
    <col min="12" max="12" width="9.875" style="33" customWidth="1"/>
    <col min="13" max="13" width="9.375" style="33" customWidth="1"/>
    <col min="14" max="15" width="8.75390625" style="33" customWidth="1"/>
    <col min="16" max="16" width="10.375" style="78" customWidth="1"/>
    <col min="17" max="17" width="6.375" style="33" customWidth="1"/>
    <col min="18" max="18" width="10.125" style="0" bestFit="1" customWidth="1"/>
  </cols>
  <sheetData>
    <row r="1" spans="1:17" s="1" customFormat="1" ht="43.5" customHeight="1">
      <c r="A1" s="151" t="s">
        <v>392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s="5" customFormat="1" ht="15.75">
      <c r="A2" s="2"/>
      <c r="B2" s="3"/>
      <c r="C2" s="4"/>
      <c r="D2" s="47"/>
      <c r="E2" s="79"/>
      <c r="F2" s="46"/>
      <c r="G2" s="138" t="s">
        <v>391</v>
      </c>
      <c r="H2" s="139"/>
      <c r="I2" s="139"/>
      <c r="J2" s="139"/>
      <c r="K2" s="140"/>
      <c r="L2" s="138" t="s">
        <v>393</v>
      </c>
      <c r="M2" s="139"/>
      <c r="N2" s="139"/>
      <c r="O2" s="139"/>
      <c r="P2" s="139"/>
      <c r="Q2" s="140"/>
    </row>
    <row r="3" spans="1:17" s="11" customFormat="1" ht="36">
      <c r="A3" s="77" t="s">
        <v>387</v>
      </c>
      <c r="B3" s="141" t="s">
        <v>321</v>
      </c>
      <c r="C3" s="142"/>
      <c r="D3" s="143" t="s">
        <v>322</v>
      </c>
      <c r="E3" s="144"/>
      <c r="F3" s="145"/>
      <c r="G3" s="6" t="s">
        <v>323</v>
      </c>
      <c r="H3" s="7" t="s">
        <v>324</v>
      </c>
      <c r="I3" s="6" t="s">
        <v>325</v>
      </c>
      <c r="J3" s="6" t="s">
        <v>326</v>
      </c>
      <c r="K3" s="6" t="s">
        <v>3</v>
      </c>
      <c r="L3" s="8" t="s">
        <v>323</v>
      </c>
      <c r="M3" s="9" t="s">
        <v>324</v>
      </c>
      <c r="N3" s="8" t="s">
        <v>325</v>
      </c>
      <c r="O3" s="8" t="s">
        <v>326</v>
      </c>
      <c r="P3" s="8" t="s">
        <v>3</v>
      </c>
      <c r="Q3" s="10" t="s">
        <v>327</v>
      </c>
    </row>
    <row r="4" spans="1:17" ht="65.25" customHeight="1">
      <c r="A4" s="12" t="s">
        <v>328</v>
      </c>
      <c r="B4" s="13" t="s">
        <v>4</v>
      </c>
      <c r="C4" s="14" t="s">
        <v>5</v>
      </c>
      <c r="D4" s="111" t="s">
        <v>6</v>
      </c>
      <c r="E4" s="111" t="s">
        <v>7</v>
      </c>
      <c r="F4" s="106" t="s">
        <v>8</v>
      </c>
      <c r="G4" s="24"/>
      <c r="H4" s="24"/>
      <c r="I4" s="24">
        <v>6648</v>
      </c>
      <c r="J4" s="24"/>
      <c r="K4" s="24">
        <f>SUM(G4:J4)</f>
        <v>6648</v>
      </c>
      <c r="L4" s="24"/>
      <c r="M4" s="24"/>
      <c r="N4" s="24">
        <v>6517.94</v>
      </c>
      <c r="O4" s="24"/>
      <c r="P4" s="24">
        <f>SUM(L4:O4)</f>
        <v>6517.94</v>
      </c>
      <c r="Q4" s="25">
        <f>P4/K4</f>
        <v>0.9804362214199759</v>
      </c>
    </row>
    <row r="5" spans="1:17" ht="12.75">
      <c r="A5" s="15"/>
      <c r="B5" s="16" t="s">
        <v>9</v>
      </c>
      <c r="C5" s="17"/>
      <c r="D5" s="123"/>
      <c r="E5" s="123"/>
      <c r="F5" s="107"/>
      <c r="G5" s="26">
        <f>SUM(G4)</f>
        <v>0</v>
      </c>
      <c r="H5" s="26">
        <f aca="true" t="shared" si="0" ref="H5:O6">SUM(H4)</f>
        <v>0</v>
      </c>
      <c r="I5" s="26">
        <f t="shared" si="0"/>
        <v>6648</v>
      </c>
      <c r="J5" s="26">
        <f t="shared" si="0"/>
        <v>0</v>
      </c>
      <c r="K5" s="26">
        <f aca="true" t="shared" si="1" ref="K5:K71">SUM(G5:J5)</f>
        <v>6648</v>
      </c>
      <c r="L5" s="26">
        <f t="shared" si="0"/>
        <v>0</v>
      </c>
      <c r="M5" s="26">
        <f t="shared" si="0"/>
        <v>0</v>
      </c>
      <c r="N5" s="26">
        <f t="shared" si="0"/>
        <v>6517.94</v>
      </c>
      <c r="O5" s="26">
        <f t="shared" si="0"/>
        <v>0</v>
      </c>
      <c r="P5" s="26">
        <f aca="true" t="shared" si="2" ref="P5:P68">SUM(L5:O5)</f>
        <v>6517.94</v>
      </c>
      <c r="Q5" s="27">
        <f aca="true" t="shared" si="3" ref="Q5:Q100">P5/K5</f>
        <v>0.9804362214199759</v>
      </c>
    </row>
    <row r="6" spans="1:17" ht="12.75">
      <c r="A6" s="18" t="s">
        <v>10</v>
      </c>
      <c r="B6" s="19"/>
      <c r="C6" s="19"/>
      <c r="D6" s="124"/>
      <c r="E6" s="124"/>
      <c r="F6" s="108"/>
      <c r="G6" s="28">
        <f>SUM(G5)</f>
        <v>0</v>
      </c>
      <c r="H6" s="28">
        <f t="shared" si="0"/>
        <v>0</v>
      </c>
      <c r="I6" s="28">
        <f t="shared" si="0"/>
        <v>6648</v>
      </c>
      <c r="J6" s="28">
        <f t="shared" si="0"/>
        <v>0</v>
      </c>
      <c r="K6" s="28">
        <f t="shared" si="1"/>
        <v>6648</v>
      </c>
      <c r="L6" s="28">
        <f>SUM(L5)</f>
        <v>0</v>
      </c>
      <c r="M6" s="28">
        <f>SUM(M5)</f>
        <v>0</v>
      </c>
      <c r="N6" s="28">
        <f>SUM(N5)</f>
        <v>6517.94</v>
      </c>
      <c r="O6" s="28">
        <f>SUM(O5)</f>
        <v>0</v>
      </c>
      <c r="P6" s="28">
        <f t="shared" si="2"/>
        <v>6517.94</v>
      </c>
      <c r="Q6" s="29">
        <f t="shared" si="3"/>
        <v>0.9804362214199759</v>
      </c>
    </row>
    <row r="7" spans="1:17" ht="19.5">
      <c r="A7" s="14" t="s">
        <v>329</v>
      </c>
      <c r="B7" s="13" t="s">
        <v>11</v>
      </c>
      <c r="C7" s="14" t="s">
        <v>12</v>
      </c>
      <c r="D7" s="111" t="s">
        <v>13</v>
      </c>
      <c r="E7" s="111" t="s">
        <v>7</v>
      </c>
      <c r="F7" s="106" t="s">
        <v>14</v>
      </c>
      <c r="G7" s="24">
        <v>62550</v>
      </c>
      <c r="H7" s="24"/>
      <c r="I7" s="24"/>
      <c r="J7" s="24"/>
      <c r="K7" s="24">
        <f t="shared" si="1"/>
        <v>62550</v>
      </c>
      <c r="L7" s="24">
        <v>17850.46</v>
      </c>
      <c r="M7" s="24"/>
      <c r="N7" s="24"/>
      <c r="O7" s="24"/>
      <c r="P7" s="24">
        <f t="shared" si="2"/>
        <v>17850.46</v>
      </c>
      <c r="Q7" s="30">
        <f t="shared" si="3"/>
        <v>0.2853790567545963</v>
      </c>
    </row>
    <row r="8" spans="1:17" ht="12.75">
      <c r="A8" s="15"/>
      <c r="B8" s="16" t="s">
        <v>15</v>
      </c>
      <c r="C8" s="17"/>
      <c r="D8" s="123"/>
      <c r="E8" s="123"/>
      <c r="F8" s="107"/>
      <c r="G8" s="26">
        <f>SUM(G7)</f>
        <v>62550</v>
      </c>
      <c r="H8" s="26">
        <f aca="true" t="shared" si="4" ref="H8:O9">SUM(H7)</f>
        <v>0</v>
      </c>
      <c r="I8" s="26">
        <f t="shared" si="4"/>
        <v>0</v>
      </c>
      <c r="J8" s="26">
        <f t="shared" si="4"/>
        <v>0</v>
      </c>
      <c r="K8" s="26">
        <f t="shared" si="1"/>
        <v>62550</v>
      </c>
      <c r="L8" s="26">
        <f t="shared" si="4"/>
        <v>17850.46</v>
      </c>
      <c r="M8" s="26">
        <f t="shared" si="4"/>
        <v>0</v>
      </c>
      <c r="N8" s="26">
        <f t="shared" si="4"/>
        <v>0</v>
      </c>
      <c r="O8" s="26">
        <f t="shared" si="4"/>
        <v>0</v>
      </c>
      <c r="P8" s="26">
        <f t="shared" si="2"/>
        <v>17850.46</v>
      </c>
      <c r="Q8" s="27">
        <f t="shared" si="3"/>
        <v>0.2853790567545963</v>
      </c>
    </row>
    <row r="9" spans="1:17" ht="12.75">
      <c r="A9" s="18" t="s">
        <v>16</v>
      </c>
      <c r="B9" s="19"/>
      <c r="C9" s="19"/>
      <c r="D9" s="124"/>
      <c r="E9" s="124"/>
      <c r="F9" s="108"/>
      <c r="G9" s="28">
        <f>SUM(G8)</f>
        <v>62550</v>
      </c>
      <c r="H9" s="28">
        <f t="shared" si="4"/>
        <v>0</v>
      </c>
      <c r="I9" s="28">
        <f t="shared" si="4"/>
        <v>0</v>
      </c>
      <c r="J9" s="28">
        <f t="shared" si="4"/>
        <v>0</v>
      </c>
      <c r="K9" s="28">
        <f t="shared" si="1"/>
        <v>62550</v>
      </c>
      <c r="L9" s="28">
        <f>SUM(L8)</f>
        <v>17850.46</v>
      </c>
      <c r="M9" s="28">
        <f>SUM(M8)</f>
        <v>0</v>
      </c>
      <c r="N9" s="28">
        <f>SUM(N8)</f>
        <v>0</v>
      </c>
      <c r="O9" s="28">
        <f>SUM(O8)</f>
        <v>0</v>
      </c>
      <c r="P9" s="28">
        <f t="shared" si="2"/>
        <v>17850.46</v>
      </c>
      <c r="Q9" s="29">
        <f t="shared" si="3"/>
        <v>0.2853790567545963</v>
      </c>
    </row>
    <row r="10" spans="1:17" ht="78.75" customHeight="1">
      <c r="A10" s="14" t="s">
        <v>330</v>
      </c>
      <c r="B10" s="13" t="s">
        <v>17</v>
      </c>
      <c r="C10" s="14" t="s">
        <v>18</v>
      </c>
      <c r="D10" s="111" t="s">
        <v>19</v>
      </c>
      <c r="E10" s="111" t="s">
        <v>7</v>
      </c>
      <c r="F10" s="106" t="s">
        <v>20</v>
      </c>
      <c r="G10" s="24">
        <v>16000</v>
      </c>
      <c r="H10" s="24"/>
      <c r="I10" s="24"/>
      <c r="J10" s="24"/>
      <c r="K10" s="24">
        <f t="shared" si="1"/>
        <v>16000</v>
      </c>
      <c r="L10" s="24">
        <v>15688.74</v>
      </c>
      <c r="M10" s="24"/>
      <c r="N10" s="24"/>
      <c r="O10" s="24"/>
      <c r="P10" s="24">
        <f t="shared" si="2"/>
        <v>15688.74</v>
      </c>
      <c r="Q10" s="30">
        <f t="shared" si="3"/>
        <v>0.98054625</v>
      </c>
    </row>
    <row r="11" spans="1:17" ht="12.75">
      <c r="A11" s="15"/>
      <c r="B11" s="20"/>
      <c r="C11" s="15"/>
      <c r="D11" s="111" t="s">
        <v>21</v>
      </c>
      <c r="E11" s="111" t="s">
        <v>7</v>
      </c>
      <c r="F11" s="106" t="s">
        <v>22</v>
      </c>
      <c r="G11" s="24">
        <v>68937000</v>
      </c>
      <c r="H11" s="24"/>
      <c r="I11" s="24"/>
      <c r="J11" s="24"/>
      <c r="K11" s="24">
        <f t="shared" si="1"/>
        <v>68937000</v>
      </c>
      <c r="L11" s="24">
        <v>67994934.11</v>
      </c>
      <c r="M11" s="24"/>
      <c r="N11" s="24"/>
      <c r="O11" s="24"/>
      <c r="P11" s="24">
        <f t="shared" si="2"/>
        <v>67994934.11</v>
      </c>
      <c r="Q11" s="30">
        <f t="shared" si="3"/>
        <v>0.986334393866864</v>
      </c>
    </row>
    <row r="12" spans="1:17" ht="12.75">
      <c r="A12" s="15"/>
      <c r="B12" s="20"/>
      <c r="C12" s="15"/>
      <c r="D12" s="132" t="s">
        <v>23</v>
      </c>
      <c r="E12" s="111" t="s">
        <v>7</v>
      </c>
      <c r="F12" s="130" t="s">
        <v>24</v>
      </c>
      <c r="G12" s="24">
        <v>50000</v>
      </c>
      <c r="H12" s="24"/>
      <c r="I12" s="24"/>
      <c r="J12" s="24"/>
      <c r="K12" s="24">
        <f t="shared" si="1"/>
        <v>50000</v>
      </c>
      <c r="L12" s="24">
        <v>40283.21</v>
      </c>
      <c r="M12" s="24"/>
      <c r="N12" s="24"/>
      <c r="O12" s="24"/>
      <c r="P12" s="24">
        <f t="shared" si="2"/>
        <v>40283.21</v>
      </c>
      <c r="Q12" s="30">
        <f t="shared" si="3"/>
        <v>0.8056641999999999</v>
      </c>
    </row>
    <row r="13" spans="1:17" ht="12.75">
      <c r="A13" s="15"/>
      <c r="B13" s="20"/>
      <c r="C13" s="15"/>
      <c r="D13" s="132"/>
      <c r="E13" s="111">
        <v>7</v>
      </c>
      <c r="F13" s="131"/>
      <c r="G13" s="24"/>
      <c r="H13" s="24"/>
      <c r="I13" s="24"/>
      <c r="J13" s="24"/>
      <c r="K13" s="24"/>
      <c r="L13" s="24">
        <v>0.96</v>
      </c>
      <c r="M13" s="24"/>
      <c r="N13" s="24"/>
      <c r="O13" s="24"/>
      <c r="P13" s="24">
        <f t="shared" si="2"/>
        <v>0.96</v>
      </c>
      <c r="Q13" s="30"/>
    </row>
    <row r="14" spans="1:17" ht="19.5">
      <c r="A14" s="15"/>
      <c r="B14" s="20"/>
      <c r="C14" s="15"/>
      <c r="D14" s="111" t="s">
        <v>25</v>
      </c>
      <c r="E14" s="111" t="s">
        <v>7</v>
      </c>
      <c r="F14" s="106" t="s">
        <v>26</v>
      </c>
      <c r="G14" s="24">
        <v>420000</v>
      </c>
      <c r="H14" s="24"/>
      <c r="I14" s="24"/>
      <c r="J14" s="24"/>
      <c r="K14" s="24">
        <f t="shared" si="1"/>
        <v>420000</v>
      </c>
      <c r="L14" s="24">
        <v>466585.4</v>
      </c>
      <c r="M14" s="24"/>
      <c r="N14" s="24"/>
      <c r="O14" s="24"/>
      <c r="P14" s="24">
        <f t="shared" si="2"/>
        <v>466585.4</v>
      </c>
      <c r="Q14" s="30">
        <f t="shared" si="3"/>
        <v>1.110917619047619</v>
      </c>
    </row>
    <row r="15" spans="1:17" ht="37.5" customHeight="1">
      <c r="A15" s="15"/>
      <c r="B15" s="20"/>
      <c r="C15" s="15"/>
      <c r="D15" s="160" t="s">
        <v>27</v>
      </c>
      <c r="E15" s="111" t="s">
        <v>28</v>
      </c>
      <c r="F15" s="130" t="s">
        <v>29</v>
      </c>
      <c r="G15" s="24">
        <v>2250</v>
      </c>
      <c r="H15" s="24"/>
      <c r="I15" s="24"/>
      <c r="J15" s="24"/>
      <c r="K15" s="24">
        <f t="shared" si="1"/>
        <v>2250</v>
      </c>
      <c r="L15" s="24">
        <v>2250</v>
      </c>
      <c r="M15" s="24"/>
      <c r="N15" s="24"/>
      <c r="O15" s="24"/>
      <c r="P15" s="24">
        <f t="shared" si="2"/>
        <v>2250</v>
      </c>
      <c r="Q15" s="30">
        <f t="shared" si="3"/>
        <v>1</v>
      </c>
    </row>
    <row r="16" spans="1:17" ht="65.25" customHeight="1">
      <c r="A16" s="15"/>
      <c r="B16" s="20"/>
      <c r="C16" s="15"/>
      <c r="D16" s="161"/>
      <c r="E16" s="111" t="s">
        <v>30</v>
      </c>
      <c r="F16" s="131"/>
      <c r="G16" s="24">
        <v>248010</v>
      </c>
      <c r="H16" s="24"/>
      <c r="I16" s="24"/>
      <c r="J16" s="24"/>
      <c r="K16" s="24">
        <f t="shared" si="1"/>
        <v>248010</v>
      </c>
      <c r="L16" s="24">
        <v>19538.16</v>
      </c>
      <c r="M16" s="24"/>
      <c r="N16" s="24"/>
      <c r="O16" s="24"/>
      <c r="P16" s="24">
        <f t="shared" si="2"/>
        <v>19538.16</v>
      </c>
      <c r="Q16" s="30">
        <f t="shared" si="3"/>
        <v>0.07877972662392646</v>
      </c>
    </row>
    <row r="17" spans="1:17" ht="58.5">
      <c r="A17" s="15"/>
      <c r="B17" s="20"/>
      <c r="C17" s="15"/>
      <c r="D17" s="111" t="s">
        <v>31</v>
      </c>
      <c r="E17" s="111" t="s">
        <v>7</v>
      </c>
      <c r="F17" s="106" t="s">
        <v>32</v>
      </c>
      <c r="G17" s="24"/>
      <c r="H17" s="24">
        <v>9546778</v>
      </c>
      <c r="I17" s="24"/>
      <c r="J17" s="24"/>
      <c r="K17" s="24">
        <f t="shared" si="1"/>
        <v>9546778</v>
      </c>
      <c r="L17" s="24"/>
      <c r="M17" s="24">
        <v>9654497.3</v>
      </c>
      <c r="N17" s="24"/>
      <c r="O17" s="24"/>
      <c r="P17" s="24">
        <f t="shared" si="2"/>
        <v>9654497.3</v>
      </c>
      <c r="Q17" s="30">
        <f t="shared" si="3"/>
        <v>1.011283314642909</v>
      </c>
    </row>
    <row r="18" spans="1:17" ht="12.75">
      <c r="A18" s="15"/>
      <c r="B18" s="16" t="s">
        <v>33</v>
      </c>
      <c r="C18" s="17"/>
      <c r="D18" s="123"/>
      <c r="E18" s="123"/>
      <c r="F18" s="107"/>
      <c r="G18" s="26">
        <f aca="true" t="shared" si="5" ref="G18:O18">SUM(G10:G17)</f>
        <v>69673260</v>
      </c>
      <c r="H18" s="26">
        <f t="shared" si="5"/>
        <v>9546778</v>
      </c>
      <c r="I18" s="26">
        <f t="shared" si="5"/>
        <v>0</v>
      </c>
      <c r="J18" s="26">
        <f t="shared" si="5"/>
        <v>0</v>
      </c>
      <c r="K18" s="26">
        <f t="shared" si="1"/>
        <v>79220038</v>
      </c>
      <c r="L18" s="26">
        <f t="shared" si="5"/>
        <v>68539280.57999998</v>
      </c>
      <c r="M18" s="26">
        <f t="shared" si="5"/>
        <v>9654497.3</v>
      </c>
      <c r="N18" s="26">
        <f t="shared" si="5"/>
        <v>0</v>
      </c>
      <c r="O18" s="26">
        <f t="shared" si="5"/>
        <v>0</v>
      </c>
      <c r="P18" s="26">
        <f t="shared" si="2"/>
        <v>78193777.87999998</v>
      </c>
      <c r="Q18" s="27">
        <f t="shared" si="3"/>
        <v>0.9870454477691614</v>
      </c>
    </row>
    <row r="19" spans="1:17" ht="29.25">
      <c r="A19" s="15"/>
      <c r="B19" s="13" t="s">
        <v>34</v>
      </c>
      <c r="C19" s="133" t="s">
        <v>35</v>
      </c>
      <c r="D19" s="111" t="s">
        <v>36</v>
      </c>
      <c r="E19" s="111" t="s">
        <v>7</v>
      </c>
      <c r="F19" s="106" t="s">
        <v>37</v>
      </c>
      <c r="G19" s="24">
        <v>5000</v>
      </c>
      <c r="H19" s="24"/>
      <c r="I19" s="24"/>
      <c r="J19" s="24"/>
      <c r="K19" s="24">
        <f t="shared" si="1"/>
        <v>5000</v>
      </c>
      <c r="L19" s="24">
        <v>9712.27</v>
      </c>
      <c r="M19" s="24"/>
      <c r="N19" s="24"/>
      <c r="O19" s="24"/>
      <c r="P19" s="24">
        <f t="shared" si="2"/>
        <v>9712.27</v>
      </c>
      <c r="Q19" s="30">
        <f t="shared" si="3"/>
        <v>1.9424540000000001</v>
      </c>
    </row>
    <row r="20" spans="1:17" ht="45" customHeight="1">
      <c r="A20" s="15"/>
      <c r="B20" s="20"/>
      <c r="C20" s="137"/>
      <c r="D20" s="111" t="s">
        <v>38</v>
      </c>
      <c r="E20" s="111" t="s">
        <v>7</v>
      </c>
      <c r="F20" s="106" t="s">
        <v>39</v>
      </c>
      <c r="G20" s="24">
        <v>3000</v>
      </c>
      <c r="H20" s="24"/>
      <c r="I20" s="24"/>
      <c r="J20" s="24"/>
      <c r="K20" s="24">
        <f t="shared" si="1"/>
        <v>3000</v>
      </c>
      <c r="L20" s="24">
        <v>77488.22</v>
      </c>
      <c r="M20" s="24"/>
      <c r="N20" s="24"/>
      <c r="O20" s="24"/>
      <c r="P20" s="24">
        <f t="shared" si="2"/>
        <v>77488.22</v>
      </c>
      <c r="Q20" s="30">
        <f t="shared" si="3"/>
        <v>25.829406666666667</v>
      </c>
    </row>
    <row r="21" spans="1:17" ht="12" customHeight="1">
      <c r="A21" s="15"/>
      <c r="B21" s="20"/>
      <c r="C21" s="15"/>
      <c r="D21" s="111" t="s">
        <v>40</v>
      </c>
      <c r="E21" s="111" t="s">
        <v>7</v>
      </c>
      <c r="F21" s="106" t="s">
        <v>41</v>
      </c>
      <c r="G21" s="24">
        <v>13054995</v>
      </c>
      <c r="H21" s="24"/>
      <c r="I21" s="24"/>
      <c r="J21" s="24"/>
      <c r="K21" s="24">
        <f t="shared" si="1"/>
        <v>13054995</v>
      </c>
      <c r="L21" s="24">
        <f>11883450.91+49.22</f>
        <v>11883500.13</v>
      </c>
      <c r="M21" s="24"/>
      <c r="N21" s="24"/>
      <c r="O21" s="24"/>
      <c r="P21" s="24">
        <f t="shared" si="2"/>
        <v>11883500.13</v>
      </c>
      <c r="Q21" s="30">
        <f t="shared" si="3"/>
        <v>0.9102646251492246</v>
      </c>
    </row>
    <row r="22" spans="1:17" ht="80.25" customHeight="1">
      <c r="A22" s="15"/>
      <c r="B22" s="20"/>
      <c r="C22" s="15"/>
      <c r="D22" s="111" t="s">
        <v>19</v>
      </c>
      <c r="E22" s="111" t="s">
        <v>7</v>
      </c>
      <c r="F22" s="106" t="s">
        <v>20</v>
      </c>
      <c r="G22" s="24">
        <v>13000</v>
      </c>
      <c r="H22" s="24"/>
      <c r="I22" s="24"/>
      <c r="J22" s="24"/>
      <c r="K22" s="24">
        <f t="shared" si="1"/>
        <v>13000</v>
      </c>
      <c r="L22" s="24">
        <v>15085.43</v>
      </c>
      <c r="M22" s="24"/>
      <c r="N22" s="24"/>
      <c r="O22" s="24"/>
      <c r="P22" s="24">
        <f t="shared" si="2"/>
        <v>15085.43</v>
      </c>
      <c r="Q22" s="30">
        <f t="shared" si="3"/>
        <v>1.1604176923076923</v>
      </c>
    </row>
    <row r="23" spans="1:17" ht="48.75" customHeight="1">
      <c r="A23" s="15"/>
      <c r="B23" s="20"/>
      <c r="C23" s="15"/>
      <c r="D23" s="111" t="s">
        <v>42</v>
      </c>
      <c r="E23" s="111" t="s">
        <v>7</v>
      </c>
      <c r="F23" s="106" t="s">
        <v>43</v>
      </c>
      <c r="G23" s="24">
        <v>21614014</v>
      </c>
      <c r="H23" s="24"/>
      <c r="I23" s="24"/>
      <c r="J23" s="24"/>
      <c r="K23" s="24">
        <f t="shared" si="1"/>
        <v>21614014</v>
      </c>
      <c r="L23" s="24">
        <v>21614014</v>
      </c>
      <c r="M23" s="24"/>
      <c r="N23" s="24"/>
      <c r="O23" s="24"/>
      <c r="P23" s="24">
        <f t="shared" si="2"/>
        <v>21614014</v>
      </c>
      <c r="Q23" s="30">
        <f t="shared" si="3"/>
        <v>1</v>
      </c>
    </row>
    <row r="24" spans="1:17" ht="12.75">
      <c r="A24" s="15"/>
      <c r="B24" s="20"/>
      <c r="C24" s="15"/>
      <c r="D24" s="125" t="s">
        <v>23</v>
      </c>
      <c r="E24" s="111">
        <v>0</v>
      </c>
      <c r="F24" s="106" t="s">
        <v>24</v>
      </c>
      <c r="G24" s="24">
        <v>6500</v>
      </c>
      <c r="H24" s="24"/>
      <c r="I24" s="24"/>
      <c r="J24" s="24"/>
      <c r="K24" s="24">
        <f t="shared" si="1"/>
        <v>6500</v>
      </c>
      <c r="L24" s="24">
        <f>23278.75-49.22</f>
        <v>23229.53</v>
      </c>
      <c r="M24" s="24"/>
      <c r="N24" s="24"/>
      <c r="O24" s="24"/>
      <c r="P24" s="24">
        <f t="shared" si="2"/>
        <v>23229.53</v>
      </c>
      <c r="Q24" s="30">
        <f t="shared" si="3"/>
        <v>3.573773846153846</v>
      </c>
    </row>
    <row r="25" spans="1:17" ht="19.5">
      <c r="A25" s="15"/>
      <c r="B25" s="20"/>
      <c r="C25" s="15"/>
      <c r="D25" s="125" t="s">
        <v>25</v>
      </c>
      <c r="E25" s="111">
        <v>0</v>
      </c>
      <c r="F25" s="106" t="s">
        <v>26</v>
      </c>
      <c r="G25" s="24">
        <v>126471</v>
      </c>
      <c r="H25" s="24"/>
      <c r="I25" s="24"/>
      <c r="J25" s="24"/>
      <c r="K25" s="24">
        <f t="shared" si="1"/>
        <v>126471</v>
      </c>
      <c r="L25" s="24">
        <v>131894.39</v>
      </c>
      <c r="M25" s="24"/>
      <c r="N25" s="24"/>
      <c r="O25" s="24"/>
      <c r="P25" s="24">
        <f t="shared" si="2"/>
        <v>131894.39</v>
      </c>
      <c r="Q25" s="30">
        <f t="shared" si="3"/>
        <v>1.042882478987278</v>
      </c>
    </row>
    <row r="26" spans="1:17" ht="103.5" customHeight="1" hidden="1">
      <c r="A26" s="15"/>
      <c r="B26" s="20"/>
      <c r="C26" s="15"/>
      <c r="D26" s="111" t="s">
        <v>27</v>
      </c>
      <c r="E26" s="111" t="s">
        <v>28</v>
      </c>
      <c r="F26" s="106" t="s">
        <v>29</v>
      </c>
      <c r="G26" s="24"/>
      <c r="H26" s="24"/>
      <c r="I26" s="24"/>
      <c r="J26" s="24"/>
      <c r="K26" s="24">
        <f t="shared" si="1"/>
        <v>0</v>
      </c>
      <c r="L26" s="24"/>
      <c r="M26" s="24"/>
      <c r="N26" s="24"/>
      <c r="O26" s="24"/>
      <c r="P26" s="24">
        <f t="shared" si="2"/>
        <v>0</v>
      </c>
      <c r="Q26" s="30" t="e">
        <f t="shared" si="3"/>
        <v>#DIV/0!</v>
      </c>
    </row>
    <row r="27" spans="1:17" ht="12.75" hidden="1">
      <c r="A27" s="15"/>
      <c r="B27" s="20"/>
      <c r="C27" s="15"/>
      <c r="D27" s="111">
        <v>298</v>
      </c>
      <c r="E27" s="111">
        <v>0</v>
      </c>
      <c r="F27" s="106" t="s">
        <v>347</v>
      </c>
      <c r="G27" s="24"/>
      <c r="H27" s="24"/>
      <c r="I27" s="24"/>
      <c r="J27" s="24"/>
      <c r="K27" s="24">
        <f t="shared" si="1"/>
        <v>0</v>
      </c>
      <c r="L27" s="24"/>
      <c r="M27" s="24"/>
      <c r="N27" s="24"/>
      <c r="O27" s="24"/>
      <c r="P27" s="24">
        <f t="shared" si="2"/>
        <v>0</v>
      </c>
      <c r="Q27" s="30"/>
    </row>
    <row r="28" spans="1:17" ht="78.75" customHeight="1">
      <c r="A28" s="15"/>
      <c r="B28" s="20"/>
      <c r="C28" s="15"/>
      <c r="D28" s="111" t="s">
        <v>44</v>
      </c>
      <c r="E28" s="111" t="s">
        <v>28</v>
      </c>
      <c r="F28" s="106" t="s">
        <v>45</v>
      </c>
      <c r="G28" s="24">
        <v>42749307</v>
      </c>
      <c r="H28" s="24"/>
      <c r="I28" s="24"/>
      <c r="J28" s="24"/>
      <c r="K28" s="24">
        <f t="shared" si="1"/>
        <v>42749307</v>
      </c>
      <c r="L28" s="24">
        <v>36185596.1</v>
      </c>
      <c r="M28" s="24"/>
      <c r="N28" s="24"/>
      <c r="O28" s="24"/>
      <c r="P28" s="24">
        <f t="shared" si="2"/>
        <v>36185596.1</v>
      </c>
      <c r="Q28" s="30">
        <f t="shared" si="3"/>
        <v>0.8464604139664768</v>
      </c>
    </row>
    <row r="29" spans="1:17" ht="40.5" customHeight="1">
      <c r="A29" s="15"/>
      <c r="B29" s="20"/>
      <c r="C29" s="15"/>
      <c r="D29" s="111" t="s">
        <v>46</v>
      </c>
      <c r="E29" s="111" t="s">
        <v>7</v>
      </c>
      <c r="F29" s="106" t="s">
        <v>47</v>
      </c>
      <c r="G29" s="24">
        <v>18450</v>
      </c>
      <c r="H29" s="24"/>
      <c r="I29" s="24"/>
      <c r="J29" s="24"/>
      <c r="K29" s="24">
        <f t="shared" si="1"/>
        <v>18450</v>
      </c>
      <c r="L29" s="24">
        <v>33205.53</v>
      </c>
      <c r="M29" s="24"/>
      <c r="N29" s="24"/>
      <c r="O29" s="24"/>
      <c r="P29" s="24">
        <f t="shared" si="2"/>
        <v>33205.53</v>
      </c>
      <c r="Q29" s="30">
        <f t="shared" si="3"/>
        <v>1.7997577235772357</v>
      </c>
    </row>
    <row r="30" spans="1:17" ht="65.25" customHeight="1">
      <c r="A30" s="15"/>
      <c r="B30" s="37"/>
      <c r="C30" s="15"/>
      <c r="D30" s="111">
        <v>661</v>
      </c>
      <c r="E30" s="111" t="s">
        <v>7</v>
      </c>
      <c r="F30" s="106" t="s">
        <v>345</v>
      </c>
      <c r="G30" s="24"/>
      <c r="H30" s="24"/>
      <c r="I30" s="24"/>
      <c r="J30" s="24"/>
      <c r="K30" s="24">
        <f t="shared" si="1"/>
        <v>0</v>
      </c>
      <c r="L30" s="24"/>
      <c r="M30" s="24">
        <v>1829.53</v>
      </c>
      <c r="N30" s="24"/>
      <c r="O30" s="24"/>
      <c r="P30" s="24">
        <f t="shared" si="2"/>
        <v>1829.53</v>
      </c>
      <c r="Q30" s="30"/>
    </row>
    <row r="31" spans="1:17" ht="12.75">
      <c r="A31" s="15"/>
      <c r="B31" s="88" t="s">
        <v>48</v>
      </c>
      <c r="C31" s="97"/>
      <c r="D31" s="123"/>
      <c r="E31" s="123"/>
      <c r="F31" s="107"/>
      <c r="G31" s="26">
        <f>SUM(G19:G29)</f>
        <v>77590737</v>
      </c>
      <c r="H31" s="26">
        <f>SUM(H19:H29)</f>
        <v>0</v>
      </c>
      <c r="I31" s="26">
        <f>SUM(I19:I29)</f>
        <v>0</v>
      </c>
      <c r="J31" s="26">
        <f>SUM(J19:J29)</f>
        <v>0</v>
      </c>
      <c r="K31" s="26">
        <f t="shared" si="1"/>
        <v>77590737</v>
      </c>
      <c r="L31" s="26">
        <f>SUM(L19:L30)</f>
        <v>69973725.6</v>
      </c>
      <c r="M31" s="26">
        <f>SUM(M19:M30)</f>
        <v>1829.53</v>
      </c>
      <c r="N31" s="26">
        <f>SUM(N19:N30)</f>
        <v>0</v>
      </c>
      <c r="O31" s="26">
        <f>SUM(O19:O30)</f>
        <v>0</v>
      </c>
      <c r="P31" s="26">
        <f t="shared" si="2"/>
        <v>69975555.13</v>
      </c>
      <c r="Q31" s="27">
        <f t="shared" si="3"/>
        <v>0.9018544975284871</v>
      </c>
    </row>
    <row r="32" spans="1:17" s="39" customFormat="1" ht="19.5">
      <c r="A32" s="38"/>
      <c r="B32" s="86">
        <v>60016</v>
      </c>
      <c r="C32" s="87"/>
      <c r="D32" s="125" t="s">
        <v>25</v>
      </c>
      <c r="E32" s="111">
        <v>0</v>
      </c>
      <c r="F32" s="106" t="s">
        <v>26</v>
      </c>
      <c r="G32" s="45"/>
      <c r="H32" s="45"/>
      <c r="I32" s="45"/>
      <c r="J32" s="45"/>
      <c r="K32" s="45"/>
      <c r="L32" s="45">
        <v>6580.85</v>
      </c>
      <c r="M32" s="45"/>
      <c r="N32" s="45"/>
      <c r="O32" s="45"/>
      <c r="P32" s="45">
        <f t="shared" si="2"/>
        <v>6580.85</v>
      </c>
      <c r="Q32" s="89"/>
    </row>
    <row r="33" spans="1:17" ht="34.5" customHeight="1">
      <c r="A33" s="15"/>
      <c r="B33" s="20"/>
      <c r="C33" s="15"/>
      <c r="D33" s="111" t="s">
        <v>46</v>
      </c>
      <c r="E33" s="111" t="s">
        <v>7</v>
      </c>
      <c r="F33" s="106" t="s">
        <v>47</v>
      </c>
      <c r="G33" s="24"/>
      <c r="H33" s="24"/>
      <c r="I33" s="24"/>
      <c r="J33" s="24"/>
      <c r="K33" s="24">
        <f t="shared" si="1"/>
        <v>0</v>
      </c>
      <c r="L33" s="24">
        <v>885349.02</v>
      </c>
      <c r="M33" s="24"/>
      <c r="N33" s="24"/>
      <c r="O33" s="24"/>
      <c r="P33" s="24">
        <f t="shared" si="2"/>
        <v>885349.02</v>
      </c>
      <c r="Q33" s="30"/>
    </row>
    <row r="34" spans="1:17" ht="12.75">
      <c r="A34" s="15"/>
      <c r="B34" s="16" t="s">
        <v>390</v>
      </c>
      <c r="C34" s="17"/>
      <c r="D34" s="123"/>
      <c r="E34" s="123"/>
      <c r="F34" s="107"/>
      <c r="G34" s="26">
        <f>SUM(G33)</f>
        <v>0</v>
      </c>
      <c r="H34" s="26">
        <f>SUM(H33)</f>
        <v>0</v>
      </c>
      <c r="I34" s="26">
        <f>SUM(I33)</f>
        <v>0</v>
      </c>
      <c r="J34" s="26">
        <f>SUM(J33)</f>
        <v>0</v>
      </c>
      <c r="K34" s="26">
        <f t="shared" si="1"/>
        <v>0</v>
      </c>
      <c r="L34" s="26">
        <f>SUM(L32:L33)</f>
        <v>891929.87</v>
      </c>
      <c r="M34" s="26">
        <f>SUM(M32:M33)</f>
        <v>0</v>
      </c>
      <c r="N34" s="26">
        <f>SUM(N32:N33)</f>
        <v>0</v>
      </c>
      <c r="O34" s="26">
        <f>SUM(O32:O33)</f>
        <v>0</v>
      </c>
      <c r="P34" s="26">
        <f t="shared" si="2"/>
        <v>891929.87</v>
      </c>
      <c r="Q34" s="27"/>
    </row>
    <row r="35" spans="1:17" s="54" customFormat="1" ht="12.75">
      <c r="A35" s="38"/>
      <c r="B35" s="13" t="s">
        <v>49</v>
      </c>
      <c r="C35" s="162" t="s">
        <v>50</v>
      </c>
      <c r="D35" s="120" t="s">
        <v>40</v>
      </c>
      <c r="E35" s="121">
        <v>0</v>
      </c>
      <c r="F35" s="109" t="s">
        <v>41</v>
      </c>
      <c r="G35" s="52"/>
      <c r="H35" s="52"/>
      <c r="I35" s="52"/>
      <c r="J35" s="52"/>
      <c r="K35" s="52">
        <f t="shared" si="1"/>
        <v>0</v>
      </c>
      <c r="L35" s="45">
        <v>84588.45</v>
      </c>
      <c r="M35" s="45"/>
      <c r="N35" s="45"/>
      <c r="O35" s="45"/>
      <c r="P35" s="24">
        <f t="shared" si="2"/>
        <v>84588.45</v>
      </c>
      <c r="Q35" s="53"/>
    </row>
    <row r="36" spans="1:17" s="54" customFormat="1" ht="12.75">
      <c r="A36" s="38"/>
      <c r="B36" s="55"/>
      <c r="C36" s="163"/>
      <c r="D36" s="147" t="s">
        <v>23</v>
      </c>
      <c r="E36" s="121">
        <v>0</v>
      </c>
      <c r="F36" s="128" t="s">
        <v>24</v>
      </c>
      <c r="G36" s="52"/>
      <c r="H36" s="52"/>
      <c r="I36" s="52"/>
      <c r="J36" s="52"/>
      <c r="K36" s="52">
        <f t="shared" si="1"/>
        <v>0</v>
      </c>
      <c r="L36" s="45">
        <v>380.03</v>
      </c>
      <c r="M36" s="45"/>
      <c r="N36" s="45"/>
      <c r="O36" s="45"/>
      <c r="P36" s="24">
        <f t="shared" si="2"/>
        <v>380.03</v>
      </c>
      <c r="Q36" s="53"/>
    </row>
    <row r="37" spans="1:17" s="54" customFormat="1" ht="12.75">
      <c r="A37" s="38"/>
      <c r="B37" s="55"/>
      <c r="C37" s="98"/>
      <c r="D37" s="147"/>
      <c r="E37" s="121">
        <v>7</v>
      </c>
      <c r="F37" s="129"/>
      <c r="G37" s="52"/>
      <c r="H37" s="52"/>
      <c r="I37" s="52"/>
      <c r="J37" s="52"/>
      <c r="K37" s="52">
        <f t="shared" si="1"/>
        <v>0</v>
      </c>
      <c r="L37" s="45">
        <v>128.03</v>
      </c>
      <c r="M37" s="45"/>
      <c r="N37" s="45"/>
      <c r="O37" s="45"/>
      <c r="P37" s="24">
        <f t="shared" si="2"/>
        <v>128.03</v>
      </c>
      <c r="Q37" s="53"/>
    </row>
    <row r="38" spans="1:17" s="54" customFormat="1" ht="12.75">
      <c r="A38" s="38"/>
      <c r="B38" s="55"/>
      <c r="C38" s="98"/>
      <c r="D38" s="147"/>
      <c r="E38" s="121">
        <v>8</v>
      </c>
      <c r="F38" s="129"/>
      <c r="G38" s="52"/>
      <c r="H38" s="52"/>
      <c r="I38" s="52"/>
      <c r="J38" s="52"/>
      <c r="K38" s="52">
        <f t="shared" si="1"/>
        <v>0</v>
      </c>
      <c r="L38" s="45">
        <v>38.58</v>
      </c>
      <c r="M38" s="45"/>
      <c r="N38" s="45"/>
      <c r="O38" s="45"/>
      <c r="P38" s="24">
        <f t="shared" si="2"/>
        <v>38.58</v>
      </c>
      <c r="Q38" s="53"/>
    </row>
    <row r="39" spans="1:17" s="54" customFormat="1" ht="12.75">
      <c r="A39" s="38"/>
      <c r="B39" s="55"/>
      <c r="C39" s="98"/>
      <c r="D39" s="147"/>
      <c r="E39" s="121">
        <v>9</v>
      </c>
      <c r="F39" s="148"/>
      <c r="G39" s="52"/>
      <c r="H39" s="52"/>
      <c r="I39" s="52"/>
      <c r="J39" s="52"/>
      <c r="K39" s="52">
        <f t="shared" si="1"/>
        <v>0</v>
      </c>
      <c r="L39" s="45">
        <v>34.01</v>
      </c>
      <c r="M39" s="45"/>
      <c r="N39" s="45"/>
      <c r="O39" s="45"/>
      <c r="P39" s="24">
        <f t="shared" si="2"/>
        <v>34.01</v>
      </c>
      <c r="Q39" s="53"/>
    </row>
    <row r="40" spans="1:17" s="54" customFormat="1" ht="19.5">
      <c r="A40" s="38"/>
      <c r="B40" s="55"/>
      <c r="C40" s="98"/>
      <c r="D40" s="120" t="s">
        <v>25</v>
      </c>
      <c r="E40" s="121">
        <v>0</v>
      </c>
      <c r="F40" s="109" t="s">
        <v>26</v>
      </c>
      <c r="G40" s="52"/>
      <c r="H40" s="52"/>
      <c r="I40" s="52"/>
      <c r="J40" s="52"/>
      <c r="K40" s="52">
        <f t="shared" si="1"/>
        <v>0</v>
      </c>
      <c r="L40" s="45">
        <v>9202.55</v>
      </c>
      <c r="M40" s="45"/>
      <c r="N40" s="45"/>
      <c r="O40" s="45"/>
      <c r="P40" s="24">
        <f t="shared" si="2"/>
        <v>9202.55</v>
      </c>
      <c r="Q40" s="53"/>
    </row>
    <row r="41" spans="1:17" ht="81" customHeight="1">
      <c r="A41" s="15"/>
      <c r="B41" s="62"/>
      <c r="C41" s="63"/>
      <c r="D41" s="111">
        <v>246</v>
      </c>
      <c r="E41" s="111">
        <v>0</v>
      </c>
      <c r="F41" s="106" t="s">
        <v>394</v>
      </c>
      <c r="G41" s="24"/>
      <c r="H41" s="24"/>
      <c r="I41" s="24"/>
      <c r="J41" s="24"/>
      <c r="K41" s="24">
        <f t="shared" si="1"/>
        <v>0</v>
      </c>
      <c r="L41" s="24">
        <v>116000</v>
      </c>
      <c r="M41" s="24"/>
      <c r="N41" s="24"/>
      <c r="O41" s="24"/>
      <c r="P41" s="24">
        <f t="shared" si="2"/>
        <v>116000</v>
      </c>
      <c r="Q41" s="30"/>
    </row>
    <row r="42" spans="1:17" ht="28.5" customHeight="1">
      <c r="A42" s="15"/>
      <c r="B42" s="51"/>
      <c r="C42" s="99"/>
      <c r="D42" s="111" t="s">
        <v>51</v>
      </c>
      <c r="E42" s="111" t="s">
        <v>28</v>
      </c>
      <c r="F42" s="130" t="s">
        <v>52</v>
      </c>
      <c r="G42" s="24">
        <v>216291</v>
      </c>
      <c r="H42" s="24"/>
      <c r="I42" s="24"/>
      <c r="J42" s="24"/>
      <c r="K42" s="24">
        <f t="shared" si="1"/>
        <v>216291</v>
      </c>
      <c r="L42" s="24">
        <v>223300.74</v>
      </c>
      <c r="M42" s="24"/>
      <c r="N42" s="24"/>
      <c r="O42" s="24"/>
      <c r="P42" s="24">
        <f t="shared" si="2"/>
        <v>223300.74</v>
      </c>
      <c r="Q42" s="30">
        <f t="shared" si="3"/>
        <v>1.0324088380931244</v>
      </c>
    </row>
    <row r="43" spans="1:17" ht="30.75" customHeight="1">
      <c r="A43" s="15"/>
      <c r="B43" s="20"/>
      <c r="C43" s="15"/>
      <c r="D43" s="111">
        <v>270</v>
      </c>
      <c r="E43" s="111" t="s">
        <v>30</v>
      </c>
      <c r="F43" s="131"/>
      <c r="G43" s="24">
        <v>117776</v>
      </c>
      <c r="H43" s="24"/>
      <c r="I43" s="24"/>
      <c r="J43" s="24"/>
      <c r="K43" s="24">
        <f t="shared" si="1"/>
        <v>117776</v>
      </c>
      <c r="L43" s="24">
        <v>67704.36</v>
      </c>
      <c r="M43" s="24"/>
      <c r="N43" s="24"/>
      <c r="O43" s="24"/>
      <c r="P43" s="24">
        <f t="shared" si="2"/>
        <v>67704.36</v>
      </c>
      <c r="Q43" s="30">
        <f t="shared" si="3"/>
        <v>0.5748570167096861</v>
      </c>
    </row>
    <row r="44" spans="1:17" ht="12.75">
      <c r="A44" s="15"/>
      <c r="B44" s="16" t="s">
        <v>53</v>
      </c>
      <c r="C44" s="17"/>
      <c r="D44" s="123"/>
      <c r="E44" s="123"/>
      <c r="F44" s="107"/>
      <c r="G44" s="26">
        <f>SUM(G42:G43)</f>
        <v>334067</v>
      </c>
      <c r="H44" s="26">
        <f>SUM(H42:H43)</f>
        <v>0</v>
      </c>
      <c r="I44" s="26">
        <f>SUM(I42:I43)</f>
        <v>0</v>
      </c>
      <c r="J44" s="26">
        <f>SUM(J42:J43)</f>
        <v>0</v>
      </c>
      <c r="K44" s="26">
        <f t="shared" si="1"/>
        <v>334067</v>
      </c>
      <c r="L44" s="26">
        <f>SUM(L35:L43)</f>
        <v>501376.75</v>
      </c>
      <c r="M44" s="26">
        <f>SUM(M35:M43)</f>
        <v>0</v>
      </c>
      <c r="N44" s="26">
        <f>SUM(N35:N43)</f>
        <v>0</v>
      </c>
      <c r="O44" s="26">
        <f>SUM(O35:O43)</f>
        <v>0</v>
      </c>
      <c r="P44" s="26">
        <f t="shared" si="2"/>
        <v>501376.75</v>
      </c>
      <c r="Q44" s="27">
        <f t="shared" si="3"/>
        <v>1.50082692992723</v>
      </c>
    </row>
    <row r="45" spans="1:17" ht="12.75">
      <c r="A45" s="18" t="s">
        <v>54</v>
      </c>
      <c r="B45" s="19"/>
      <c r="C45" s="19"/>
      <c r="D45" s="124"/>
      <c r="E45" s="124"/>
      <c r="F45" s="108"/>
      <c r="G45" s="28">
        <f>SUM(G44,G34,G31,G18)</f>
        <v>147598064</v>
      </c>
      <c r="H45" s="28">
        <f aca="true" t="shared" si="6" ref="H45:O45">SUM(H44,H34,H31,H18)</f>
        <v>9546778</v>
      </c>
      <c r="I45" s="28">
        <f t="shared" si="6"/>
        <v>0</v>
      </c>
      <c r="J45" s="28">
        <f t="shared" si="6"/>
        <v>0</v>
      </c>
      <c r="K45" s="28">
        <f t="shared" si="1"/>
        <v>157144842</v>
      </c>
      <c r="L45" s="28">
        <f t="shared" si="6"/>
        <v>139906312.79999998</v>
      </c>
      <c r="M45" s="28">
        <f t="shared" si="6"/>
        <v>9656326.83</v>
      </c>
      <c r="N45" s="28">
        <f t="shared" si="6"/>
        <v>0</v>
      </c>
      <c r="O45" s="28">
        <f t="shared" si="6"/>
        <v>0</v>
      </c>
      <c r="P45" s="28">
        <f t="shared" si="2"/>
        <v>149562639.63</v>
      </c>
      <c r="Q45" s="29">
        <f t="shared" si="3"/>
        <v>0.9517502307202675</v>
      </c>
    </row>
    <row r="46" spans="1:17" ht="96.75" customHeight="1">
      <c r="A46" s="14" t="s">
        <v>348</v>
      </c>
      <c r="B46" s="13">
        <v>63095</v>
      </c>
      <c r="C46" s="14" t="s">
        <v>5</v>
      </c>
      <c r="D46" s="111">
        <v>291</v>
      </c>
      <c r="E46" s="111" t="s">
        <v>7</v>
      </c>
      <c r="F46" s="106" t="s">
        <v>346</v>
      </c>
      <c r="G46" s="24"/>
      <c r="H46" s="24"/>
      <c r="I46" s="24"/>
      <c r="J46" s="24"/>
      <c r="K46" s="24">
        <f t="shared" si="1"/>
        <v>0</v>
      </c>
      <c r="L46" s="24">
        <v>335.72</v>
      </c>
      <c r="M46" s="24"/>
      <c r="N46" s="24"/>
      <c r="O46" s="24"/>
      <c r="P46" s="24">
        <f t="shared" si="2"/>
        <v>335.72</v>
      </c>
      <c r="Q46" s="30"/>
    </row>
    <row r="47" spans="1:17" ht="12.75">
      <c r="A47" s="15"/>
      <c r="B47" s="16" t="s">
        <v>350</v>
      </c>
      <c r="C47" s="17"/>
      <c r="D47" s="123"/>
      <c r="E47" s="123"/>
      <c r="F47" s="107"/>
      <c r="G47" s="26">
        <f aca="true" t="shared" si="7" ref="G47:O48">SUM(G46)</f>
        <v>0</v>
      </c>
      <c r="H47" s="26">
        <f t="shared" si="7"/>
        <v>0</v>
      </c>
      <c r="I47" s="26">
        <f t="shared" si="7"/>
        <v>0</v>
      </c>
      <c r="J47" s="26">
        <f t="shared" si="7"/>
        <v>0</v>
      </c>
      <c r="K47" s="26">
        <f t="shared" si="1"/>
        <v>0</v>
      </c>
      <c r="L47" s="26">
        <f t="shared" si="7"/>
        <v>335.72</v>
      </c>
      <c r="M47" s="26">
        <f t="shared" si="7"/>
        <v>0</v>
      </c>
      <c r="N47" s="26">
        <f t="shared" si="7"/>
        <v>0</v>
      </c>
      <c r="O47" s="26">
        <f t="shared" si="7"/>
        <v>0</v>
      </c>
      <c r="P47" s="26">
        <f t="shared" si="2"/>
        <v>335.72</v>
      </c>
      <c r="Q47" s="27"/>
    </row>
    <row r="48" spans="1:17" ht="12.75">
      <c r="A48" s="18" t="s">
        <v>349</v>
      </c>
      <c r="B48" s="19"/>
      <c r="C48" s="19"/>
      <c r="D48" s="124"/>
      <c r="E48" s="124"/>
      <c r="F48" s="108"/>
      <c r="G48" s="28">
        <f t="shared" si="7"/>
        <v>0</v>
      </c>
      <c r="H48" s="28">
        <f t="shared" si="7"/>
        <v>0</v>
      </c>
      <c r="I48" s="28">
        <f t="shared" si="7"/>
        <v>0</v>
      </c>
      <c r="J48" s="28">
        <f t="shared" si="7"/>
        <v>0</v>
      </c>
      <c r="K48" s="28">
        <f t="shared" si="1"/>
        <v>0</v>
      </c>
      <c r="L48" s="28">
        <f t="shared" si="7"/>
        <v>335.72</v>
      </c>
      <c r="M48" s="28">
        <f t="shared" si="7"/>
        <v>0</v>
      </c>
      <c r="N48" s="28">
        <f t="shared" si="7"/>
        <v>0</v>
      </c>
      <c r="O48" s="28">
        <f t="shared" si="7"/>
        <v>0</v>
      </c>
      <c r="P48" s="28">
        <f t="shared" si="2"/>
        <v>335.72</v>
      </c>
      <c r="Q48" s="29"/>
    </row>
    <row r="49" spans="1:17" s="39" customFormat="1" ht="87.75" customHeight="1">
      <c r="A49" s="152" t="s">
        <v>331</v>
      </c>
      <c r="B49" s="58">
        <v>70001</v>
      </c>
      <c r="C49" s="154" t="s">
        <v>352</v>
      </c>
      <c r="D49" s="120" t="s">
        <v>353</v>
      </c>
      <c r="E49" s="121">
        <v>0</v>
      </c>
      <c r="F49" s="106" t="s">
        <v>354</v>
      </c>
      <c r="G49" s="52"/>
      <c r="H49" s="52"/>
      <c r="I49" s="52"/>
      <c r="J49" s="52"/>
      <c r="K49" s="52">
        <f t="shared" si="1"/>
        <v>0</v>
      </c>
      <c r="L49" s="45">
        <v>1024</v>
      </c>
      <c r="M49" s="45"/>
      <c r="N49" s="45"/>
      <c r="O49" s="45"/>
      <c r="P49" s="45">
        <f t="shared" si="2"/>
        <v>1024</v>
      </c>
      <c r="Q49" s="53"/>
    </row>
    <row r="50" spans="1:17" s="39" customFormat="1" ht="103.5" customHeight="1">
      <c r="A50" s="153"/>
      <c r="B50" s="59"/>
      <c r="C50" s="155"/>
      <c r="D50" s="121">
        <v>291</v>
      </c>
      <c r="E50" s="121">
        <v>0</v>
      </c>
      <c r="F50" s="106" t="s">
        <v>346</v>
      </c>
      <c r="G50" s="52"/>
      <c r="H50" s="52"/>
      <c r="I50" s="52"/>
      <c r="J50" s="52"/>
      <c r="K50" s="52">
        <f t="shared" si="1"/>
        <v>0</v>
      </c>
      <c r="L50" s="45">
        <v>12585.51</v>
      </c>
      <c r="M50" s="45"/>
      <c r="N50" s="45"/>
      <c r="O50" s="45"/>
      <c r="P50" s="45">
        <f t="shared" si="2"/>
        <v>12585.51</v>
      </c>
      <c r="Q50" s="53"/>
    </row>
    <row r="51" spans="1:17" ht="12.75">
      <c r="A51" s="153"/>
      <c r="B51" s="57" t="s">
        <v>351</v>
      </c>
      <c r="C51" s="48"/>
      <c r="D51" s="123"/>
      <c r="E51" s="123"/>
      <c r="F51" s="107"/>
      <c r="G51" s="26"/>
      <c r="H51" s="26"/>
      <c r="I51" s="26"/>
      <c r="J51" s="26"/>
      <c r="K51" s="26">
        <f t="shared" si="1"/>
        <v>0</v>
      </c>
      <c r="L51" s="26">
        <f>SUM(L49:L50)</f>
        <v>13609.51</v>
      </c>
      <c r="M51" s="26">
        <f>SUM(M49:M50)</f>
        <v>0</v>
      </c>
      <c r="N51" s="26">
        <f>SUM(N49:N50)</f>
        <v>0</v>
      </c>
      <c r="O51" s="26">
        <f>SUM(O49:O50)</f>
        <v>0</v>
      </c>
      <c r="P51" s="26">
        <f t="shared" si="2"/>
        <v>13609.51</v>
      </c>
      <c r="Q51" s="27"/>
    </row>
    <row r="52" spans="1:17" ht="39" customHeight="1">
      <c r="A52" s="153"/>
      <c r="B52" s="37" t="s">
        <v>55</v>
      </c>
      <c r="C52" s="14" t="s">
        <v>56</v>
      </c>
      <c r="D52" s="111" t="s">
        <v>57</v>
      </c>
      <c r="E52" s="111" t="s">
        <v>7</v>
      </c>
      <c r="F52" s="106" t="s">
        <v>58</v>
      </c>
      <c r="G52" s="24">
        <v>9500000</v>
      </c>
      <c r="H52" s="24"/>
      <c r="I52" s="24"/>
      <c r="J52" s="24"/>
      <c r="K52" s="24">
        <f t="shared" si="1"/>
        <v>9500000</v>
      </c>
      <c r="L52" s="24">
        <v>8326277.67</v>
      </c>
      <c r="M52" s="24"/>
      <c r="N52" s="24"/>
      <c r="O52" s="24"/>
      <c r="P52" s="24">
        <f t="shared" si="2"/>
        <v>8326277.67</v>
      </c>
      <c r="Q52" s="30">
        <f t="shared" si="3"/>
        <v>0.8764502810526316</v>
      </c>
    </row>
    <row r="53" spans="1:17" ht="84" customHeight="1">
      <c r="A53" s="35"/>
      <c r="B53" s="20"/>
      <c r="C53" s="15"/>
      <c r="D53" s="111" t="s">
        <v>19</v>
      </c>
      <c r="E53" s="111" t="s">
        <v>7</v>
      </c>
      <c r="F53" s="106" t="s">
        <v>20</v>
      </c>
      <c r="G53" s="24">
        <v>8000000</v>
      </c>
      <c r="H53" s="24"/>
      <c r="I53" s="24"/>
      <c r="J53" s="24"/>
      <c r="K53" s="24">
        <f t="shared" si="1"/>
        <v>8000000</v>
      </c>
      <c r="L53" s="24">
        <v>7840825.41</v>
      </c>
      <c r="M53" s="24"/>
      <c r="N53" s="24"/>
      <c r="O53" s="24"/>
      <c r="P53" s="24">
        <f t="shared" si="2"/>
        <v>7840825.41</v>
      </c>
      <c r="Q53" s="30">
        <f t="shared" si="3"/>
        <v>0.98010317625</v>
      </c>
    </row>
    <row r="54" spans="1:17" ht="57" customHeight="1">
      <c r="A54" s="15"/>
      <c r="B54" s="20"/>
      <c r="C54" s="15"/>
      <c r="D54" s="111" t="s">
        <v>59</v>
      </c>
      <c r="E54" s="111" t="s">
        <v>7</v>
      </c>
      <c r="F54" s="106" t="s">
        <v>60</v>
      </c>
      <c r="G54" s="24">
        <v>3800000</v>
      </c>
      <c r="H54" s="24"/>
      <c r="I54" s="24"/>
      <c r="J54" s="24"/>
      <c r="K54" s="24">
        <f t="shared" si="1"/>
        <v>3800000</v>
      </c>
      <c r="L54" s="24">
        <v>4995528.09</v>
      </c>
      <c r="M54" s="24"/>
      <c r="N54" s="24"/>
      <c r="O54" s="24"/>
      <c r="P54" s="24">
        <f t="shared" si="2"/>
        <v>4995528.09</v>
      </c>
      <c r="Q54" s="30">
        <f t="shared" si="3"/>
        <v>1.3146126552631578</v>
      </c>
    </row>
    <row r="55" spans="1:17" ht="48.75" customHeight="1">
      <c r="A55" s="15"/>
      <c r="B55" s="20"/>
      <c r="C55" s="15"/>
      <c r="D55" s="111" t="s">
        <v>42</v>
      </c>
      <c r="E55" s="111" t="s">
        <v>7</v>
      </c>
      <c r="F55" s="106" t="s">
        <v>43</v>
      </c>
      <c r="G55" s="24">
        <v>46243605</v>
      </c>
      <c r="H55" s="24"/>
      <c r="I55" s="24"/>
      <c r="J55" s="24"/>
      <c r="K55" s="24">
        <f t="shared" si="1"/>
        <v>46243605</v>
      </c>
      <c r="L55" s="24">
        <v>41486830.11</v>
      </c>
      <c r="M55" s="24"/>
      <c r="N55" s="24"/>
      <c r="O55" s="24"/>
      <c r="P55" s="24">
        <f t="shared" si="2"/>
        <v>41486830.11</v>
      </c>
      <c r="Q55" s="30">
        <f t="shared" si="3"/>
        <v>0.8971365902377204</v>
      </c>
    </row>
    <row r="56" spans="1:17" ht="12.75">
      <c r="A56" s="15"/>
      <c r="B56" s="20"/>
      <c r="C56" s="15"/>
      <c r="D56" s="125" t="s">
        <v>21</v>
      </c>
      <c r="E56" s="111">
        <v>0</v>
      </c>
      <c r="F56" s="106" t="s">
        <v>22</v>
      </c>
      <c r="G56" s="24"/>
      <c r="H56" s="24"/>
      <c r="I56" s="24"/>
      <c r="J56" s="24"/>
      <c r="K56" s="24">
        <f t="shared" si="1"/>
        <v>0</v>
      </c>
      <c r="L56" s="24">
        <v>33887.57</v>
      </c>
      <c r="M56" s="24"/>
      <c r="N56" s="24"/>
      <c r="O56" s="24"/>
      <c r="P56" s="24">
        <f t="shared" si="2"/>
        <v>33887.57</v>
      </c>
      <c r="Q56" s="30"/>
    </row>
    <row r="57" spans="1:17" ht="12.75">
      <c r="A57" s="15"/>
      <c r="B57" s="20"/>
      <c r="C57" s="15"/>
      <c r="D57" s="125" t="s">
        <v>23</v>
      </c>
      <c r="E57" s="111">
        <v>0</v>
      </c>
      <c r="F57" s="106" t="s">
        <v>24</v>
      </c>
      <c r="G57" s="24"/>
      <c r="H57" s="24"/>
      <c r="I57" s="24"/>
      <c r="J57" s="24"/>
      <c r="K57" s="24">
        <f t="shared" si="1"/>
        <v>0</v>
      </c>
      <c r="L57" s="24">
        <v>246344.18</v>
      </c>
      <c r="M57" s="24"/>
      <c r="N57" s="24"/>
      <c r="O57" s="24"/>
      <c r="P57" s="24">
        <f t="shared" si="2"/>
        <v>246344.18</v>
      </c>
      <c r="Q57" s="30"/>
    </row>
    <row r="58" spans="1:17" ht="60" customHeight="1">
      <c r="A58" s="15"/>
      <c r="B58" s="20"/>
      <c r="C58" s="15"/>
      <c r="D58" s="111" t="s">
        <v>61</v>
      </c>
      <c r="E58" s="111" t="s">
        <v>7</v>
      </c>
      <c r="F58" s="106" t="s">
        <v>62</v>
      </c>
      <c r="G58" s="24"/>
      <c r="H58" s="24"/>
      <c r="I58" s="24"/>
      <c r="J58" s="24">
        <v>13306631</v>
      </c>
      <c r="K58" s="24">
        <f t="shared" si="1"/>
        <v>13306631</v>
      </c>
      <c r="L58" s="24"/>
      <c r="M58" s="24"/>
      <c r="N58" s="24"/>
      <c r="O58" s="24">
        <v>13294001.21</v>
      </c>
      <c r="P58" s="24">
        <f t="shared" si="2"/>
        <v>13294001.21</v>
      </c>
      <c r="Q58" s="30">
        <f t="shared" si="3"/>
        <v>0.9990508649409456</v>
      </c>
    </row>
    <row r="59" spans="1:17" ht="66.75" customHeight="1">
      <c r="A59" s="15"/>
      <c r="B59" s="20"/>
      <c r="C59" s="15"/>
      <c r="D59" s="111" t="s">
        <v>63</v>
      </c>
      <c r="E59" s="111" t="s">
        <v>7</v>
      </c>
      <c r="F59" s="106" t="s">
        <v>64</v>
      </c>
      <c r="G59" s="24">
        <v>3367500</v>
      </c>
      <c r="H59" s="24"/>
      <c r="I59" s="24"/>
      <c r="J59" s="24"/>
      <c r="K59" s="24">
        <f t="shared" si="1"/>
        <v>3367500</v>
      </c>
      <c r="L59" s="24">
        <v>5506218.17</v>
      </c>
      <c r="M59" s="24"/>
      <c r="N59" s="24"/>
      <c r="O59" s="24"/>
      <c r="P59" s="24">
        <f t="shared" si="2"/>
        <v>5506218.17</v>
      </c>
      <c r="Q59" s="30">
        <f t="shared" si="3"/>
        <v>1.6351056184112842</v>
      </c>
    </row>
    <row r="60" spans="1:17" ht="12.75">
      <c r="A60" s="15"/>
      <c r="B60" s="16" t="s">
        <v>65</v>
      </c>
      <c r="C60" s="17"/>
      <c r="D60" s="123"/>
      <c r="E60" s="123"/>
      <c r="F60" s="107"/>
      <c r="G60" s="26">
        <f aca="true" t="shared" si="8" ref="G60:O60">SUM(G52:G59)</f>
        <v>70911105</v>
      </c>
      <c r="H60" s="26">
        <f t="shared" si="8"/>
        <v>0</v>
      </c>
      <c r="I60" s="26">
        <f t="shared" si="8"/>
        <v>0</v>
      </c>
      <c r="J60" s="26">
        <f t="shared" si="8"/>
        <v>13306631</v>
      </c>
      <c r="K60" s="26">
        <f t="shared" si="1"/>
        <v>84217736</v>
      </c>
      <c r="L60" s="26">
        <f t="shared" si="8"/>
        <v>68435911.2</v>
      </c>
      <c r="M60" s="26">
        <f t="shared" si="8"/>
        <v>0</v>
      </c>
      <c r="N60" s="26">
        <f t="shared" si="8"/>
        <v>0</v>
      </c>
      <c r="O60" s="26">
        <f t="shared" si="8"/>
        <v>13294001.21</v>
      </c>
      <c r="P60" s="26">
        <f t="shared" si="2"/>
        <v>81729912.41</v>
      </c>
      <c r="Q60" s="27">
        <f t="shared" si="3"/>
        <v>0.970459623968044</v>
      </c>
    </row>
    <row r="61" spans="1:17" ht="83.25" customHeight="1">
      <c r="A61" s="15"/>
      <c r="B61" s="13" t="s">
        <v>66</v>
      </c>
      <c r="C61" s="14" t="s">
        <v>50</v>
      </c>
      <c r="D61" s="111" t="s">
        <v>19</v>
      </c>
      <c r="E61" s="111" t="s">
        <v>7</v>
      </c>
      <c r="F61" s="106" t="s">
        <v>20</v>
      </c>
      <c r="G61" s="24">
        <v>3000000</v>
      </c>
      <c r="H61" s="24"/>
      <c r="I61" s="24"/>
      <c r="J61" s="24"/>
      <c r="K61" s="24">
        <f t="shared" si="1"/>
        <v>3000000</v>
      </c>
      <c r="L61" s="24">
        <v>2687001.03</v>
      </c>
      <c r="M61" s="24"/>
      <c r="N61" s="24"/>
      <c r="O61" s="24"/>
      <c r="P61" s="24">
        <f t="shared" si="2"/>
        <v>2687001.03</v>
      </c>
      <c r="Q61" s="30">
        <f t="shared" si="3"/>
        <v>0.8956670099999999</v>
      </c>
    </row>
    <row r="62" spans="1:17" ht="12.75">
      <c r="A62" s="15"/>
      <c r="B62" s="20"/>
      <c r="C62" s="15"/>
      <c r="D62" s="125" t="s">
        <v>23</v>
      </c>
      <c r="E62" s="111">
        <v>0</v>
      </c>
      <c r="F62" s="106" t="s">
        <v>24</v>
      </c>
      <c r="G62" s="24"/>
      <c r="H62" s="24"/>
      <c r="I62" s="24"/>
      <c r="J62" s="24"/>
      <c r="K62" s="24">
        <f t="shared" si="1"/>
        <v>0</v>
      </c>
      <c r="L62" s="24">
        <v>19714.14</v>
      </c>
      <c r="M62" s="24"/>
      <c r="N62" s="24"/>
      <c r="O62" s="24"/>
      <c r="P62" s="24">
        <f t="shared" si="2"/>
        <v>19714.14</v>
      </c>
      <c r="Q62" s="30"/>
    </row>
    <row r="63" spans="1:17" ht="12.75">
      <c r="A63" s="15"/>
      <c r="B63" s="16" t="s">
        <v>67</v>
      </c>
      <c r="C63" s="17"/>
      <c r="D63" s="123"/>
      <c r="E63" s="123"/>
      <c r="F63" s="107"/>
      <c r="G63" s="26">
        <f>SUM(G61)</f>
        <v>3000000</v>
      </c>
      <c r="H63" s="26">
        <f>SUM(H61)</f>
        <v>0</v>
      </c>
      <c r="I63" s="26">
        <f>SUM(I61)</f>
        <v>0</v>
      </c>
      <c r="J63" s="26">
        <f>SUM(J61)</f>
        <v>0</v>
      </c>
      <c r="K63" s="26">
        <f t="shared" si="1"/>
        <v>3000000</v>
      </c>
      <c r="L63" s="26">
        <f>SUM(L61:L62)</f>
        <v>2706715.17</v>
      </c>
      <c r="M63" s="26">
        <f>SUM(M61:M62)</f>
        <v>0</v>
      </c>
      <c r="N63" s="26">
        <f>SUM(N61:N62)</f>
        <v>0</v>
      </c>
      <c r="O63" s="26">
        <f>SUM(O61:O62)</f>
        <v>0</v>
      </c>
      <c r="P63" s="26">
        <f t="shared" si="2"/>
        <v>2706715.17</v>
      </c>
      <c r="Q63" s="27">
        <f t="shared" si="3"/>
        <v>0.90223839</v>
      </c>
    </row>
    <row r="64" spans="1:17" ht="12.75">
      <c r="A64" s="18" t="s">
        <v>68</v>
      </c>
      <c r="B64" s="19"/>
      <c r="C64" s="19"/>
      <c r="D64" s="124"/>
      <c r="E64" s="124"/>
      <c r="F64" s="108"/>
      <c r="G64" s="28">
        <f>SUM(G63,G60)</f>
        <v>73911105</v>
      </c>
      <c r="H64" s="28">
        <f>SUM(H63,H60)</f>
        <v>0</v>
      </c>
      <c r="I64" s="28">
        <f>SUM(I63,I60)</f>
        <v>0</v>
      </c>
      <c r="J64" s="28">
        <f>SUM(J63,J60)</f>
        <v>13306631</v>
      </c>
      <c r="K64" s="28">
        <f t="shared" si="1"/>
        <v>87217736</v>
      </c>
      <c r="L64" s="28">
        <f>SUM(L63,L60,L51)</f>
        <v>71156235.88000001</v>
      </c>
      <c r="M64" s="28">
        <f>SUM(M63,M60,M51)</f>
        <v>0</v>
      </c>
      <c r="N64" s="28">
        <f>SUM(N63,N60,N51)</f>
        <v>0</v>
      </c>
      <c r="O64" s="28">
        <f>SUM(O63,O60,O51)</f>
        <v>13294001.21</v>
      </c>
      <c r="P64" s="28">
        <f t="shared" si="2"/>
        <v>84450237.09</v>
      </c>
      <c r="Q64" s="29">
        <f t="shared" si="3"/>
        <v>0.9682690810731432</v>
      </c>
    </row>
    <row r="65" spans="1:17" s="39" customFormat="1" ht="40.5" customHeight="1">
      <c r="A65" s="157" t="s">
        <v>332</v>
      </c>
      <c r="B65" s="13" t="s">
        <v>69</v>
      </c>
      <c r="C65" s="133" t="s">
        <v>70</v>
      </c>
      <c r="D65" s="120" t="s">
        <v>25</v>
      </c>
      <c r="E65" s="121">
        <v>0</v>
      </c>
      <c r="F65" s="106" t="s">
        <v>26</v>
      </c>
      <c r="G65" s="52"/>
      <c r="H65" s="52"/>
      <c r="I65" s="52"/>
      <c r="J65" s="52"/>
      <c r="K65" s="52">
        <f t="shared" si="1"/>
        <v>0</v>
      </c>
      <c r="L65" s="45">
        <v>558</v>
      </c>
      <c r="M65" s="45"/>
      <c r="N65" s="45"/>
      <c r="O65" s="45"/>
      <c r="P65" s="24">
        <f t="shared" si="2"/>
        <v>558</v>
      </c>
      <c r="Q65" s="53"/>
    </row>
    <row r="66" spans="1:17" ht="107.25" hidden="1">
      <c r="A66" s="158"/>
      <c r="B66" s="60"/>
      <c r="C66" s="135"/>
      <c r="D66" s="111" t="s">
        <v>27</v>
      </c>
      <c r="E66" s="111" t="s">
        <v>28</v>
      </c>
      <c r="F66" s="106" t="s">
        <v>29</v>
      </c>
      <c r="G66" s="24">
        <v>0</v>
      </c>
      <c r="H66" s="24"/>
      <c r="I66" s="24"/>
      <c r="J66" s="24"/>
      <c r="K66" s="24">
        <f t="shared" si="1"/>
        <v>0</v>
      </c>
      <c r="L66" s="24"/>
      <c r="M66" s="24"/>
      <c r="N66" s="24"/>
      <c r="O66" s="24"/>
      <c r="P66" s="24">
        <f t="shared" si="2"/>
        <v>0</v>
      </c>
      <c r="Q66" s="30" t="e">
        <f t="shared" si="3"/>
        <v>#DIV/0!</v>
      </c>
    </row>
    <row r="67" spans="1:17" ht="12.75">
      <c r="A67" s="15"/>
      <c r="B67" s="16" t="s">
        <v>71</v>
      </c>
      <c r="C67" s="17"/>
      <c r="D67" s="123"/>
      <c r="E67" s="123"/>
      <c r="F67" s="107"/>
      <c r="G67" s="26">
        <f>SUM(G66)</f>
        <v>0</v>
      </c>
      <c r="H67" s="26">
        <f>SUM(H66)</f>
        <v>0</v>
      </c>
      <c r="I67" s="26">
        <f>SUM(I66)</f>
        <v>0</v>
      </c>
      <c r="J67" s="26">
        <f>SUM(J66)</f>
        <v>0</v>
      </c>
      <c r="K67" s="26">
        <f t="shared" si="1"/>
        <v>0</v>
      </c>
      <c r="L67" s="66">
        <f>SUM(L65:L66)</f>
        <v>558</v>
      </c>
      <c r="M67" s="66">
        <f>SUM(M65:M66)</f>
        <v>0</v>
      </c>
      <c r="N67" s="66">
        <f>SUM(N65:N66)</f>
        <v>0</v>
      </c>
      <c r="O67" s="66">
        <f>SUM(O65:O66)</f>
        <v>0</v>
      </c>
      <c r="P67" s="66">
        <f t="shared" si="2"/>
        <v>558</v>
      </c>
      <c r="Q67" s="27"/>
    </row>
    <row r="68" spans="1:17" ht="58.5">
      <c r="A68" s="15"/>
      <c r="B68" s="13" t="s">
        <v>72</v>
      </c>
      <c r="C68" s="14" t="s">
        <v>73</v>
      </c>
      <c r="D68" s="111" t="s">
        <v>61</v>
      </c>
      <c r="E68" s="111" t="s">
        <v>7</v>
      </c>
      <c r="F68" s="106" t="s">
        <v>62</v>
      </c>
      <c r="G68" s="24"/>
      <c r="H68" s="24"/>
      <c r="I68" s="24"/>
      <c r="J68" s="24">
        <v>95000</v>
      </c>
      <c r="K68" s="24">
        <f t="shared" si="1"/>
        <v>95000</v>
      </c>
      <c r="L68" s="24"/>
      <c r="M68" s="24"/>
      <c r="N68" s="24"/>
      <c r="O68" s="24">
        <v>95000</v>
      </c>
      <c r="P68" s="24">
        <f t="shared" si="2"/>
        <v>95000</v>
      </c>
      <c r="Q68" s="30">
        <f t="shared" si="3"/>
        <v>1</v>
      </c>
    </row>
    <row r="69" spans="1:17" ht="12.75">
      <c r="A69" s="15"/>
      <c r="B69" s="16" t="s">
        <v>74</v>
      </c>
      <c r="C69" s="17"/>
      <c r="D69" s="123"/>
      <c r="E69" s="123"/>
      <c r="F69" s="107"/>
      <c r="G69" s="26">
        <f aca="true" t="shared" si="9" ref="G69:O69">SUM(G68)</f>
        <v>0</v>
      </c>
      <c r="H69" s="26">
        <f t="shared" si="9"/>
        <v>0</v>
      </c>
      <c r="I69" s="26">
        <f t="shared" si="9"/>
        <v>0</v>
      </c>
      <c r="J69" s="26">
        <f t="shared" si="9"/>
        <v>95000</v>
      </c>
      <c r="K69" s="26">
        <f t="shared" si="1"/>
        <v>95000</v>
      </c>
      <c r="L69" s="26">
        <f t="shared" si="9"/>
        <v>0</v>
      </c>
      <c r="M69" s="26">
        <f t="shared" si="9"/>
        <v>0</v>
      </c>
      <c r="N69" s="26">
        <f t="shared" si="9"/>
        <v>0</v>
      </c>
      <c r="O69" s="26">
        <f t="shared" si="9"/>
        <v>95000</v>
      </c>
      <c r="P69" s="26">
        <f aca="true" t="shared" si="10" ref="P69:P132">SUM(L69:O69)</f>
        <v>95000</v>
      </c>
      <c r="Q69" s="27">
        <f t="shared" si="3"/>
        <v>1</v>
      </c>
    </row>
    <row r="70" spans="1:17" ht="12.75">
      <c r="A70" s="15"/>
      <c r="B70" s="13" t="s">
        <v>75</v>
      </c>
      <c r="C70" s="133" t="s">
        <v>76</v>
      </c>
      <c r="D70" s="111" t="s">
        <v>21</v>
      </c>
      <c r="E70" s="111" t="s">
        <v>7</v>
      </c>
      <c r="F70" s="106" t="s">
        <v>22</v>
      </c>
      <c r="G70" s="24">
        <v>800000</v>
      </c>
      <c r="H70" s="24"/>
      <c r="I70" s="24"/>
      <c r="J70" s="24"/>
      <c r="K70" s="24">
        <f t="shared" si="1"/>
        <v>800000</v>
      </c>
      <c r="L70" s="24">
        <v>984196.57</v>
      </c>
      <c r="M70" s="24"/>
      <c r="N70" s="24"/>
      <c r="O70" s="24"/>
      <c r="P70" s="24">
        <f t="shared" si="10"/>
        <v>984196.57</v>
      </c>
      <c r="Q70" s="30">
        <f t="shared" si="3"/>
        <v>1.2302457125</v>
      </c>
    </row>
    <row r="71" spans="1:17" ht="12.75">
      <c r="A71" s="15"/>
      <c r="B71" s="20"/>
      <c r="C71" s="134"/>
      <c r="D71" s="111" t="s">
        <v>23</v>
      </c>
      <c r="E71" s="111" t="s">
        <v>7</v>
      </c>
      <c r="F71" s="106" t="s">
        <v>24</v>
      </c>
      <c r="G71" s="24">
        <v>1000</v>
      </c>
      <c r="H71" s="24"/>
      <c r="I71" s="24"/>
      <c r="J71" s="24"/>
      <c r="K71" s="24">
        <f t="shared" si="1"/>
        <v>1000</v>
      </c>
      <c r="L71" s="24">
        <v>621.11</v>
      </c>
      <c r="M71" s="24"/>
      <c r="N71" s="24"/>
      <c r="O71" s="24"/>
      <c r="P71" s="24">
        <f t="shared" si="10"/>
        <v>621.11</v>
      </c>
      <c r="Q71" s="30">
        <f t="shared" si="3"/>
        <v>0.62111</v>
      </c>
    </row>
    <row r="72" spans="1:17" ht="58.5">
      <c r="A72" s="15"/>
      <c r="B72" s="20"/>
      <c r="C72" s="135"/>
      <c r="D72" s="111" t="s">
        <v>61</v>
      </c>
      <c r="E72" s="111" t="s">
        <v>7</v>
      </c>
      <c r="F72" s="106" t="s">
        <v>62</v>
      </c>
      <c r="G72" s="24"/>
      <c r="H72" s="24"/>
      <c r="I72" s="24"/>
      <c r="J72" s="24">
        <v>38000</v>
      </c>
      <c r="K72" s="24">
        <f aca="true" t="shared" si="11" ref="K72:K142">SUM(G72:J72)</f>
        <v>38000</v>
      </c>
      <c r="L72" s="24"/>
      <c r="M72" s="24"/>
      <c r="N72" s="24"/>
      <c r="O72" s="24">
        <v>38000</v>
      </c>
      <c r="P72" s="24">
        <f t="shared" si="10"/>
        <v>38000</v>
      </c>
      <c r="Q72" s="30">
        <f t="shared" si="3"/>
        <v>1</v>
      </c>
    </row>
    <row r="73" spans="1:17" ht="12.75">
      <c r="A73" s="15"/>
      <c r="B73" s="16" t="s">
        <v>77</v>
      </c>
      <c r="C73" s="17"/>
      <c r="D73" s="123"/>
      <c r="E73" s="123"/>
      <c r="F73" s="107"/>
      <c r="G73" s="26">
        <f aca="true" t="shared" si="12" ref="G73:O73">SUM(G70:G72)</f>
        <v>801000</v>
      </c>
      <c r="H73" s="26">
        <f t="shared" si="12"/>
        <v>0</v>
      </c>
      <c r="I73" s="26">
        <f t="shared" si="12"/>
        <v>0</v>
      </c>
      <c r="J73" s="26">
        <f t="shared" si="12"/>
        <v>38000</v>
      </c>
      <c r="K73" s="26">
        <f t="shared" si="11"/>
        <v>839000</v>
      </c>
      <c r="L73" s="26">
        <f t="shared" si="12"/>
        <v>984817.6799999999</v>
      </c>
      <c r="M73" s="26">
        <f t="shared" si="12"/>
        <v>0</v>
      </c>
      <c r="N73" s="26">
        <f t="shared" si="12"/>
        <v>0</v>
      </c>
      <c r="O73" s="26">
        <f t="shared" si="12"/>
        <v>38000</v>
      </c>
      <c r="P73" s="26">
        <f t="shared" si="10"/>
        <v>1022817.6799999999</v>
      </c>
      <c r="Q73" s="27">
        <f t="shared" si="3"/>
        <v>1.2190913945172823</v>
      </c>
    </row>
    <row r="74" spans="1:17" ht="58.5">
      <c r="A74" s="15"/>
      <c r="B74" s="13" t="s">
        <v>78</v>
      </c>
      <c r="C74" s="14" t="s">
        <v>79</v>
      </c>
      <c r="D74" s="111" t="s">
        <v>61</v>
      </c>
      <c r="E74" s="111" t="s">
        <v>7</v>
      </c>
      <c r="F74" s="106" t="s">
        <v>62</v>
      </c>
      <c r="G74" s="24"/>
      <c r="H74" s="24"/>
      <c r="I74" s="24"/>
      <c r="J74" s="24">
        <v>822384</v>
      </c>
      <c r="K74" s="24">
        <f t="shared" si="11"/>
        <v>822384</v>
      </c>
      <c r="L74" s="24"/>
      <c r="M74" s="24"/>
      <c r="N74" s="24"/>
      <c r="O74" s="24">
        <v>822184.6</v>
      </c>
      <c r="P74" s="24">
        <f t="shared" si="10"/>
        <v>822184.6</v>
      </c>
      <c r="Q74" s="30">
        <f t="shared" si="3"/>
        <v>0.9997575341932722</v>
      </c>
    </row>
    <row r="75" spans="1:17" ht="68.25">
      <c r="A75" s="15"/>
      <c r="B75" s="20"/>
      <c r="C75" s="15"/>
      <c r="D75" s="111" t="s">
        <v>63</v>
      </c>
      <c r="E75" s="111" t="s">
        <v>7</v>
      </c>
      <c r="F75" s="106" t="s">
        <v>64</v>
      </c>
      <c r="G75" s="24">
        <v>400</v>
      </c>
      <c r="H75" s="24"/>
      <c r="I75" s="24"/>
      <c r="J75" s="24"/>
      <c r="K75" s="24">
        <f t="shared" si="11"/>
        <v>400</v>
      </c>
      <c r="L75" s="24">
        <v>131.61</v>
      </c>
      <c r="M75" s="24"/>
      <c r="N75" s="24"/>
      <c r="O75" s="24"/>
      <c r="P75" s="24">
        <f t="shared" si="10"/>
        <v>131.61</v>
      </c>
      <c r="Q75" s="30">
        <f t="shared" si="3"/>
        <v>0.329025</v>
      </c>
    </row>
    <row r="76" spans="1:17" ht="12.75">
      <c r="A76" s="15"/>
      <c r="B76" s="16" t="s">
        <v>80</v>
      </c>
      <c r="C76" s="17"/>
      <c r="D76" s="123"/>
      <c r="E76" s="123"/>
      <c r="F76" s="107"/>
      <c r="G76" s="26">
        <f aca="true" t="shared" si="13" ref="G76:O76">SUM(G74:G75)</f>
        <v>400</v>
      </c>
      <c r="H76" s="26">
        <f t="shared" si="13"/>
        <v>0</v>
      </c>
      <c r="I76" s="26">
        <f t="shared" si="13"/>
        <v>0</v>
      </c>
      <c r="J76" s="26">
        <f t="shared" si="13"/>
        <v>822384</v>
      </c>
      <c r="K76" s="26">
        <f t="shared" si="11"/>
        <v>822784</v>
      </c>
      <c r="L76" s="26">
        <f t="shared" si="13"/>
        <v>131.61</v>
      </c>
      <c r="M76" s="26">
        <f t="shared" si="13"/>
        <v>0</v>
      </c>
      <c r="N76" s="26">
        <f t="shared" si="13"/>
        <v>0</v>
      </c>
      <c r="O76" s="26">
        <f t="shared" si="13"/>
        <v>822184.6</v>
      </c>
      <c r="P76" s="26">
        <f t="shared" si="10"/>
        <v>822316.21</v>
      </c>
      <c r="Q76" s="27">
        <f t="shared" si="3"/>
        <v>0.9994314546709707</v>
      </c>
    </row>
    <row r="77" spans="1:17" ht="12.75">
      <c r="A77" s="15"/>
      <c r="B77" s="13">
        <v>71035</v>
      </c>
      <c r="C77" s="100" t="s">
        <v>81</v>
      </c>
      <c r="D77" s="125" t="s">
        <v>23</v>
      </c>
      <c r="E77" s="111">
        <v>0</v>
      </c>
      <c r="F77" s="106" t="s">
        <v>24</v>
      </c>
      <c r="G77" s="24"/>
      <c r="H77" s="24"/>
      <c r="I77" s="24"/>
      <c r="J77" s="24"/>
      <c r="K77" s="24">
        <f t="shared" si="11"/>
        <v>0</v>
      </c>
      <c r="L77" s="24">
        <v>517.52</v>
      </c>
      <c r="M77" s="24"/>
      <c r="N77" s="24"/>
      <c r="O77" s="24"/>
      <c r="P77" s="24">
        <f t="shared" si="10"/>
        <v>517.52</v>
      </c>
      <c r="Q77" s="30"/>
    </row>
    <row r="78" spans="1:17" ht="58.5">
      <c r="A78" s="15"/>
      <c r="B78" s="62"/>
      <c r="C78" s="63"/>
      <c r="D78" s="111" t="s">
        <v>82</v>
      </c>
      <c r="E78" s="111" t="s">
        <v>7</v>
      </c>
      <c r="F78" s="106" t="s">
        <v>83</v>
      </c>
      <c r="G78" s="24"/>
      <c r="H78" s="24">
        <v>47000</v>
      </c>
      <c r="I78" s="24"/>
      <c r="J78" s="24"/>
      <c r="K78" s="24">
        <f t="shared" si="11"/>
        <v>47000</v>
      </c>
      <c r="L78" s="24"/>
      <c r="M78" s="24">
        <v>46946.8</v>
      </c>
      <c r="N78" s="24"/>
      <c r="O78" s="24"/>
      <c r="P78" s="24">
        <f t="shared" si="10"/>
        <v>46946.8</v>
      </c>
      <c r="Q78" s="30">
        <f t="shared" si="3"/>
        <v>0.998868085106383</v>
      </c>
    </row>
    <row r="79" spans="1:17" ht="12.75">
      <c r="A79" s="15"/>
      <c r="B79" s="67" t="s">
        <v>84</v>
      </c>
      <c r="C79" s="68"/>
      <c r="D79" s="123"/>
      <c r="E79" s="123"/>
      <c r="F79" s="112"/>
      <c r="G79" s="26">
        <f>SUM(G78)</f>
        <v>0</v>
      </c>
      <c r="H79" s="26">
        <f>SUM(H78)</f>
        <v>47000</v>
      </c>
      <c r="I79" s="26">
        <f>SUM(I78)</f>
        <v>0</v>
      </c>
      <c r="J79" s="26">
        <f>SUM(J78)</f>
        <v>0</v>
      </c>
      <c r="K79" s="26">
        <f t="shared" si="11"/>
        <v>47000</v>
      </c>
      <c r="L79" s="26">
        <f>SUM(L77:L78)</f>
        <v>517.52</v>
      </c>
      <c r="M79" s="26">
        <f>SUM(M77:M78)</f>
        <v>46946.8</v>
      </c>
      <c r="N79" s="26">
        <f>SUM(N77:N78)</f>
        <v>0</v>
      </c>
      <c r="O79" s="26">
        <f>SUM(O77:O78)</f>
        <v>0</v>
      </c>
      <c r="P79" s="26">
        <f t="shared" si="10"/>
        <v>47464.32</v>
      </c>
      <c r="Q79" s="27">
        <f t="shared" si="3"/>
        <v>1.0098791489361703</v>
      </c>
    </row>
    <row r="80" spans="1:17" s="39" customFormat="1" ht="29.25">
      <c r="A80" s="38"/>
      <c r="B80" s="37">
        <v>71095</v>
      </c>
      <c r="C80" s="63" t="s">
        <v>5</v>
      </c>
      <c r="D80" s="111" t="s">
        <v>36</v>
      </c>
      <c r="E80" s="111" t="s">
        <v>7</v>
      </c>
      <c r="F80" s="113" t="s">
        <v>37</v>
      </c>
      <c r="G80" s="49"/>
      <c r="H80" s="49"/>
      <c r="I80" s="49"/>
      <c r="J80" s="49"/>
      <c r="K80" s="45">
        <f t="shared" si="11"/>
        <v>0</v>
      </c>
      <c r="L80" s="45">
        <v>2077.36</v>
      </c>
      <c r="M80" s="45"/>
      <c r="N80" s="45"/>
      <c r="O80" s="45"/>
      <c r="P80" s="24">
        <f t="shared" si="10"/>
        <v>2077.36</v>
      </c>
      <c r="Q80" s="50"/>
    </row>
    <row r="81" spans="1:17" s="39" customFormat="1" ht="48.75">
      <c r="A81" s="38"/>
      <c r="B81" s="62"/>
      <c r="C81" s="63"/>
      <c r="D81" s="111" t="s">
        <v>38</v>
      </c>
      <c r="E81" s="111" t="s">
        <v>7</v>
      </c>
      <c r="F81" s="106" t="s">
        <v>39</v>
      </c>
      <c r="G81" s="49"/>
      <c r="H81" s="49"/>
      <c r="I81" s="49"/>
      <c r="J81" s="49"/>
      <c r="K81" s="45">
        <f t="shared" si="11"/>
        <v>0</v>
      </c>
      <c r="L81" s="45">
        <v>9930.79</v>
      </c>
      <c r="M81" s="45"/>
      <c r="N81" s="45"/>
      <c r="O81" s="45"/>
      <c r="P81" s="24">
        <f t="shared" si="10"/>
        <v>9930.79</v>
      </c>
      <c r="Q81" s="50"/>
    </row>
    <row r="82" spans="1:17" ht="81.75" customHeight="1">
      <c r="A82" s="15"/>
      <c r="B82" s="64"/>
      <c r="C82" s="65"/>
      <c r="D82" s="111" t="s">
        <v>19</v>
      </c>
      <c r="E82" s="111" t="s">
        <v>7</v>
      </c>
      <c r="F82" s="106" t="s">
        <v>20</v>
      </c>
      <c r="G82" s="24">
        <v>9294584</v>
      </c>
      <c r="H82" s="24"/>
      <c r="I82" s="24"/>
      <c r="J82" s="24"/>
      <c r="K82" s="24">
        <f t="shared" si="11"/>
        <v>9294584</v>
      </c>
      <c r="L82" s="24">
        <v>5571365.88</v>
      </c>
      <c r="M82" s="24"/>
      <c r="N82" s="24"/>
      <c r="O82" s="24"/>
      <c r="P82" s="24">
        <f t="shared" si="10"/>
        <v>5571365.88</v>
      </c>
      <c r="Q82" s="30">
        <f t="shared" si="3"/>
        <v>0.5994206819799573</v>
      </c>
    </row>
    <row r="83" spans="1:17" ht="12.75">
      <c r="A83" s="15"/>
      <c r="B83" s="20"/>
      <c r="C83" s="15"/>
      <c r="D83" s="111" t="s">
        <v>21</v>
      </c>
      <c r="E83" s="111" t="s">
        <v>7</v>
      </c>
      <c r="F83" s="106" t="s">
        <v>22</v>
      </c>
      <c r="G83" s="24">
        <v>4210311</v>
      </c>
      <c r="H83" s="24"/>
      <c r="I83" s="24"/>
      <c r="J83" s="24"/>
      <c r="K83" s="24">
        <f t="shared" si="11"/>
        <v>4210311</v>
      </c>
      <c r="L83" s="24">
        <v>1989400.95</v>
      </c>
      <c r="M83" s="24"/>
      <c r="N83" s="24"/>
      <c r="O83" s="24"/>
      <c r="P83" s="24">
        <f t="shared" si="10"/>
        <v>1989400.95</v>
      </c>
      <c r="Q83" s="30">
        <f t="shared" si="3"/>
        <v>0.4725068884460079</v>
      </c>
    </row>
    <row r="84" spans="1:17" ht="12.75">
      <c r="A84" s="15"/>
      <c r="B84" s="20"/>
      <c r="C84" s="15"/>
      <c r="D84" s="125" t="s">
        <v>23</v>
      </c>
      <c r="E84" s="111">
        <v>0</v>
      </c>
      <c r="F84" s="106" t="s">
        <v>24</v>
      </c>
      <c r="G84" s="24"/>
      <c r="H84" s="24"/>
      <c r="I84" s="24"/>
      <c r="J84" s="24"/>
      <c r="K84" s="24">
        <f t="shared" si="11"/>
        <v>0</v>
      </c>
      <c r="L84" s="24">
        <v>44396.81</v>
      </c>
      <c r="M84" s="24"/>
      <c r="N84" s="24"/>
      <c r="O84" s="24"/>
      <c r="P84" s="24">
        <f t="shared" si="10"/>
        <v>44396.81</v>
      </c>
      <c r="Q84" s="30"/>
    </row>
    <row r="85" spans="1:17" ht="19.5">
      <c r="A85" s="15"/>
      <c r="B85" s="20"/>
      <c r="C85" s="15"/>
      <c r="D85" s="111" t="s">
        <v>25</v>
      </c>
      <c r="E85" s="111" t="s">
        <v>7</v>
      </c>
      <c r="F85" s="106" t="s">
        <v>26</v>
      </c>
      <c r="G85" s="24">
        <v>2062431</v>
      </c>
      <c r="H85" s="24"/>
      <c r="I85" s="24"/>
      <c r="J85" s="24"/>
      <c r="K85" s="24">
        <f t="shared" si="11"/>
        <v>2062431</v>
      </c>
      <c r="L85" s="24">
        <v>1149426.69</v>
      </c>
      <c r="M85" s="24"/>
      <c r="N85" s="24"/>
      <c r="O85" s="24"/>
      <c r="P85" s="24">
        <f t="shared" si="10"/>
        <v>1149426.69</v>
      </c>
      <c r="Q85" s="30">
        <f>P85/K85</f>
        <v>0.5573164338588782</v>
      </c>
    </row>
    <row r="86" spans="1:17" ht="12.75">
      <c r="A86" s="15"/>
      <c r="B86" s="20"/>
      <c r="C86" s="15"/>
      <c r="D86" s="111">
        <v>151</v>
      </c>
      <c r="E86" s="111">
        <v>0</v>
      </c>
      <c r="F86" s="106" t="s">
        <v>414</v>
      </c>
      <c r="G86" s="24"/>
      <c r="H86" s="24"/>
      <c r="I86" s="24"/>
      <c r="J86" s="24"/>
      <c r="K86" s="24"/>
      <c r="L86" s="24">
        <v>233.1</v>
      </c>
      <c r="M86" s="24"/>
      <c r="N86" s="24"/>
      <c r="O86" s="24"/>
      <c r="P86" s="24">
        <f t="shared" si="10"/>
        <v>233.1</v>
      </c>
      <c r="Q86" s="30"/>
    </row>
    <row r="87" spans="1:17" ht="75.75" customHeight="1">
      <c r="A87" s="15"/>
      <c r="B87" s="20"/>
      <c r="C87" s="15"/>
      <c r="D87" s="111">
        <v>246</v>
      </c>
      <c r="E87" s="111">
        <v>0</v>
      </c>
      <c r="F87" s="106" t="s">
        <v>394</v>
      </c>
      <c r="G87" s="24">
        <v>23500</v>
      </c>
      <c r="H87" s="24"/>
      <c r="I87" s="24"/>
      <c r="J87" s="24"/>
      <c r="K87" s="24">
        <f t="shared" si="11"/>
        <v>23500</v>
      </c>
      <c r="L87" s="24">
        <v>23500</v>
      </c>
      <c r="M87" s="24"/>
      <c r="N87" s="24"/>
      <c r="O87" s="24"/>
      <c r="P87" s="24">
        <f t="shared" si="10"/>
        <v>23500</v>
      </c>
      <c r="Q87" s="30">
        <f>P87/K87</f>
        <v>1</v>
      </c>
    </row>
    <row r="88" spans="1:17" ht="42" customHeight="1">
      <c r="A88" s="15"/>
      <c r="B88" s="20"/>
      <c r="C88" s="15"/>
      <c r="D88" s="160">
        <v>270</v>
      </c>
      <c r="E88" s="111" t="s">
        <v>28</v>
      </c>
      <c r="F88" s="130" t="s">
        <v>52</v>
      </c>
      <c r="G88" s="24">
        <v>1327038</v>
      </c>
      <c r="H88" s="24"/>
      <c r="I88" s="24"/>
      <c r="J88" s="24"/>
      <c r="K88" s="24">
        <f t="shared" si="11"/>
        <v>1327038</v>
      </c>
      <c r="L88" s="24">
        <f>868980.17+831.54</f>
        <v>869811.7100000001</v>
      </c>
      <c r="M88" s="24"/>
      <c r="N88" s="24"/>
      <c r="O88" s="24"/>
      <c r="P88" s="24">
        <f t="shared" si="10"/>
        <v>869811.7100000001</v>
      </c>
      <c r="Q88" s="30">
        <f t="shared" si="3"/>
        <v>0.6554535062296634</v>
      </c>
    </row>
    <row r="89" spans="1:17" ht="32.25" customHeight="1">
      <c r="A89" s="15"/>
      <c r="B89" s="20"/>
      <c r="C89" s="15"/>
      <c r="D89" s="161"/>
      <c r="E89" s="111" t="s">
        <v>85</v>
      </c>
      <c r="F89" s="131"/>
      <c r="G89" s="24">
        <v>15694</v>
      </c>
      <c r="H89" s="24"/>
      <c r="I89" s="24"/>
      <c r="J89" s="24"/>
      <c r="K89" s="24">
        <f t="shared" si="11"/>
        <v>15694</v>
      </c>
      <c r="L89" s="24">
        <v>15126.44</v>
      </c>
      <c r="M89" s="24"/>
      <c r="N89" s="24"/>
      <c r="O89" s="24"/>
      <c r="P89" s="24">
        <f t="shared" si="10"/>
        <v>15126.44</v>
      </c>
      <c r="Q89" s="30">
        <f t="shared" si="3"/>
        <v>0.963835860838537</v>
      </c>
    </row>
    <row r="90" spans="1:17" ht="105.75" customHeight="1">
      <c r="A90" s="15"/>
      <c r="B90" s="20"/>
      <c r="C90" s="15"/>
      <c r="D90" s="111">
        <v>291</v>
      </c>
      <c r="E90" s="111">
        <v>0</v>
      </c>
      <c r="F90" s="106" t="s">
        <v>346</v>
      </c>
      <c r="G90" s="24"/>
      <c r="H90" s="24"/>
      <c r="I90" s="24"/>
      <c r="J90" s="24"/>
      <c r="K90" s="24">
        <f t="shared" si="11"/>
        <v>0</v>
      </c>
      <c r="L90" s="24">
        <v>6.8</v>
      </c>
      <c r="M90" s="24">
        <v>31344.13</v>
      </c>
      <c r="N90" s="24"/>
      <c r="O90" s="24"/>
      <c r="P90" s="24">
        <f t="shared" si="10"/>
        <v>31350.93</v>
      </c>
      <c r="Q90" s="30"/>
    </row>
    <row r="91" spans="1:17" ht="47.25" customHeight="1">
      <c r="A91" s="15"/>
      <c r="B91" s="20"/>
      <c r="C91" s="15"/>
      <c r="D91" s="111" t="s">
        <v>44</v>
      </c>
      <c r="E91" s="111" t="s">
        <v>28</v>
      </c>
      <c r="F91" s="130" t="s">
        <v>45</v>
      </c>
      <c r="G91" s="24">
        <v>23395618</v>
      </c>
      <c r="H91" s="24"/>
      <c r="I91" s="24"/>
      <c r="J91" s="24"/>
      <c r="K91" s="24">
        <f t="shared" si="11"/>
        <v>23395618</v>
      </c>
      <c r="L91" s="24">
        <v>22175885.45</v>
      </c>
      <c r="M91" s="24"/>
      <c r="N91" s="24"/>
      <c r="O91" s="24"/>
      <c r="P91" s="24">
        <f t="shared" si="10"/>
        <v>22175885.45</v>
      </c>
      <c r="Q91" s="30">
        <f t="shared" si="3"/>
        <v>0.9478649142758272</v>
      </c>
    </row>
    <row r="92" spans="1:17" ht="40.5" customHeight="1">
      <c r="A92" s="15"/>
      <c r="B92" s="20"/>
      <c r="C92" s="15"/>
      <c r="D92" s="111"/>
      <c r="E92" s="111" t="s">
        <v>85</v>
      </c>
      <c r="F92" s="131"/>
      <c r="G92" s="24">
        <v>3324193</v>
      </c>
      <c r="H92" s="24"/>
      <c r="I92" s="24"/>
      <c r="J92" s="24"/>
      <c r="K92" s="24">
        <f t="shared" si="11"/>
        <v>3324193</v>
      </c>
      <c r="L92" s="24">
        <v>3027238.21</v>
      </c>
      <c r="M92" s="24"/>
      <c r="N92" s="24"/>
      <c r="O92" s="24"/>
      <c r="P92" s="24">
        <f t="shared" si="10"/>
        <v>3027238.21</v>
      </c>
      <c r="Q92" s="30">
        <f t="shared" si="3"/>
        <v>0.9106686073883195</v>
      </c>
    </row>
    <row r="93" spans="1:17" ht="12.75">
      <c r="A93" s="15"/>
      <c r="B93" s="16" t="s">
        <v>86</v>
      </c>
      <c r="C93" s="17"/>
      <c r="D93" s="123"/>
      <c r="E93" s="123"/>
      <c r="F93" s="107"/>
      <c r="G93" s="26">
        <f>SUM(G82:G92)</f>
        <v>43653369</v>
      </c>
      <c r="H93" s="26">
        <f>SUM(H82:H92)</f>
        <v>0</v>
      </c>
      <c r="I93" s="26">
        <f>SUM(I82:I92)</f>
        <v>0</v>
      </c>
      <c r="J93" s="26">
        <f>SUM(J82:J92)</f>
        <v>0</v>
      </c>
      <c r="K93" s="26">
        <f t="shared" si="11"/>
        <v>43653369</v>
      </c>
      <c r="L93" s="26">
        <f>SUM(L80:L92)</f>
        <v>34878400.19</v>
      </c>
      <c r="M93" s="26">
        <f>SUM(M80:M92)</f>
        <v>31344.13</v>
      </c>
      <c r="N93" s="26">
        <f>SUM(N80:N92)</f>
        <v>0</v>
      </c>
      <c r="O93" s="26">
        <f>SUM(O80:O92)</f>
        <v>0</v>
      </c>
      <c r="P93" s="26">
        <f t="shared" si="10"/>
        <v>34909744.32</v>
      </c>
      <c r="Q93" s="27">
        <f t="shared" si="3"/>
        <v>0.7997033246162513</v>
      </c>
    </row>
    <row r="94" spans="1:17" ht="12.75">
      <c r="A94" s="18" t="s">
        <v>87</v>
      </c>
      <c r="B94" s="19"/>
      <c r="C94" s="19"/>
      <c r="D94" s="124"/>
      <c r="E94" s="124"/>
      <c r="F94" s="108"/>
      <c r="G94" s="28">
        <f>SUM(G93,G79,G76,G73,G69,G67)</f>
        <v>44454769</v>
      </c>
      <c r="H94" s="28">
        <f>SUM(H93,H79,H76,H73,H69,H67)</f>
        <v>47000</v>
      </c>
      <c r="I94" s="28">
        <f>SUM(I93,I79,I76,I73,I69,I67)</f>
        <v>0</v>
      </c>
      <c r="J94" s="28">
        <f>SUM(J93,J79,J76,J73,J69,J67)</f>
        <v>955384</v>
      </c>
      <c r="K94" s="28">
        <f t="shared" si="11"/>
        <v>45457153</v>
      </c>
      <c r="L94" s="28">
        <f>SUM(L93,L79,L76,L73,L69,L67)</f>
        <v>35864425</v>
      </c>
      <c r="M94" s="28">
        <f>SUM(M93,M79,M76,M73,M69,M67)</f>
        <v>78290.93000000001</v>
      </c>
      <c r="N94" s="28">
        <f>SUM(N93,N79,N76,N73,N69,N67)</f>
        <v>0</v>
      </c>
      <c r="O94" s="28">
        <f>SUM(O93,O79,O76,O73,O69,O67)</f>
        <v>955184.6</v>
      </c>
      <c r="P94" s="28">
        <f t="shared" si="10"/>
        <v>36897900.53</v>
      </c>
      <c r="Q94" s="29">
        <f t="shared" si="3"/>
        <v>0.8117072472620536</v>
      </c>
    </row>
    <row r="95" spans="1:17" ht="66" customHeight="1">
      <c r="A95" s="14" t="s">
        <v>333</v>
      </c>
      <c r="B95" s="13" t="s">
        <v>88</v>
      </c>
      <c r="C95" s="14" t="s">
        <v>89</v>
      </c>
      <c r="D95" s="111" t="s">
        <v>6</v>
      </c>
      <c r="E95" s="111" t="s">
        <v>7</v>
      </c>
      <c r="F95" s="106" t="s">
        <v>8</v>
      </c>
      <c r="G95" s="24"/>
      <c r="H95" s="24"/>
      <c r="I95" s="24">
        <v>1391000</v>
      </c>
      <c r="J95" s="24"/>
      <c r="K95" s="24">
        <f t="shared" si="11"/>
        <v>1391000</v>
      </c>
      <c r="L95" s="24"/>
      <c r="M95" s="24"/>
      <c r="N95" s="24">
        <v>1391000</v>
      </c>
      <c r="O95" s="24"/>
      <c r="P95" s="24">
        <f t="shared" si="10"/>
        <v>1391000</v>
      </c>
      <c r="Q95" s="30">
        <f t="shared" si="3"/>
        <v>1</v>
      </c>
    </row>
    <row r="96" spans="1:17" ht="58.5">
      <c r="A96" s="15"/>
      <c r="B96" s="20"/>
      <c r="C96" s="15"/>
      <c r="D96" s="111" t="s">
        <v>61</v>
      </c>
      <c r="E96" s="111" t="s">
        <v>7</v>
      </c>
      <c r="F96" s="106" t="s">
        <v>62</v>
      </c>
      <c r="G96" s="24"/>
      <c r="H96" s="24"/>
      <c r="I96" s="24"/>
      <c r="J96" s="24">
        <v>596000</v>
      </c>
      <c r="K96" s="24">
        <f t="shared" si="11"/>
        <v>596000</v>
      </c>
      <c r="L96" s="24"/>
      <c r="M96" s="24"/>
      <c r="N96" s="24"/>
      <c r="O96" s="24">
        <v>596000</v>
      </c>
      <c r="P96" s="24">
        <f t="shared" si="10"/>
        <v>596000</v>
      </c>
      <c r="Q96" s="30">
        <f t="shared" si="3"/>
        <v>1</v>
      </c>
    </row>
    <row r="97" spans="1:17" ht="67.5" customHeight="1">
      <c r="A97" s="15"/>
      <c r="B97" s="20"/>
      <c r="C97" s="15"/>
      <c r="D97" s="111" t="s">
        <v>63</v>
      </c>
      <c r="E97" s="111" t="s">
        <v>7</v>
      </c>
      <c r="F97" s="106" t="s">
        <v>64</v>
      </c>
      <c r="G97" s="24">
        <v>2032</v>
      </c>
      <c r="H97" s="24"/>
      <c r="I97" s="24"/>
      <c r="J97" s="24"/>
      <c r="K97" s="24">
        <f t="shared" si="11"/>
        <v>2032</v>
      </c>
      <c r="L97" s="24">
        <v>2399.4</v>
      </c>
      <c r="M97" s="24"/>
      <c r="N97" s="24"/>
      <c r="O97" s="24"/>
      <c r="P97" s="24">
        <f t="shared" si="10"/>
        <v>2399.4</v>
      </c>
      <c r="Q97" s="30">
        <f t="shared" si="3"/>
        <v>1.1808070866141733</v>
      </c>
    </row>
    <row r="98" spans="1:17" ht="12.75">
      <c r="A98" s="15"/>
      <c r="B98" s="16" t="s">
        <v>90</v>
      </c>
      <c r="C98" s="17"/>
      <c r="D98" s="123"/>
      <c r="E98" s="123"/>
      <c r="F98" s="107"/>
      <c r="G98" s="26">
        <f aca="true" t="shared" si="14" ref="G98:O98">SUM(G95:G97)</f>
        <v>2032</v>
      </c>
      <c r="H98" s="26">
        <f t="shared" si="14"/>
        <v>0</v>
      </c>
      <c r="I98" s="26">
        <f t="shared" si="14"/>
        <v>1391000</v>
      </c>
      <c r="J98" s="26">
        <f t="shared" si="14"/>
        <v>596000</v>
      </c>
      <c r="K98" s="26">
        <f t="shared" si="11"/>
        <v>1989032</v>
      </c>
      <c r="L98" s="26">
        <f t="shared" si="14"/>
        <v>2399.4</v>
      </c>
      <c r="M98" s="26">
        <f t="shared" si="14"/>
        <v>0</v>
      </c>
      <c r="N98" s="26">
        <f t="shared" si="14"/>
        <v>1391000</v>
      </c>
      <c r="O98" s="26">
        <f t="shared" si="14"/>
        <v>596000</v>
      </c>
      <c r="P98" s="26">
        <f t="shared" si="10"/>
        <v>1989399.4</v>
      </c>
      <c r="Q98" s="27">
        <f t="shared" si="3"/>
        <v>1.000184712965905</v>
      </c>
    </row>
    <row r="99" spans="1:17" s="39" customFormat="1" ht="48.75">
      <c r="A99" s="38"/>
      <c r="B99" s="40">
        <v>75023</v>
      </c>
      <c r="C99" s="14" t="s">
        <v>91</v>
      </c>
      <c r="D99" s="120" t="s">
        <v>38</v>
      </c>
      <c r="E99" s="121">
        <v>0</v>
      </c>
      <c r="F99" s="106" t="s">
        <v>39</v>
      </c>
      <c r="G99" s="45"/>
      <c r="H99" s="45"/>
      <c r="I99" s="45"/>
      <c r="J99" s="45"/>
      <c r="K99" s="45">
        <f t="shared" si="11"/>
        <v>0</v>
      </c>
      <c r="L99" s="45">
        <v>34391.8</v>
      </c>
      <c r="M99" s="45"/>
      <c r="N99" s="45"/>
      <c r="O99" s="45"/>
      <c r="P99" s="24">
        <f t="shared" si="10"/>
        <v>34391.8</v>
      </c>
      <c r="Q99" s="50"/>
    </row>
    <row r="100" spans="1:17" ht="19.5" customHeight="1">
      <c r="A100" s="15"/>
      <c r="B100" s="37"/>
      <c r="C100" s="63"/>
      <c r="D100" s="111" t="s">
        <v>92</v>
      </c>
      <c r="E100" s="111" t="s">
        <v>7</v>
      </c>
      <c r="F100" s="106" t="s">
        <v>93</v>
      </c>
      <c r="G100" s="24">
        <v>56000</v>
      </c>
      <c r="H100" s="24"/>
      <c r="I100" s="24"/>
      <c r="J100" s="24"/>
      <c r="K100" s="24">
        <f t="shared" si="11"/>
        <v>56000</v>
      </c>
      <c r="L100" s="24">
        <v>121372.5</v>
      </c>
      <c r="M100" s="24"/>
      <c r="N100" s="24"/>
      <c r="O100" s="24"/>
      <c r="P100" s="24">
        <f t="shared" si="10"/>
        <v>121372.5</v>
      </c>
      <c r="Q100" s="30">
        <f t="shared" si="3"/>
        <v>2.1673660714285714</v>
      </c>
    </row>
    <row r="101" spans="1:17" ht="12.75">
      <c r="A101" s="15"/>
      <c r="B101" s="20"/>
      <c r="C101" s="63"/>
      <c r="D101" s="111" t="s">
        <v>40</v>
      </c>
      <c r="E101" s="111" t="s">
        <v>7</v>
      </c>
      <c r="F101" s="106" t="s">
        <v>41</v>
      </c>
      <c r="G101" s="24">
        <v>59000</v>
      </c>
      <c r="H101" s="24"/>
      <c r="I101" s="24"/>
      <c r="J101" s="24"/>
      <c r="K101" s="24">
        <f t="shared" si="11"/>
        <v>59000</v>
      </c>
      <c r="L101" s="24">
        <v>407058.28</v>
      </c>
      <c r="M101" s="24"/>
      <c r="N101" s="24"/>
      <c r="O101" s="24"/>
      <c r="P101" s="24">
        <f t="shared" si="10"/>
        <v>407058.28</v>
      </c>
      <c r="Q101" s="30">
        <f aca="true" t="shared" si="15" ref="Q101:Q178">P101/K101</f>
        <v>6.899292881355933</v>
      </c>
    </row>
    <row r="102" spans="1:17" ht="85.5" customHeight="1">
      <c r="A102" s="15"/>
      <c r="B102" s="20"/>
      <c r="C102" s="65"/>
      <c r="D102" s="111" t="s">
        <v>19</v>
      </c>
      <c r="E102" s="111" t="s">
        <v>7</v>
      </c>
      <c r="F102" s="106" t="s">
        <v>20</v>
      </c>
      <c r="G102" s="24">
        <v>250000</v>
      </c>
      <c r="H102" s="24"/>
      <c r="I102" s="24"/>
      <c r="J102" s="24"/>
      <c r="K102" s="24">
        <f t="shared" si="11"/>
        <v>250000</v>
      </c>
      <c r="L102" s="24">
        <v>201144.08</v>
      </c>
      <c r="M102" s="24"/>
      <c r="N102" s="24"/>
      <c r="O102" s="24"/>
      <c r="P102" s="24">
        <f t="shared" si="10"/>
        <v>201144.08</v>
      </c>
      <c r="Q102" s="30">
        <f t="shared" si="15"/>
        <v>0.8045763199999999</v>
      </c>
    </row>
    <row r="103" spans="1:17" ht="12.75">
      <c r="A103" s="15"/>
      <c r="B103" s="20"/>
      <c r="C103" s="15"/>
      <c r="D103" s="111" t="s">
        <v>21</v>
      </c>
      <c r="E103" s="111" t="s">
        <v>7</v>
      </c>
      <c r="F103" s="106" t="s">
        <v>22</v>
      </c>
      <c r="G103" s="24">
        <v>97560</v>
      </c>
      <c r="H103" s="24"/>
      <c r="I103" s="24"/>
      <c r="J103" s="24"/>
      <c r="K103" s="24">
        <f t="shared" si="11"/>
        <v>97560</v>
      </c>
      <c r="L103" s="24"/>
      <c r="M103" s="24"/>
      <c r="N103" s="24"/>
      <c r="O103" s="24"/>
      <c r="P103" s="24">
        <f t="shared" si="10"/>
        <v>0</v>
      </c>
      <c r="Q103" s="30">
        <f t="shared" si="15"/>
        <v>0</v>
      </c>
    </row>
    <row r="104" spans="1:17" ht="12.75">
      <c r="A104" s="15"/>
      <c r="B104" s="20"/>
      <c r="C104" s="15"/>
      <c r="D104" s="125" t="s">
        <v>23</v>
      </c>
      <c r="E104" s="111">
        <v>0</v>
      </c>
      <c r="F104" s="106" t="s">
        <v>24</v>
      </c>
      <c r="G104" s="24"/>
      <c r="H104" s="24"/>
      <c r="I104" s="24"/>
      <c r="J104" s="24"/>
      <c r="K104" s="24">
        <f t="shared" si="11"/>
        <v>0</v>
      </c>
      <c r="L104" s="24">
        <v>5075.68</v>
      </c>
      <c r="M104" s="24"/>
      <c r="N104" s="24"/>
      <c r="O104" s="24"/>
      <c r="P104" s="24">
        <f t="shared" si="10"/>
        <v>5075.68</v>
      </c>
      <c r="Q104" s="30"/>
    </row>
    <row r="105" spans="1:17" ht="18" customHeight="1">
      <c r="A105" s="15"/>
      <c r="B105" s="20"/>
      <c r="C105" s="15"/>
      <c r="D105" s="111" t="s">
        <v>25</v>
      </c>
      <c r="E105" s="111" t="s">
        <v>7</v>
      </c>
      <c r="F105" s="106" t="s">
        <v>26</v>
      </c>
      <c r="G105" s="24">
        <v>320000</v>
      </c>
      <c r="H105" s="24"/>
      <c r="I105" s="24"/>
      <c r="J105" s="24"/>
      <c r="K105" s="24">
        <f t="shared" si="11"/>
        <v>320000</v>
      </c>
      <c r="L105" s="24">
        <v>865743.92</v>
      </c>
      <c r="M105" s="24"/>
      <c r="N105" s="24"/>
      <c r="O105" s="24"/>
      <c r="P105" s="24">
        <f t="shared" si="10"/>
        <v>865743.92</v>
      </c>
      <c r="Q105" s="30">
        <f t="shared" si="15"/>
        <v>2.70544975</v>
      </c>
    </row>
    <row r="106" spans="1:17" ht="104.25" customHeight="1">
      <c r="A106" s="15"/>
      <c r="B106" s="20"/>
      <c r="C106" s="15"/>
      <c r="D106" s="111" t="s">
        <v>27</v>
      </c>
      <c r="E106" s="111" t="s">
        <v>28</v>
      </c>
      <c r="F106" s="106" t="s">
        <v>29</v>
      </c>
      <c r="G106" s="24">
        <v>16445</v>
      </c>
      <c r="H106" s="24"/>
      <c r="I106" s="24"/>
      <c r="J106" s="24"/>
      <c r="K106" s="24">
        <f t="shared" si="11"/>
        <v>16445</v>
      </c>
      <c r="L106" s="24">
        <v>52959.3</v>
      </c>
      <c r="M106" s="24"/>
      <c r="N106" s="24"/>
      <c r="O106" s="24"/>
      <c r="P106" s="24">
        <f t="shared" si="10"/>
        <v>52959.3</v>
      </c>
      <c r="Q106" s="30">
        <f t="shared" si="15"/>
        <v>3.2203891760413503</v>
      </c>
    </row>
    <row r="107" spans="1:17" ht="84.75" customHeight="1">
      <c r="A107" s="15"/>
      <c r="B107" s="20"/>
      <c r="C107" s="15"/>
      <c r="D107" s="111" t="s">
        <v>44</v>
      </c>
      <c r="E107" s="111" t="s">
        <v>28</v>
      </c>
      <c r="F107" s="106" t="s">
        <v>45</v>
      </c>
      <c r="G107" s="24">
        <v>223669</v>
      </c>
      <c r="H107" s="24"/>
      <c r="I107" s="24"/>
      <c r="J107" s="24"/>
      <c r="K107" s="24">
        <f t="shared" si="11"/>
        <v>223669</v>
      </c>
      <c r="L107" s="24">
        <v>223668.75</v>
      </c>
      <c r="M107" s="24"/>
      <c r="N107" s="24"/>
      <c r="O107" s="24"/>
      <c r="P107" s="24">
        <f t="shared" si="10"/>
        <v>223668.75</v>
      </c>
      <c r="Q107" s="30">
        <f t="shared" si="15"/>
        <v>0.999998882276936</v>
      </c>
    </row>
    <row r="108" spans="1:17" ht="12.75">
      <c r="A108" s="15"/>
      <c r="B108" s="16" t="s">
        <v>94</v>
      </c>
      <c r="C108" s="17"/>
      <c r="D108" s="123"/>
      <c r="E108" s="123"/>
      <c r="F108" s="107"/>
      <c r="G108" s="26">
        <f>SUM(G100:G107)</f>
        <v>1022674</v>
      </c>
      <c r="H108" s="26">
        <f>SUM(H100:H107)</f>
        <v>0</v>
      </c>
      <c r="I108" s="26">
        <f>SUM(I100:I107)</f>
        <v>0</v>
      </c>
      <c r="J108" s="26">
        <f>SUM(J100:J107)</f>
        <v>0</v>
      </c>
      <c r="K108" s="26">
        <f t="shared" si="11"/>
        <v>1022674</v>
      </c>
      <c r="L108" s="26">
        <f>SUM(L99:L107)</f>
        <v>1911414.3100000003</v>
      </c>
      <c r="M108" s="26">
        <f>SUM(M99:M107)</f>
        <v>0</v>
      </c>
      <c r="N108" s="26">
        <f>SUM(N99:N107)</f>
        <v>0</v>
      </c>
      <c r="O108" s="26">
        <f>SUM(O99:O107)</f>
        <v>0</v>
      </c>
      <c r="P108" s="26">
        <f t="shared" si="10"/>
        <v>1911414.3100000003</v>
      </c>
      <c r="Q108" s="27">
        <f t="shared" si="15"/>
        <v>1.8690357924421666</v>
      </c>
    </row>
    <row r="109" spans="1:17" ht="58.5">
      <c r="A109" s="15"/>
      <c r="B109" s="13" t="s">
        <v>95</v>
      </c>
      <c r="C109" s="14" t="s">
        <v>96</v>
      </c>
      <c r="D109" s="111" t="s">
        <v>61</v>
      </c>
      <c r="E109" s="111" t="s">
        <v>7</v>
      </c>
      <c r="F109" s="106" t="s">
        <v>62</v>
      </c>
      <c r="G109" s="24"/>
      <c r="H109" s="24"/>
      <c r="I109" s="24"/>
      <c r="J109" s="24">
        <v>29370</v>
      </c>
      <c r="K109" s="24">
        <f t="shared" si="11"/>
        <v>29370</v>
      </c>
      <c r="L109" s="24"/>
      <c r="M109" s="24"/>
      <c r="N109" s="24"/>
      <c r="O109" s="24">
        <v>29369.18</v>
      </c>
      <c r="P109" s="24">
        <f t="shared" si="10"/>
        <v>29369.18</v>
      </c>
      <c r="Q109" s="30">
        <f t="shared" si="15"/>
        <v>0.9999720803541028</v>
      </c>
    </row>
    <row r="110" spans="1:17" ht="63" customHeight="1">
      <c r="A110" s="15"/>
      <c r="B110" s="20"/>
      <c r="C110" s="15"/>
      <c r="D110" s="111" t="s">
        <v>97</v>
      </c>
      <c r="E110" s="111" t="s">
        <v>7</v>
      </c>
      <c r="F110" s="106" t="s">
        <v>98</v>
      </c>
      <c r="G110" s="24"/>
      <c r="H110" s="24">
        <v>11865</v>
      </c>
      <c r="I110" s="24"/>
      <c r="J110" s="24"/>
      <c r="K110" s="24">
        <f t="shared" si="11"/>
        <v>11865</v>
      </c>
      <c r="L110" s="24"/>
      <c r="M110" s="24">
        <v>11865</v>
      </c>
      <c r="N110" s="24"/>
      <c r="O110" s="24"/>
      <c r="P110" s="24">
        <f t="shared" si="10"/>
        <v>11865</v>
      </c>
      <c r="Q110" s="30">
        <f t="shared" si="15"/>
        <v>1</v>
      </c>
    </row>
    <row r="111" spans="1:17" ht="12.75">
      <c r="A111" s="15"/>
      <c r="B111" s="16" t="s">
        <v>99</v>
      </c>
      <c r="C111" s="17"/>
      <c r="D111" s="123"/>
      <c r="E111" s="123"/>
      <c r="F111" s="107"/>
      <c r="G111" s="26">
        <f aca="true" t="shared" si="16" ref="G111:O111">SUM(G109:G110)</f>
        <v>0</v>
      </c>
      <c r="H111" s="26">
        <f t="shared" si="16"/>
        <v>11865</v>
      </c>
      <c r="I111" s="26">
        <f t="shared" si="16"/>
        <v>0</v>
      </c>
      <c r="J111" s="26">
        <f t="shared" si="16"/>
        <v>29370</v>
      </c>
      <c r="K111" s="26">
        <f t="shared" si="11"/>
        <v>41235</v>
      </c>
      <c r="L111" s="26">
        <f t="shared" si="16"/>
        <v>0</v>
      </c>
      <c r="M111" s="26">
        <f t="shared" si="16"/>
        <v>11865</v>
      </c>
      <c r="N111" s="26">
        <f t="shared" si="16"/>
        <v>0</v>
      </c>
      <c r="O111" s="26">
        <f t="shared" si="16"/>
        <v>29369.18</v>
      </c>
      <c r="P111" s="26">
        <f t="shared" si="10"/>
        <v>41234.18</v>
      </c>
      <c r="Q111" s="27">
        <f t="shared" si="15"/>
        <v>0.9999801139808415</v>
      </c>
    </row>
    <row r="112" spans="1:17" ht="12.75">
      <c r="A112" s="15"/>
      <c r="B112" s="159">
        <v>75095</v>
      </c>
      <c r="C112" s="153" t="s">
        <v>5</v>
      </c>
      <c r="D112" s="136" t="s">
        <v>23</v>
      </c>
      <c r="E112" s="111">
        <v>1</v>
      </c>
      <c r="F112" s="130" t="s">
        <v>24</v>
      </c>
      <c r="G112" s="24"/>
      <c r="H112" s="24"/>
      <c r="I112" s="24"/>
      <c r="J112" s="24"/>
      <c r="K112" s="24">
        <f t="shared" si="11"/>
        <v>0</v>
      </c>
      <c r="L112" s="24">
        <v>0.58</v>
      </c>
      <c r="M112" s="24"/>
      <c r="N112" s="24"/>
      <c r="O112" s="24"/>
      <c r="P112" s="24">
        <f t="shared" si="10"/>
        <v>0.58</v>
      </c>
      <c r="Q112" s="30"/>
    </row>
    <row r="113" spans="1:17" ht="12.75" customHeight="1">
      <c r="A113" s="15"/>
      <c r="B113" s="159"/>
      <c r="C113" s="153"/>
      <c r="D113" s="136"/>
      <c r="E113" s="111">
        <v>6</v>
      </c>
      <c r="F113" s="146"/>
      <c r="G113" s="24"/>
      <c r="H113" s="24"/>
      <c r="I113" s="24"/>
      <c r="J113" s="24"/>
      <c r="K113" s="24">
        <f t="shared" si="11"/>
        <v>0</v>
      </c>
      <c r="L113" s="24">
        <v>171.71</v>
      </c>
      <c r="M113" s="24"/>
      <c r="N113" s="24"/>
      <c r="O113" s="24"/>
      <c r="P113" s="24">
        <f t="shared" si="10"/>
        <v>171.71</v>
      </c>
      <c r="Q113" s="30"/>
    </row>
    <row r="114" spans="1:17" ht="12.75">
      <c r="A114" s="15"/>
      <c r="B114" s="90"/>
      <c r="C114" s="153"/>
      <c r="D114" s="136"/>
      <c r="E114" s="111">
        <v>7</v>
      </c>
      <c r="F114" s="131"/>
      <c r="G114" s="24"/>
      <c r="H114" s="24"/>
      <c r="I114" s="24"/>
      <c r="J114" s="24"/>
      <c r="K114" s="24">
        <f t="shared" si="11"/>
        <v>0</v>
      </c>
      <c r="L114" s="24">
        <v>838.31</v>
      </c>
      <c r="M114" s="24"/>
      <c r="N114" s="24"/>
      <c r="O114" s="24"/>
      <c r="P114" s="24">
        <f t="shared" si="10"/>
        <v>838.31</v>
      </c>
      <c r="Q114" s="30"/>
    </row>
    <row r="115" spans="1:17" ht="63.75" customHeight="1">
      <c r="A115" s="15"/>
      <c r="B115" s="37"/>
      <c r="C115" s="63"/>
      <c r="D115" s="132" t="s">
        <v>27</v>
      </c>
      <c r="E115" s="111" t="s">
        <v>100</v>
      </c>
      <c r="F115" s="130" t="s">
        <v>29</v>
      </c>
      <c r="G115" s="24">
        <v>56536</v>
      </c>
      <c r="H115" s="24"/>
      <c r="I115" s="24"/>
      <c r="J115" s="24"/>
      <c r="K115" s="24">
        <f t="shared" si="11"/>
        <v>56536</v>
      </c>
      <c r="L115" s="24">
        <v>22537.32</v>
      </c>
      <c r="M115" s="24"/>
      <c r="N115" s="24"/>
      <c r="O115" s="24"/>
      <c r="P115" s="24">
        <f t="shared" si="10"/>
        <v>22537.32</v>
      </c>
      <c r="Q115" s="30">
        <f t="shared" si="15"/>
        <v>0.39863662091410784</v>
      </c>
    </row>
    <row r="116" spans="1:17" ht="45.75" customHeight="1">
      <c r="A116" s="15"/>
      <c r="B116" s="20"/>
      <c r="C116" s="15"/>
      <c r="D116" s="132"/>
      <c r="E116" s="111" t="s">
        <v>28</v>
      </c>
      <c r="F116" s="131"/>
      <c r="G116" s="24">
        <v>276028</v>
      </c>
      <c r="H116" s="24"/>
      <c r="I116" s="24"/>
      <c r="J116" s="24"/>
      <c r="K116" s="24">
        <f t="shared" si="11"/>
        <v>276028</v>
      </c>
      <c r="L116" s="24">
        <v>311816.9</v>
      </c>
      <c r="M116" s="24"/>
      <c r="N116" s="24"/>
      <c r="O116" s="24"/>
      <c r="P116" s="24">
        <f t="shared" si="10"/>
        <v>311816.9</v>
      </c>
      <c r="Q116" s="30">
        <f t="shared" si="15"/>
        <v>1.1296567739504688</v>
      </c>
    </row>
    <row r="117" spans="1:17" ht="69.75" customHeight="1">
      <c r="A117" s="15"/>
      <c r="B117" s="20"/>
      <c r="C117" s="15"/>
      <c r="D117" s="111" t="s">
        <v>51</v>
      </c>
      <c r="E117" s="111" t="s">
        <v>101</v>
      </c>
      <c r="F117" s="106" t="s">
        <v>52</v>
      </c>
      <c r="G117" s="24">
        <v>65431</v>
      </c>
      <c r="H117" s="24"/>
      <c r="I117" s="24"/>
      <c r="J117" s="24"/>
      <c r="K117" s="24">
        <f t="shared" si="11"/>
        <v>65431</v>
      </c>
      <c r="L117" s="24"/>
      <c r="M117" s="24"/>
      <c r="N117" s="24"/>
      <c r="O117" s="24"/>
      <c r="P117" s="24">
        <f t="shared" si="10"/>
        <v>0</v>
      </c>
      <c r="Q117" s="30">
        <f t="shared" si="15"/>
        <v>0</v>
      </c>
    </row>
    <row r="118" spans="1:17" ht="12.75">
      <c r="A118" s="15"/>
      <c r="B118" s="16" t="s">
        <v>102</v>
      </c>
      <c r="C118" s="17"/>
      <c r="D118" s="123"/>
      <c r="E118" s="123"/>
      <c r="F118" s="107"/>
      <c r="G118" s="26">
        <f>SUM(G115:G117)</f>
        <v>397995</v>
      </c>
      <c r="H118" s="26">
        <f>SUM(H115:H117)</f>
        <v>0</v>
      </c>
      <c r="I118" s="26">
        <f>SUM(I115:I117)</f>
        <v>0</v>
      </c>
      <c r="J118" s="26">
        <f>SUM(J115:J117)</f>
        <v>0</v>
      </c>
      <c r="K118" s="26">
        <f t="shared" si="11"/>
        <v>397995</v>
      </c>
      <c r="L118" s="26">
        <f>SUM(L112:L117)</f>
        <v>335364.82</v>
      </c>
      <c r="M118" s="26">
        <f>SUM(M112:M117)</f>
        <v>0</v>
      </c>
      <c r="N118" s="26">
        <f>SUM(N112:N117)</f>
        <v>0</v>
      </c>
      <c r="O118" s="26">
        <f>SUM(O112:O117)</f>
        <v>0</v>
      </c>
      <c r="P118" s="26">
        <f t="shared" si="10"/>
        <v>335364.82</v>
      </c>
      <c r="Q118" s="27">
        <f t="shared" si="15"/>
        <v>0.842635761755801</v>
      </c>
    </row>
    <row r="119" spans="1:17" ht="12.75">
      <c r="A119" s="18" t="s">
        <v>103</v>
      </c>
      <c r="B119" s="19"/>
      <c r="C119" s="19"/>
      <c r="D119" s="124"/>
      <c r="E119" s="124"/>
      <c r="F119" s="108"/>
      <c r="G119" s="28">
        <f>SUM(G118,G111,G108,G98)</f>
        <v>1422701</v>
      </c>
      <c r="H119" s="28">
        <f aca="true" t="shared" si="17" ref="H119:O119">SUM(H118,H111,H108,H98)</f>
        <v>11865</v>
      </c>
      <c r="I119" s="28">
        <f t="shared" si="17"/>
        <v>1391000</v>
      </c>
      <c r="J119" s="28">
        <f t="shared" si="17"/>
        <v>625370</v>
      </c>
      <c r="K119" s="28">
        <f t="shared" si="11"/>
        <v>3450936</v>
      </c>
      <c r="L119" s="28">
        <f t="shared" si="17"/>
        <v>2249178.5300000003</v>
      </c>
      <c r="M119" s="28">
        <f t="shared" si="17"/>
        <v>11865</v>
      </c>
      <c r="N119" s="28">
        <f t="shared" si="17"/>
        <v>1391000</v>
      </c>
      <c r="O119" s="28">
        <f t="shared" si="17"/>
        <v>625369.18</v>
      </c>
      <c r="P119" s="28">
        <f t="shared" si="10"/>
        <v>4277412.71</v>
      </c>
      <c r="Q119" s="29">
        <f t="shared" si="15"/>
        <v>1.2394934910412712</v>
      </c>
    </row>
    <row r="120" spans="1:17" ht="78">
      <c r="A120" s="149" t="s">
        <v>334</v>
      </c>
      <c r="B120" s="13" t="s">
        <v>104</v>
      </c>
      <c r="C120" s="14" t="s">
        <v>105</v>
      </c>
      <c r="D120" s="111" t="s">
        <v>6</v>
      </c>
      <c r="E120" s="111" t="s">
        <v>7</v>
      </c>
      <c r="F120" s="106" t="s">
        <v>8</v>
      </c>
      <c r="G120" s="24"/>
      <c r="H120" s="24"/>
      <c r="I120" s="24">
        <v>41680</v>
      </c>
      <c r="J120" s="24"/>
      <c r="K120" s="24">
        <f t="shared" si="11"/>
        <v>41680</v>
      </c>
      <c r="L120" s="24"/>
      <c r="M120" s="24"/>
      <c r="N120" s="24">
        <v>41490.63</v>
      </c>
      <c r="O120" s="24"/>
      <c r="P120" s="24">
        <f t="shared" si="10"/>
        <v>41490.63</v>
      </c>
      <c r="Q120" s="30">
        <f t="shared" si="15"/>
        <v>0.9954565738963531</v>
      </c>
    </row>
    <row r="121" spans="1:17" ht="12.75">
      <c r="A121" s="156"/>
      <c r="B121" s="16" t="s">
        <v>106</v>
      </c>
      <c r="C121" s="17"/>
      <c r="D121" s="123"/>
      <c r="E121" s="123"/>
      <c r="F121" s="107"/>
      <c r="G121" s="26">
        <f>SUM(G120)</f>
        <v>0</v>
      </c>
      <c r="H121" s="26">
        <f aca="true" t="shared" si="18" ref="H121:O121">SUM(H120)</f>
        <v>0</v>
      </c>
      <c r="I121" s="26">
        <f t="shared" si="18"/>
        <v>41680</v>
      </c>
      <c r="J121" s="26">
        <f t="shared" si="18"/>
        <v>0</v>
      </c>
      <c r="K121" s="26">
        <f t="shared" si="11"/>
        <v>41680</v>
      </c>
      <c r="L121" s="26">
        <f t="shared" si="18"/>
        <v>0</v>
      </c>
      <c r="M121" s="26">
        <f t="shared" si="18"/>
        <v>0</v>
      </c>
      <c r="N121" s="26">
        <f t="shared" si="18"/>
        <v>41490.63</v>
      </c>
      <c r="O121" s="26">
        <f t="shared" si="18"/>
        <v>0</v>
      </c>
      <c r="P121" s="26">
        <f t="shared" si="10"/>
        <v>41490.63</v>
      </c>
      <c r="Q121" s="27">
        <f t="shared" si="15"/>
        <v>0.9954565738963531</v>
      </c>
    </row>
    <row r="122" spans="1:17" ht="136.5">
      <c r="A122" s="156"/>
      <c r="B122" s="13">
        <v>75109</v>
      </c>
      <c r="C122" s="14" t="s">
        <v>395</v>
      </c>
      <c r="D122" s="111" t="s">
        <v>6</v>
      </c>
      <c r="E122" s="111" t="s">
        <v>7</v>
      </c>
      <c r="F122" s="106" t="s">
        <v>8</v>
      </c>
      <c r="G122" s="24"/>
      <c r="H122" s="24"/>
      <c r="I122" s="24">
        <v>719895</v>
      </c>
      <c r="J122" s="24"/>
      <c r="K122" s="24">
        <f>SUM(G122:J122)</f>
        <v>719895</v>
      </c>
      <c r="L122" s="24"/>
      <c r="M122" s="24"/>
      <c r="N122" s="24">
        <v>685586.49</v>
      </c>
      <c r="O122" s="24"/>
      <c r="P122" s="24">
        <f t="shared" si="10"/>
        <v>685586.49</v>
      </c>
      <c r="Q122" s="30">
        <f>P122/K122</f>
        <v>0.9523423415914821</v>
      </c>
    </row>
    <row r="123" spans="1:17" ht="12.75">
      <c r="A123" s="156"/>
      <c r="B123" s="16" t="s">
        <v>396</v>
      </c>
      <c r="C123" s="17"/>
      <c r="D123" s="123"/>
      <c r="E123" s="123"/>
      <c r="F123" s="107"/>
      <c r="G123" s="26">
        <f>SUM(G122)</f>
        <v>0</v>
      </c>
      <c r="H123" s="26">
        <f>SUM(H122)</f>
        <v>0</v>
      </c>
      <c r="I123" s="26">
        <f>SUM(I122)</f>
        <v>719895</v>
      </c>
      <c r="J123" s="26">
        <f>SUM(J122)</f>
        <v>0</v>
      </c>
      <c r="K123" s="26">
        <f>SUM(G123:J123)</f>
        <v>719895</v>
      </c>
      <c r="L123" s="26">
        <f>SUM(L122)</f>
        <v>0</v>
      </c>
      <c r="M123" s="26">
        <f>SUM(M122)</f>
        <v>0</v>
      </c>
      <c r="N123" s="26">
        <f>SUM(N122)</f>
        <v>685586.49</v>
      </c>
      <c r="O123" s="26">
        <f>SUM(O122)</f>
        <v>0</v>
      </c>
      <c r="P123" s="26">
        <f t="shared" si="10"/>
        <v>685586.49</v>
      </c>
      <c r="Q123" s="27">
        <f>P123/K123</f>
        <v>0.9523423415914821</v>
      </c>
    </row>
    <row r="124" spans="1:17" ht="78">
      <c r="A124" s="150"/>
      <c r="B124" s="13" t="s">
        <v>107</v>
      </c>
      <c r="C124" s="14" t="s">
        <v>108</v>
      </c>
      <c r="D124" s="111" t="s">
        <v>6</v>
      </c>
      <c r="E124" s="111" t="s">
        <v>7</v>
      </c>
      <c r="F124" s="106" t="s">
        <v>8</v>
      </c>
      <c r="G124" s="24"/>
      <c r="H124" s="24"/>
      <c r="I124" s="24">
        <v>285385</v>
      </c>
      <c r="J124" s="24"/>
      <c r="K124" s="24">
        <f t="shared" si="11"/>
        <v>285385</v>
      </c>
      <c r="L124" s="24"/>
      <c r="M124" s="24"/>
      <c r="N124" s="24">
        <v>285058.4</v>
      </c>
      <c r="O124" s="24"/>
      <c r="P124" s="24">
        <f t="shared" si="10"/>
        <v>285058.4</v>
      </c>
      <c r="Q124" s="30">
        <f t="shared" si="15"/>
        <v>0.9988555810571684</v>
      </c>
    </row>
    <row r="125" spans="1:17" ht="12.75">
      <c r="A125" s="15"/>
      <c r="B125" s="16" t="s">
        <v>109</v>
      </c>
      <c r="C125" s="17"/>
      <c r="D125" s="123"/>
      <c r="E125" s="123"/>
      <c r="F125" s="107"/>
      <c r="G125" s="26">
        <f aca="true" t="shared" si="19" ref="G125:O125">SUM(G124)</f>
        <v>0</v>
      </c>
      <c r="H125" s="26">
        <f t="shared" si="19"/>
        <v>0</v>
      </c>
      <c r="I125" s="26">
        <f t="shared" si="19"/>
        <v>285385</v>
      </c>
      <c r="J125" s="26">
        <f t="shared" si="19"/>
        <v>0</v>
      </c>
      <c r="K125" s="26">
        <f t="shared" si="11"/>
        <v>285385</v>
      </c>
      <c r="L125" s="26">
        <f t="shared" si="19"/>
        <v>0</v>
      </c>
      <c r="M125" s="26">
        <f t="shared" si="19"/>
        <v>0</v>
      </c>
      <c r="N125" s="26">
        <f t="shared" si="19"/>
        <v>285058.4</v>
      </c>
      <c r="O125" s="26">
        <f t="shared" si="19"/>
        <v>0</v>
      </c>
      <c r="P125" s="26">
        <f t="shared" si="10"/>
        <v>285058.4</v>
      </c>
      <c r="Q125" s="27">
        <f t="shared" si="15"/>
        <v>0.9988555810571684</v>
      </c>
    </row>
    <row r="126" spans="1:17" ht="12.75">
      <c r="A126" s="18" t="s">
        <v>110</v>
      </c>
      <c r="B126" s="19"/>
      <c r="C126" s="19"/>
      <c r="D126" s="124"/>
      <c r="E126" s="124"/>
      <c r="F126" s="108"/>
      <c r="G126" s="28">
        <f>SUM(G125,G123,G121)</f>
        <v>0</v>
      </c>
      <c r="H126" s="28">
        <f aca="true" t="shared" si="20" ref="H126:O126">SUM(H125,H123,H121)</f>
        <v>0</v>
      </c>
      <c r="I126" s="28">
        <f t="shared" si="20"/>
        <v>1046960</v>
      </c>
      <c r="J126" s="28">
        <f t="shared" si="20"/>
        <v>0</v>
      </c>
      <c r="K126" s="28">
        <f t="shared" si="20"/>
        <v>1046960</v>
      </c>
      <c r="L126" s="28">
        <f t="shared" si="20"/>
        <v>0</v>
      </c>
      <c r="M126" s="28">
        <f t="shared" si="20"/>
        <v>0</v>
      </c>
      <c r="N126" s="28">
        <f t="shared" si="20"/>
        <v>1012135.52</v>
      </c>
      <c r="O126" s="28">
        <f t="shared" si="20"/>
        <v>0</v>
      </c>
      <c r="P126" s="28">
        <f t="shared" si="10"/>
        <v>1012135.52</v>
      </c>
      <c r="Q126" s="29">
        <f t="shared" si="15"/>
        <v>0.9667375257889509</v>
      </c>
    </row>
    <row r="127" spans="1:17" ht="58.5" customHeight="1">
      <c r="A127" s="149" t="s">
        <v>344</v>
      </c>
      <c r="B127" s="13" t="s">
        <v>111</v>
      </c>
      <c r="C127" s="14" t="s">
        <v>112</v>
      </c>
      <c r="D127" s="111" t="s">
        <v>61</v>
      </c>
      <c r="E127" s="111" t="s">
        <v>7</v>
      </c>
      <c r="F127" s="106" t="s">
        <v>62</v>
      </c>
      <c r="G127" s="24"/>
      <c r="H127" s="24"/>
      <c r="I127" s="24"/>
      <c r="J127" s="24">
        <v>12854981</v>
      </c>
      <c r="K127" s="24">
        <f t="shared" si="11"/>
        <v>12854981</v>
      </c>
      <c r="L127" s="24"/>
      <c r="M127" s="24"/>
      <c r="N127" s="24"/>
      <c r="O127" s="24">
        <v>12854970.66</v>
      </c>
      <c r="P127" s="24">
        <f t="shared" si="10"/>
        <v>12854970.66</v>
      </c>
      <c r="Q127" s="30">
        <f t="shared" si="15"/>
        <v>0.9999991956425296</v>
      </c>
    </row>
    <row r="128" spans="1:17" ht="66" customHeight="1">
      <c r="A128" s="150"/>
      <c r="B128" s="20"/>
      <c r="C128" s="15"/>
      <c r="D128" s="111" t="s">
        <v>63</v>
      </c>
      <c r="E128" s="111" t="s">
        <v>7</v>
      </c>
      <c r="F128" s="106" t="s">
        <v>64</v>
      </c>
      <c r="G128" s="24">
        <v>800</v>
      </c>
      <c r="H128" s="24"/>
      <c r="I128" s="24"/>
      <c r="J128" s="24"/>
      <c r="K128" s="24">
        <f t="shared" si="11"/>
        <v>800</v>
      </c>
      <c r="L128" s="24">
        <v>755</v>
      </c>
      <c r="M128" s="24"/>
      <c r="N128" s="24"/>
      <c r="O128" s="24"/>
      <c r="P128" s="24">
        <f t="shared" si="10"/>
        <v>755</v>
      </c>
      <c r="Q128" s="30">
        <f t="shared" si="15"/>
        <v>0.94375</v>
      </c>
    </row>
    <row r="129" spans="1:17" ht="58.5">
      <c r="A129" s="15"/>
      <c r="B129" s="20"/>
      <c r="C129" s="15"/>
      <c r="D129" s="111" t="s">
        <v>113</v>
      </c>
      <c r="E129" s="111" t="s">
        <v>7</v>
      </c>
      <c r="F129" s="106" t="s">
        <v>114</v>
      </c>
      <c r="G129" s="24">
        <v>122500</v>
      </c>
      <c r="H129" s="24"/>
      <c r="I129" s="24"/>
      <c r="J129" s="24"/>
      <c r="K129" s="24">
        <f t="shared" si="11"/>
        <v>122500</v>
      </c>
      <c r="L129" s="24">
        <v>122500</v>
      </c>
      <c r="M129" s="24"/>
      <c r="N129" s="24"/>
      <c r="O129" s="24"/>
      <c r="P129" s="24">
        <f t="shared" si="10"/>
        <v>122500</v>
      </c>
      <c r="Q129" s="30">
        <f t="shared" si="15"/>
        <v>1</v>
      </c>
    </row>
    <row r="130" spans="1:17" ht="87.75">
      <c r="A130" s="15"/>
      <c r="B130" s="20"/>
      <c r="C130" s="15"/>
      <c r="D130" s="111" t="s">
        <v>115</v>
      </c>
      <c r="E130" s="111" t="s">
        <v>7</v>
      </c>
      <c r="F130" s="106" t="s">
        <v>116</v>
      </c>
      <c r="G130" s="24">
        <v>63000</v>
      </c>
      <c r="H130" s="24"/>
      <c r="I130" s="24"/>
      <c r="J130" s="24"/>
      <c r="K130" s="24">
        <f t="shared" si="11"/>
        <v>63000</v>
      </c>
      <c r="L130" s="24">
        <v>63000</v>
      </c>
      <c r="M130" s="24"/>
      <c r="N130" s="24"/>
      <c r="O130" s="24"/>
      <c r="P130" s="24">
        <f t="shared" si="10"/>
        <v>63000</v>
      </c>
      <c r="Q130" s="30">
        <f t="shared" si="15"/>
        <v>1</v>
      </c>
    </row>
    <row r="131" spans="1:17" ht="78">
      <c r="A131" s="15"/>
      <c r="B131" s="20"/>
      <c r="C131" s="15"/>
      <c r="D131" s="111" t="s">
        <v>117</v>
      </c>
      <c r="E131" s="111" t="s">
        <v>7</v>
      </c>
      <c r="F131" s="106" t="s">
        <v>118</v>
      </c>
      <c r="G131" s="24"/>
      <c r="H131" s="24"/>
      <c r="I131" s="24"/>
      <c r="J131" s="24">
        <v>81264</v>
      </c>
      <c r="K131" s="24">
        <f t="shared" si="11"/>
        <v>81264</v>
      </c>
      <c r="L131" s="24"/>
      <c r="M131" s="24"/>
      <c r="N131" s="24"/>
      <c r="O131" s="24">
        <v>81264</v>
      </c>
      <c r="P131" s="24">
        <f t="shared" si="10"/>
        <v>81264</v>
      </c>
      <c r="Q131" s="30">
        <f t="shared" si="15"/>
        <v>1</v>
      </c>
    </row>
    <row r="132" spans="1:17" ht="12.75">
      <c r="A132" s="15"/>
      <c r="B132" s="16" t="s">
        <v>119</v>
      </c>
      <c r="C132" s="17"/>
      <c r="D132" s="123"/>
      <c r="E132" s="123"/>
      <c r="F132" s="107"/>
      <c r="G132" s="26">
        <f aca="true" t="shared" si="21" ref="G132:O132">SUM(G127:G131)</f>
        <v>186300</v>
      </c>
      <c r="H132" s="26">
        <f t="shared" si="21"/>
        <v>0</v>
      </c>
      <c r="I132" s="26">
        <f t="shared" si="21"/>
        <v>0</v>
      </c>
      <c r="J132" s="26">
        <f t="shared" si="21"/>
        <v>12936245</v>
      </c>
      <c r="K132" s="26">
        <f t="shared" si="11"/>
        <v>13122545</v>
      </c>
      <c r="L132" s="26">
        <f t="shared" si="21"/>
        <v>186255</v>
      </c>
      <c r="M132" s="26">
        <f t="shared" si="21"/>
        <v>0</v>
      </c>
      <c r="N132" s="26">
        <f t="shared" si="21"/>
        <v>0</v>
      </c>
      <c r="O132" s="26">
        <f t="shared" si="21"/>
        <v>12936234.66</v>
      </c>
      <c r="P132" s="26">
        <f t="shared" si="10"/>
        <v>13122489.66</v>
      </c>
      <c r="Q132" s="27">
        <f t="shared" si="15"/>
        <v>0.999995782830236</v>
      </c>
    </row>
    <row r="133" spans="1:17" ht="29.25">
      <c r="A133" s="15"/>
      <c r="B133" s="13" t="s">
        <v>120</v>
      </c>
      <c r="C133" s="14" t="s">
        <v>121</v>
      </c>
      <c r="D133" s="111" t="s">
        <v>36</v>
      </c>
      <c r="E133" s="111" t="s">
        <v>7</v>
      </c>
      <c r="F133" s="106" t="s">
        <v>37</v>
      </c>
      <c r="G133" s="24">
        <v>250000</v>
      </c>
      <c r="H133" s="24"/>
      <c r="I133" s="24"/>
      <c r="J133" s="24"/>
      <c r="K133" s="24">
        <f t="shared" si="11"/>
        <v>250000</v>
      </c>
      <c r="L133" s="24">
        <v>194709.75</v>
      </c>
      <c r="M133" s="24"/>
      <c r="N133" s="24"/>
      <c r="O133" s="24"/>
      <c r="P133" s="24">
        <f aca="true" t="shared" si="22" ref="P133:P196">SUM(L133:O133)</f>
        <v>194709.75</v>
      </c>
      <c r="Q133" s="30">
        <f t="shared" si="15"/>
        <v>0.778839</v>
      </c>
    </row>
    <row r="134" spans="1:17" ht="12.75">
      <c r="A134" s="15"/>
      <c r="B134" s="69"/>
      <c r="C134" s="81"/>
      <c r="D134" s="125" t="s">
        <v>40</v>
      </c>
      <c r="E134" s="111">
        <v>0</v>
      </c>
      <c r="F134" s="106" t="s">
        <v>41</v>
      </c>
      <c r="G134" s="24"/>
      <c r="H134" s="24"/>
      <c r="I134" s="24"/>
      <c r="J134" s="24"/>
      <c r="K134" s="24"/>
      <c r="L134" s="24">
        <v>1530.6</v>
      </c>
      <c r="M134" s="24"/>
      <c r="N134" s="24"/>
      <c r="O134" s="24"/>
      <c r="P134" s="24">
        <f t="shared" si="22"/>
        <v>1530.6</v>
      </c>
      <c r="Q134" s="30"/>
    </row>
    <row r="135" spans="1:17" ht="12.75">
      <c r="A135" s="15"/>
      <c r="B135" s="16" t="s">
        <v>122</v>
      </c>
      <c r="C135" s="17"/>
      <c r="D135" s="123"/>
      <c r="E135" s="123"/>
      <c r="F135" s="107"/>
      <c r="G135" s="26">
        <f>SUM(G133)</f>
        <v>250000</v>
      </c>
      <c r="H135" s="26">
        <f>SUM(H133)</f>
        <v>0</v>
      </c>
      <c r="I135" s="26">
        <f>SUM(I133)</f>
        <v>0</v>
      </c>
      <c r="J135" s="26">
        <f>SUM(J133)</f>
        <v>0</v>
      </c>
      <c r="K135" s="26">
        <f t="shared" si="11"/>
        <v>250000</v>
      </c>
      <c r="L135" s="26">
        <f>SUM(L133:L134)</f>
        <v>196240.35</v>
      </c>
      <c r="M135" s="26">
        <f>SUM(M133:M134)</f>
        <v>0</v>
      </c>
      <c r="N135" s="26">
        <f>SUM(N133:N134)</f>
        <v>0</v>
      </c>
      <c r="O135" s="26">
        <f>SUM(O133:O134)</f>
        <v>0</v>
      </c>
      <c r="P135" s="26">
        <f t="shared" si="22"/>
        <v>196240.35</v>
      </c>
      <c r="Q135" s="27">
        <f t="shared" si="15"/>
        <v>0.7849614</v>
      </c>
    </row>
    <row r="136" spans="1:17" ht="58.5">
      <c r="A136" s="15"/>
      <c r="B136" s="13">
        <v>75478</v>
      </c>
      <c r="C136" s="14" t="s">
        <v>397</v>
      </c>
      <c r="D136" s="111">
        <v>211</v>
      </c>
      <c r="E136" s="111" t="s">
        <v>7</v>
      </c>
      <c r="F136" s="106" t="s">
        <v>62</v>
      </c>
      <c r="G136" s="24"/>
      <c r="H136" s="24"/>
      <c r="I136" s="24"/>
      <c r="J136" s="24">
        <v>8718</v>
      </c>
      <c r="K136" s="24">
        <f>SUM(G136:J136)</f>
        <v>8718</v>
      </c>
      <c r="L136" s="24"/>
      <c r="M136" s="24"/>
      <c r="N136" s="24"/>
      <c r="O136" s="24">
        <v>8717.38</v>
      </c>
      <c r="P136" s="24">
        <f t="shared" si="22"/>
        <v>8717.38</v>
      </c>
      <c r="Q136" s="30">
        <f>P136/K136</f>
        <v>0.9999288827712777</v>
      </c>
    </row>
    <row r="137" spans="1:17" ht="12.75">
      <c r="A137" s="15"/>
      <c r="B137" s="16" t="s">
        <v>398</v>
      </c>
      <c r="C137" s="17"/>
      <c r="D137" s="123"/>
      <c r="E137" s="123"/>
      <c r="F137" s="107"/>
      <c r="G137" s="26">
        <f>SUM(G136)</f>
        <v>0</v>
      </c>
      <c r="H137" s="26">
        <f>SUM(H136)</f>
        <v>0</v>
      </c>
      <c r="I137" s="26">
        <f>SUM(I136)</f>
        <v>0</v>
      </c>
      <c r="J137" s="26">
        <f>SUM(J136)</f>
        <v>8718</v>
      </c>
      <c r="K137" s="26">
        <f>SUM(G137:J137)</f>
        <v>8718</v>
      </c>
      <c r="L137" s="26">
        <f>SUM(L136)</f>
        <v>0</v>
      </c>
      <c r="M137" s="26">
        <f>SUM(M136)</f>
        <v>0</v>
      </c>
      <c r="N137" s="26">
        <f>SUM(N136)</f>
        <v>0</v>
      </c>
      <c r="O137" s="26">
        <f>SUM(O136)</f>
        <v>8717.38</v>
      </c>
      <c r="P137" s="26">
        <f t="shared" si="22"/>
        <v>8717.38</v>
      </c>
      <c r="Q137" s="27">
        <f>P137/K137</f>
        <v>0.9999288827712777</v>
      </c>
    </row>
    <row r="138" spans="1:17" ht="12.75">
      <c r="A138" s="18" t="s">
        <v>123</v>
      </c>
      <c r="B138" s="19"/>
      <c r="C138" s="19"/>
      <c r="D138" s="124"/>
      <c r="E138" s="124"/>
      <c r="F138" s="108"/>
      <c r="G138" s="28">
        <f>SUM(G137,G135,G132)</f>
        <v>436300</v>
      </c>
      <c r="H138" s="28">
        <f aca="true" t="shared" si="23" ref="H138:O138">SUM(H137,H135,H132)</f>
        <v>0</v>
      </c>
      <c r="I138" s="28">
        <f t="shared" si="23"/>
        <v>0</v>
      </c>
      <c r="J138" s="28">
        <f t="shared" si="23"/>
        <v>12944963</v>
      </c>
      <c r="K138" s="28">
        <f t="shared" si="23"/>
        <v>13381263</v>
      </c>
      <c r="L138" s="28">
        <f t="shared" si="23"/>
        <v>382495.35</v>
      </c>
      <c r="M138" s="28">
        <f t="shared" si="23"/>
        <v>0</v>
      </c>
      <c r="N138" s="28">
        <f t="shared" si="23"/>
        <v>0</v>
      </c>
      <c r="O138" s="28">
        <f t="shared" si="23"/>
        <v>12944952.040000001</v>
      </c>
      <c r="P138" s="28">
        <f t="shared" si="22"/>
        <v>13327447.39</v>
      </c>
      <c r="Q138" s="29">
        <f t="shared" si="15"/>
        <v>0.9959782862051213</v>
      </c>
    </row>
    <row r="139" spans="1:17" ht="46.5" customHeight="1">
      <c r="A139" s="149" t="s">
        <v>335</v>
      </c>
      <c r="B139" s="40" t="s">
        <v>124</v>
      </c>
      <c r="C139" s="133" t="s">
        <v>125</v>
      </c>
      <c r="D139" s="111" t="s">
        <v>126</v>
      </c>
      <c r="E139" s="111" t="s">
        <v>7</v>
      </c>
      <c r="F139" s="106" t="s">
        <v>127</v>
      </c>
      <c r="G139" s="24">
        <v>700000</v>
      </c>
      <c r="H139" s="24"/>
      <c r="I139" s="24"/>
      <c r="J139" s="24"/>
      <c r="K139" s="24">
        <f t="shared" si="11"/>
        <v>700000</v>
      </c>
      <c r="L139" s="24">
        <v>817390.84</v>
      </c>
      <c r="M139" s="24"/>
      <c r="N139" s="24"/>
      <c r="O139" s="24"/>
      <c r="P139" s="24">
        <f t="shared" si="22"/>
        <v>817390.84</v>
      </c>
      <c r="Q139" s="30">
        <f t="shared" si="15"/>
        <v>1.1677012</v>
      </c>
    </row>
    <row r="140" spans="1:17" ht="33" customHeight="1">
      <c r="A140" s="156"/>
      <c r="B140" s="69"/>
      <c r="C140" s="135"/>
      <c r="D140" s="125" t="s">
        <v>141</v>
      </c>
      <c r="E140" s="111">
        <v>0</v>
      </c>
      <c r="F140" s="106" t="s">
        <v>142</v>
      </c>
      <c r="G140" s="24"/>
      <c r="H140" s="24"/>
      <c r="I140" s="24"/>
      <c r="J140" s="24"/>
      <c r="K140" s="24">
        <f t="shared" si="11"/>
        <v>0</v>
      </c>
      <c r="L140" s="24">
        <v>16582.49</v>
      </c>
      <c r="M140" s="24"/>
      <c r="N140" s="24"/>
      <c r="O140" s="24"/>
      <c r="P140" s="24">
        <f t="shared" si="22"/>
        <v>16582.49</v>
      </c>
      <c r="Q140" s="30"/>
    </row>
    <row r="141" spans="1:17" ht="12.75">
      <c r="A141" s="156"/>
      <c r="B141" s="16" t="s">
        <v>128</v>
      </c>
      <c r="C141" s="17"/>
      <c r="D141" s="123"/>
      <c r="E141" s="123"/>
      <c r="F141" s="107"/>
      <c r="G141" s="26">
        <f>SUM(G139)</f>
        <v>700000</v>
      </c>
      <c r="H141" s="26">
        <f>SUM(H139)</f>
        <v>0</v>
      </c>
      <c r="I141" s="26">
        <f>SUM(I139)</f>
        <v>0</v>
      </c>
      <c r="J141" s="26">
        <f>SUM(J139)</f>
        <v>0</v>
      </c>
      <c r="K141" s="26">
        <f t="shared" si="11"/>
        <v>700000</v>
      </c>
      <c r="L141" s="26">
        <f>SUM(L139:L140)</f>
        <v>833973.33</v>
      </c>
      <c r="M141" s="26">
        <f>SUM(M139:M140)</f>
        <v>0</v>
      </c>
      <c r="N141" s="26">
        <f>SUM(N139:N140)</f>
        <v>0</v>
      </c>
      <c r="O141" s="26">
        <f>SUM(O139:O140)</f>
        <v>0</v>
      </c>
      <c r="P141" s="26">
        <f t="shared" si="22"/>
        <v>833973.33</v>
      </c>
      <c r="Q141" s="27">
        <f t="shared" si="15"/>
        <v>1.1913904714285715</v>
      </c>
    </row>
    <row r="142" spans="1:17" ht="19.5">
      <c r="A142" s="156"/>
      <c r="B142" s="13" t="s">
        <v>129</v>
      </c>
      <c r="C142" s="133" t="s">
        <v>130</v>
      </c>
      <c r="D142" s="111" t="s">
        <v>131</v>
      </c>
      <c r="E142" s="111" t="s">
        <v>7</v>
      </c>
      <c r="F142" s="106" t="s">
        <v>132</v>
      </c>
      <c r="G142" s="24">
        <v>140338789</v>
      </c>
      <c r="H142" s="24"/>
      <c r="I142" s="24"/>
      <c r="J142" s="24"/>
      <c r="K142" s="24">
        <f t="shared" si="11"/>
        <v>140338789</v>
      </c>
      <c r="L142" s="24">
        <v>113141527.3</v>
      </c>
      <c r="M142" s="24"/>
      <c r="N142" s="24"/>
      <c r="O142" s="24"/>
      <c r="P142" s="24">
        <f t="shared" si="22"/>
        <v>113141527.3</v>
      </c>
      <c r="Q142" s="30">
        <f t="shared" si="15"/>
        <v>0.8062028189512167</v>
      </c>
    </row>
    <row r="143" spans="1:17" ht="12.75">
      <c r="A143" s="156"/>
      <c r="B143" s="20"/>
      <c r="C143" s="134"/>
      <c r="D143" s="111" t="s">
        <v>133</v>
      </c>
      <c r="E143" s="111" t="s">
        <v>7</v>
      </c>
      <c r="F143" s="106" t="s">
        <v>134</v>
      </c>
      <c r="G143" s="24">
        <v>7000</v>
      </c>
      <c r="H143" s="24"/>
      <c r="I143" s="24"/>
      <c r="J143" s="24"/>
      <c r="K143" s="24">
        <f aca="true" t="shared" si="24" ref="K143:K212">SUM(G143:J143)</f>
        <v>7000</v>
      </c>
      <c r="L143" s="24">
        <v>6480</v>
      </c>
      <c r="M143" s="24"/>
      <c r="N143" s="24"/>
      <c r="O143" s="24"/>
      <c r="P143" s="24">
        <f t="shared" si="22"/>
        <v>6480</v>
      </c>
      <c r="Q143" s="30">
        <f t="shared" si="15"/>
        <v>0.9257142857142857</v>
      </c>
    </row>
    <row r="144" spans="1:17" ht="12.75">
      <c r="A144" s="156"/>
      <c r="B144" s="20"/>
      <c r="C144" s="134"/>
      <c r="D144" s="111" t="s">
        <v>135</v>
      </c>
      <c r="E144" s="111" t="s">
        <v>7</v>
      </c>
      <c r="F144" s="106" t="s">
        <v>136</v>
      </c>
      <c r="G144" s="24">
        <v>76000</v>
      </c>
      <c r="H144" s="24"/>
      <c r="I144" s="24"/>
      <c r="J144" s="24"/>
      <c r="K144" s="24">
        <f t="shared" si="24"/>
        <v>76000</v>
      </c>
      <c r="L144" s="24">
        <v>94976</v>
      </c>
      <c r="M144" s="24"/>
      <c r="N144" s="24"/>
      <c r="O144" s="24"/>
      <c r="P144" s="24">
        <f t="shared" si="22"/>
        <v>94976</v>
      </c>
      <c r="Q144" s="30">
        <f t="shared" si="15"/>
        <v>1.2496842105263157</v>
      </c>
    </row>
    <row r="145" spans="1:17" ht="19.5">
      <c r="A145" s="156"/>
      <c r="B145" s="20"/>
      <c r="C145" s="134"/>
      <c r="D145" s="111" t="s">
        <v>137</v>
      </c>
      <c r="E145" s="111" t="s">
        <v>7</v>
      </c>
      <c r="F145" s="106" t="s">
        <v>138</v>
      </c>
      <c r="G145" s="24">
        <v>6300000</v>
      </c>
      <c r="H145" s="24"/>
      <c r="I145" s="24"/>
      <c r="J145" s="24"/>
      <c r="K145" s="24">
        <f t="shared" si="24"/>
        <v>6300000</v>
      </c>
      <c r="L145" s="24">
        <v>6033857.75</v>
      </c>
      <c r="M145" s="24"/>
      <c r="N145" s="24"/>
      <c r="O145" s="24"/>
      <c r="P145" s="24">
        <f t="shared" si="22"/>
        <v>6033857.75</v>
      </c>
      <c r="Q145" s="30">
        <f t="shared" si="15"/>
        <v>0.9577551984126984</v>
      </c>
    </row>
    <row r="146" spans="1:17" ht="19.5">
      <c r="A146" s="156"/>
      <c r="B146" s="20"/>
      <c r="C146" s="134"/>
      <c r="D146" s="111" t="s">
        <v>139</v>
      </c>
      <c r="E146" s="111" t="s">
        <v>7</v>
      </c>
      <c r="F146" s="106" t="s">
        <v>140</v>
      </c>
      <c r="G146" s="24">
        <v>4600000</v>
      </c>
      <c r="H146" s="24"/>
      <c r="I146" s="24"/>
      <c r="J146" s="24"/>
      <c r="K146" s="24">
        <f t="shared" si="24"/>
        <v>4600000</v>
      </c>
      <c r="L146" s="24">
        <v>-5325876</v>
      </c>
      <c r="M146" s="24"/>
      <c r="N146" s="24"/>
      <c r="O146" s="24"/>
      <c r="P146" s="24">
        <f t="shared" si="22"/>
        <v>-5325876</v>
      </c>
      <c r="Q146" s="30">
        <f t="shared" si="15"/>
        <v>-1.1577991304347826</v>
      </c>
    </row>
    <row r="147" spans="1:17" ht="30" customHeight="1">
      <c r="A147" s="150"/>
      <c r="B147" s="20"/>
      <c r="C147" s="134"/>
      <c r="D147" s="111" t="s">
        <v>141</v>
      </c>
      <c r="E147" s="111" t="s">
        <v>7</v>
      </c>
      <c r="F147" s="106" t="s">
        <v>142</v>
      </c>
      <c r="G147" s="24">
        <v>450000</v>
      </c>
      <c r="H147" s="24"/>
      <c r="I147" s="24"/>
      <c r="J147" s="24"/>
      <c r="K147" s="24">
        <f t="shared" si="24"/>
        <v>450000</v>
      </c>
      <c r="L147" s="24">
        <v>-5642266.54</v>
      </c>
      <c r="M147" s="24"/>
      <c r="N147" s="24"/>
      <c r="O147" s="24"/>
      <c r="P147" s="24">
        <f t="shared" si="22"/>
        <v>-5642266.54</v>
      </c>
      <c r="Q147" s="30">
        <f t="shared" si="15"/>
        <v>-12.53837008888889</v>
      </c>
    </row>
    <row r="148" spans="1:17" ht="39">
      <c r="A148" s="15"/>
      <c r="B148" s="20"/>
      <c r="C148" s="135"/>
      <c r="D148" s="111" t="s">
        <v>143</v>
      </c>
      <c r="E148" s="111" t="s">
        <v>7</v>
      </c>
      <c r="F148" s="106" t="s">
        <v>144</v>
      </c>
      <c r="G148" s="24">
        <v>157000</v>
      </c>
      <c r="H148" s="24"/>
      <c r="I148" s="24"/>
      <c r="J148" s="24"/>
      <c r="K148" s="24">
        <f t="shared" si="24"/>
        <v>157000</v>
      </c>
      <c r="L148" s="24">
        <v>175579</v>
      </c>
      <c r="M148" s="24"/>
      <c r="N148" s="24"/>
      <c r="O148" s="24"/>
      <c r="P148" s="24">
        <f t="shared" si="22"/>
        <v>175579</v>
      </c>
      <c r="Q148" s="30">
        <f t="shared" si="15"/>
        <v>1.1183375796178343</v>
      </c>
    </row>
    <row r="149" spans="1:17" ht="12.75">
      <c r="A149" s="15"/>
      <c r="B149" s="16" t="s">
        <v>145</v>
      </c>
      <c r="C149" s="17"/>
      <c r="D149" s="123"/>
      <c r="E149" s="123"/>
      <c r="F149" s="107"/>
      <c r="G149" s="26">
        <f>SUM(G142:G148)</f>
        <v>151928789</v>
      </c>
      <c r="H149" s="26">
        <f aca="true" t="shared" si="25" ref="H149:O149">SUM(H142:H148)</f>
        <v>0</v>
      </c>
      <c r="I149" s="26">
        <f t="shared" si="25"/>
        <v>0</v>
      </c>
      <c r="J149" s="26">
        <f t="shared" si="25"/>
        <v>0</v>
      </c>
      <c r="K149" s="26">
        <f t="shared" si="24"/>
        <v>151928789</v>
      </c>
      <c r="L149" s="26">
        <f t="shared" si="25"/>
        <v>108484277.50999999</v>
      </c>
      <c r="M149" s="26">
        <f t="shared" si="25"/>
        <v>0</v>
      </c>
      <c r="N149" s="26">
        <f t="shared" si="25"/>
        <v>0</v>
      </c>
      <c r="O149" s="26">
        <f t="shared" si="25"/>
        <v>0</v>
      </c>
      <c r="P149" s="26">
        <f t="shared" si="22"/>
        <v>108484277.50999999</v>
      </c>
      <c r="Q149" s="27">
        <f t="shared" si="15"/>
        <v>0.7140468783042824</v>
      </c>
    </row>
    <row r="150" spans="1:17" ht="19.5">
      <c r="A150" s="15"/>
      <c r="B150" s="13" t="s">
        <v>146</v>
      </c>
      <c r="C150" s="133" t="s">
        <v>147</v>
      </c>
      <c r="D150" s="111" t="s">
        <v>131</v>
      </c>
      <c r="E150" s="111" t="s">
        <v>7</v>
      </c>
      <c r="F150" s="106" t="s">
        <v>132</v>
      </c>
      <c r="G150" s="24">
        <v>23834679</v>
      </c>
      <c r="H150" s="24"/>
      <c r="I150" s="24"/>
      <c r="J150" s="24"/>
      <c r="K150" s="24">
        <f t="shared" si="24"/>
        <v>23834679</v>
      </c>
      <c r="L150" s="24">
        <v>24312046.05</v>
      </c>
      <c r="M150" s="24"/>
      <c r="N150" s="24"/>
      <c r="O150" s="24"/>
      <c r="P150" s="24">
        <f t="shared" si="22"/>
        <v>24312046.05</v>
      </c>
      <c r="Q150" s="30">
        <f t="shared" si="15"/>
        <v>1.0200282558871467</v>
      </c>
    </row>
    <row r="151" spans="1:17" ht="12.75">
      <c r="A151" s="15"/>
      <c r="B151" s="20"/>
      <c r="C151" s="134"/>
      <c r="D151" s="111" t="s">
        <v>133</v>
      </c>
      <c r="E151" s="111" t="s">
        <v>7</v>
      </c>
      <c r="F151" s="106" t="s">
        <v>134</v>
      </c>
      <c r="G151" s="24">
        <v>48000</v>
      </c>
      <c r="H151" s="24"/>
      <c r="I151" s="24"/>
      <c r="J151" s="24"/>
      <c r="K151" s="24">
        <f t="shared" si="24"/>
        <v>48000</v>
      </c>
      <c r="L151" s="24">
        <v>63750.13</v>
      </c>
      <c r="M151" s="24"/>
      <c r="N151" s="24"/>
      <c r="O151" s="24"/>
      <c r="P151" s="24">
        <f t="shared" si="22"/>
        <v>63750.13</v>
      </c>
      <c r="Q151" s="30">
        <f t="shared" si="15"/>
        <v>1.3281277083333334</v>
      </c>
    </row>
    <row r="152" spans="1:17" ht="12.75">
      <c r="A152" s="15"/>
      <c r="B152" s="20"/>
      <c r="C152" s="134"/>
      <c r="D152" s="111" t="s">
        <v>135</v>
      </c>
      <c r="E152" s="111" t="s">
        <v>7</v>
      </c>
      <c r="F152" s="106" t="s">
        <v>136</v>
      </c>
      <c r="G152" s="24">
        <v>4600</v>
      </c>
      <c r="H152" s="24"/>
      <c r="I152" s="24"/>
      <c r="J152" s="24"/>
      <c r="K152" s="24">
        <f t="shared" si="24"/>
        <v>4600</v>
      </c>
      <c r="L152" s="24">
        <v>4992.8</v>
      </c>
      <c r="M152" s="24"/>
      <c r="N152" s="24"/>
      <c r="O152" s="24"/>
      <c r="P152" s="24">
        <f t="shared" si="22"/>
        <v>4992.8</v>
      </c>
      <c r="Q152" s="30">
        <f t="shared" si="15"/>
        <v>1.085391304347826</v>
      </c>
    </row>
    <row r="153" spans="1:17" ht="19.5">
      <c r="A153" s="15"/>
      <c r="B153" s="20"/>
      <c r="C153" s="134"/>
      <c r="D153" s="111" t="s">
        <v>137</v>
      </c>
      <c r="E153" s="111" t="s">
        <v>7</v>
      </c>
      <c r="F153" s="106" t="s">
        <v>138</v>
      </c>
      <c r="G153" s="24">
        <v>2300000</v>
      </c>
      <c r="H153" s="24"/>
      <c r="I153" s="24"/>
      <c r="J153" s="24"/>
      <c r="K153" s="24">
        <f t="shared" si="24"/>
        <v>2300000</v>
      </c>
      <c r="L153" s="24">
        <v>2289185.33</v>
      </c>
      <c r="M153" s="24"/>
      <c r="N153" s="24"/>
      <c r="O153" s="24"/>
      <c r="P153" s="24">
        <f t="shared" si="22"/>
        <v>2289185.33</v>
      </c>
      <c r="Q153" s="30">
        <f t="shared" si="15"/>
        <v>0.9952979695652174</v>
      </c>
    </row>
    <row r="154" spans="1:17" ht="19.5">
      <c r="A154" s="15"/>
      <c r="B154" s="20"/>
      <c r="C154" s="134"/>
      <c r="D154" s="111" t="s">
        <v>148</v>
      </c>
      <c r="E154" s="111" t="s">
        <v>7</v>
      </c>
      <c r="F154" s="106" t="s">
        <v>149</v>
      </c>
      <c r="G154" s="24">
        <v>4300000</v>
      </c>
      <c r="H154" s="24"/>
      <c r="I154" s="24"/>
      <c r="J154" s="24"/>
      <c r="K154" s="24">
        <f t="shared" si="24"/>
        <v>4300000</v>
      </c>
      <c r="L154" s="24">
        <v>4201085.56</v>
      </c>
      <c r="M154" s="24"/>
      <c r="N154" s="24"/>
      <c r="O154" s="24"/>
      <c r="P154" s="24">
        <f t="shared" si="22"/>
        <v>4201085.56</v>
      </c>
      <c r="Q154" s="30">
        <f t="shared" si="15"/>
        <v>0.976996641860465</v>
      </c>
    </row>
    <row r="155" spans="1:17" ht="19.5">
      <c r="A155" s="15"/>
      <c r="B155" s="20"/>
      <c r="C155" s="134"/>
      <c r="D155" s="111" t="s">
        <v>150</v>
      </c>
      <c r="E155" s="111" t="s">
        <v>7</v>
      </c>
      <c r="F155" s="106" t="s">
        <v>151</v>
      </c>
      <c r="G155" s="24">
        <v>400000</v>
      </c>
      <c r="H155" s="24"/>
      <c r="I155" s="24"/>
      <c r="J155" s="24"/>
      <c r="K155" s="24">
        <f t="shared" si="24"/>
        <v>400000</v>
      </c>
      <c r="L155" s="24">
        <v>326213.9</v>
      </c>
      <c r="M155" s="24"/>
      <c r="N155" s="24"/>
      <c r="O155" s="24"/>
      <c r="P155" s="24">
        <f t="shared" si="22"/>
        <v>326213.9</v>
      </c>
      <c r="Q155" s="30">
        <f t="shared" si="15"/>
        <v>0.8155347500000001</v>
      </c>
    </row>
    <row r="156" spans="1:17" ht="19.5">
      <c r="A156" s="15"/>
      <c r="B156" s="20"/>
      <c r="C156" s="134"/>
      <c r="D156" s="111" t="s">
        <v>152</v>
      </c>
      <c r="E156" s="111" t="s">
        <v>7</v>
      </c>
      <c r="F156" s="106" t="s">
        <v>153</v>
      </c>
      <c r="G156" s="24">
        <v>60000</v>
      </c>
      <c r="H156" s="24"/>
      <c r="I156" s="24"/>
      <c r="J156" s="24"/>
      <c r="K156" s="24">
        <f t="shared" si="24"/>
        <v>60000</v>
      </c>
      <c r="L156" s="24">
        <v>112132.28</v>
      </c>
      <c r="M156" s="24"/>
      <c r="N156" s="24"/>
      <c r="O156" s="24"/>
      <c r="P156" s="24">
        <f t="shared" si="22"/>
        <v>112132.28</v>
      </c>
      <c r="Q156" s="30">
        <f t="shared" si="15"/>
        <v>1.8688713333333333</v>
      </c>
    </row>
    <row r="157" spans="1:17" ht="19.5">
      <c r="A157" s="15"/>
      <c r="B157" s="20"/>
      <c r="C157" s="134"/>
      <c r="D157" s="111" t="s">
        <v>139</v>
      </c>
      <c r="E157" s="111" t="s">
        <v>7</v>
      </c>
      <c r="F157" s="106" t="s">
        <v>140</v>
      </c>
      <c r="G157" s="24">
        <v>27400000</v>
      </c>
      <c r="H157" s="24"/>
      <c r="I157" s="24"/>
      <c r="J157" s="24"/>
      <c r="K157" s="24">
        <f t="shared" si="24"/>
        <v>27400000</v>
      </c>
      <c r="L157" s="24">
        <f>23268023.43+1919</f>
        <v>23269942.43</v>
      </c>
      <c r="M157" s="24"/>
      <c r="N157" s="24"/>
      <c r="O157" s="24"/>
      <c r="P157" s="24">
        <f t="shared" si="22"/>
        <v>23269942.43</v>
      </c>
      <c r="Q157" s="30">
        <f t="shared" si="15"/>
        <v>0.8492679718978102</v>
      </c>
    </row>
    <row r="158" spans="1:17" ht="29.25">
      <c r="A158" s="15"/>
      <c r="B158" s="20"/>
      <c r="C158" s="135"/>
      <c r="D158" s="111" t="s">
        <v>141</v>
      </c>
      <c r="E158" s="111" t="s">
        <v>7</v>
      </c>
      <c r="F158" s="106" t="s">
        <v>142</v>
      </c>
      <c r="G158" s="24">
        <v>300000</v>
      </c>
      <c r="H158" s="24"/>
      <c r="I158" s="24"/>
      <c r="J158" s="24"/>
      <c r="K158" s="24">
        <f t="shared" si="24"/>
        <v>300000</v>
      </c>
      <c r="L158" s="24">
        <v>401214.57</v>
      </c>
      <c r="M158" s="24"/>
      <c r="N158" s="24"/>
      <c r="O158" s="24"/>
      <c r="P158" s="24">
        <f t="shared" si="22"/>
        <v>401214.57</v>
      </c>
      <c r="Q158" s="30">
        <f t="shared" si="15"/>
        <v>1.3373819</v>
      </c>
    </row>
    <row r="159" spans="1:17" ht="12.75">
      <c r="A159" s="15"/>
      <c r="B159" s="16" t="s">
        <v>154</v>
      </c>
      <c r="C159" s="17"/>
      <c r="D159" s="123"/>
      <c r="E159" s="123"/>
      <c r="F159" s="107"/>
      <c r="G159" s="26">
        <f>SUM(G150:G158)</f>
        <v>58647279</v>
      </c>
      <c r="H159" s="26">
        <f>SUM(H150:H158)</f>
        <v>0</v>
      </c>
      <c r="I159" s="26">
        <f>SUM(I150:I158)</f>
        <v>0</v>
      </c>
      <c r="J159" s="26">
        <f>SUM(J150:J158)</f>
        <v>0</v>
      </c>
      <c r="K159" s="26">
        <f t="shared" si="24"/>
        <v>58647279</v>
      </c>
      <c r="L159" s="26">
        <f>SUM(L150:L158)</f>
        <v>54980563.050000004</v>
      </c>
      <c r="M159" s="26">
        <f>SUM(M150:M158)</f>
        <v>0</v>
      </c>
      <c r="N159" s="26">
        <f>SUM(N150:N158)</f>
        <v>0</v>
      </c>
      <c r="O159" s="26">
        <f>SUM(O150:O158)</f>
        <v>0</v>
      </c>
      <c r="P159" s="26">
        <f t="shared" si="22"/>
        <v>54980563.050000004</v>
      </c>
      <c r="Q159" s="27">
        <f t="shared" si="15"/>
        <v>0.93747849836307</v>
      </c>
    </row>
    <row r="160" spans="1:17" ht="19.5">
      <c r="A160" s="15"/>
      <c r="B160" s="13" t="s">
        <v>155</v>
      </c>
      <c r="C160" s="133" t="s">
        <v>156</v>
      </c>
      <c r="D160" s="111" t="s">
        <v>157</v>
      </c>
      <c r="E160" s="111" t="s">
        <v>7</v>
      </c>
      <c r="F160" s="106" t="s">
        <v>158</v>
      </c>
      <c r="G160" s="24">
        <v>3800000</v>
      </c>
      <c r="H160" s="24"/>
      <c r="I160" s="24"/>
      <c r="J160" s="24"/>
      <c r="K160" s="24">
        <f t="shared" si="24"/>
        <v>3800000</v>
      </c>
      <c r="L160" s="24">
        <v>3762676.58</v>
      </c>
      <c r="M160" s="24"/>
      <c r="N160" s="24"/>
      <c r="O160" s="24"/>
      <c r="P160" s="24">
        <f t="shared" si="22"/>
        <v>3762676.58</v>
      </c>
      <c r="Q160" s="30">
        <f t="shared" si="15"/>
        <v>0.9901780473684211</v>
      </c>
    </row>
    <row r="161" spans="1:17" ht="19.5">
      <c r="A161" s="15"/>
      <c r="B161" s="20"/>
      <c r="C161" s="134"/>
      <c r="D161" s="111" t="s">
        <v>159</v>
      </c>
      <c r="E161" s="111" t="s">
        <v>7</v>
      </c>
      <c r="F161" s="106" t="s">
        <v>160</v>
      </c>
      <c r="G161" s="24">
        <v>5600000</v>
      </c>
      <c r="H161" s="24"/>
      <c r="I161" s="24"/>
      <c r="J161" s="24"/>
      <c r="K161" s="24">
        <f t="shared" si="24"/>
        <v>5600000</v>
      </c>
      <c r="L161" s="24">
        <v>5554607.97</v>
      </c>
      <c r="M161" s="24"/>
      <c r="N161" s="24"/>
      <c r="O161" s="24"/>
      <c r="P161" s="24">
        <f t="shared" si="22"/>
        <v>5554607.97</v>
      </c>
      <c r="Q161" s="30">
        <f t="shared" si="15"/>
        <v>0.9918942803571428</v>
      </c>
    </row>
    <row r="162" spans="1:17" ht="26.25" customHeight="1">
      <c r="A162" s="15"/>
      <c r="B162" s="20"/>
      <c r="C162" s="134"/>
      <c r="D162" s="111" t="s">
        <v>161</v>
      </c>
      <c r="E162" s="111" t="s">
        <v>7</v>
      </c>
      <c r="F162" s="106" t="s">
        <v>162</v>
      </c>
      <c r="G162" s="24">
        <v>5200000</v>
      </c>
      <c r="H162" s="24"/>
      <c r="I162" s="24"/>
      <c r="J162" s="24"/>
      <c r="K162" s="24">
        <f t="shared" si="24"/>
        <v>5200000</v>
      </c>
      <c r="L162" s="24">
        <f>8939566.85-3762676.58</f>
        <v>5176890.27</v>
      </c>
      <c r="M162" s="24"/>
      <c r="N162" s="24"/>
      <c r="O162" s="24"/>
      <c r="P162" s="24">
        <f t="shared" si="22"/>
        <v>5176890.27</v>
      </c>
      <c r="Q162" s="30">
        <f t="shared" si="15"/>
        <v>0.9955558211538461</v>
      </c>
    </row>
    <row r="163" spans="1:17" ht="38.25" customHeight="1">
      <c r="A163" s="15"/>
      <c r="B163" s="20"/>
      <c r="C163" s="134"/>
      <c r="D163" s="111" t="s">
        <v>163</v>
      </c>
      <c r="E163" s="111" t="s">
        <v>7</v>
      </c>
      <c r="F163" s="106" t="s">
        <v>164</v>
      </c>
      <c r="G163" s="24">
        <v>36250000</v>
      </c>
      <c r="H163" s="24"/>
      <c r="I163" s="24"/>
      <c r="J163" s="24"/>
      <c r="K163" s="24">
        <f t="shared" si="24"/>
        <v>36250000</v>
      </c>
      <c r="L163" s="24">
        <v>36263888.36</v>
      </c>
      <c r="M163" s="24"/>
      <c r="N163" s="24"/>
      <c r="O163" s="24"/>
      <c r="P163" s="24">
        <f t="shared" si="22"/>
        <v>36263888.36</v>
      </c>
      <c r="Q163" s="30">
        <f t="shared" si="15"/>
        <v>1.0003831271724137</v>
      </c>
    </row>
    <row r="164" spans="1:17" ht="29.25" customHeight="1">
      <c r="A164" s="15"/>
      <c r="B164" s="20"/>
      <c r="C164" s="63"/>
      <c r="D164" s="125" t="s">
        <v>141</v>
      </c>
      <c r="E164" s="111">
        <v>0</v>
      </c>
      <c r="F164" s="106" t="s">
        <v>142</v>
      </c>
      <c r="G164" s="24"/>
      <c r="H164" s="24"/>
      <c r="I164" s="24"/>
      <c r="J164" s="24"/>
      <c r="K164" s="24">
        <f t="shared" si="24"/>
        <v>0</v>
      </c>
      <c r="L164" s="24">
        <v>3036.43</v>
      </c>
      <c r="M164" s="24"/>
      <c r="N164" s="24"/>
      <c r="O164" s="24"/>
      <c r="P164" s="24">
        <f t="shared" si="22"/>
        <v>3036.43</v>
      </c>
      <c r="Q164" s="30"/>
    </row>
    <row r="165" spans="1:17" ht="12.75">
      <c r="A165" s="15"/>
      <c r="B165" s="20"/>
      <c r="C165" s="15"/>
      <c r="D165" s="125" t="s">
        <v>23</v>
      </c>
      <c r="E165" s="111">
        <v>0</v>
      </c>
      <c r="F165" s="106" t="s">
        <v>24</v>
      </c>
      <c r="G165" s="24"/>
      <c r="H165" s="24"/>
      <c r="I165" s="24"/>
      <c r="J165" s="24"/>
      <c r="K165" s="24">
        <f t="shared" si="24"/>
        <v>0</v>
      </c>
      <c r="L165" s="24">
        <v>1805.55</v>
      </c>
      <c r="M165" s="24"/>
      <c r="N165" s="24"/>
      <c r="O165" s="24"/>
      <c r="P165" s="24">
        <f t="shared" si="22"/>
        <v>1805.55</v>
      </c>
      <c r="Q165" s="30"/>
    </row>
    <row r="166" spans="1:17" ht="12.75">
      <c r="A166" s="15"/>
      <c r="B166" s="16" t="s">
        <v>165</v>
      </c>
      <c r="C166" s="17"/>
      <c r="D166" s="123"/>
      <c r="E166" s="123"/>
      <c r="F166" s="107"/>
      <c r="G166" s="26">
        <f>SUM(G160:G163)</f>
        <v>50850000</v>
      </c>
      <c r="H166" s="26">
        <f>SUM(H160:H163)</f>
        <v>0</v>
      </c>
      <c r="I166" s="26">
        <f>SUM(I160:I163)</f>
        <v>0</v>
      </c>
      <c r="J166" s="26">
        <f>SUM(J160:J163)</f>
        <v>0</v>
      </c>
      <c r="K166" s="26">
        <f t="shared" si="24"/>
        <v>50850000</v>
      </c>
      <c r="L166" s="26">
        <f>SUM(L160:L165)</f>
        <v>50762905.16</v>
      </c>
      <c r="M166" s="26">
        <f>SUM(M160:M165)</f>
        <v>0</v>
      </c>
      <c r="N166" s="26">
        <f>SUM(N160:N165)</f>
        <v>0</v>
      </c>
      <c r="O166" s="26">
        <f>SUM(O160:O165)</f>
        <v>0</v>
      </c>
      <c r="P166" s="26">
        <f t="shared" si="22"/>
        <v>50762905.16</v>
      </c>
      <c r="Q166" s="27">
        <f t="shared" si="15"/>
        <v>0.9982872204523107</v>
      </c>
    </row>
    <row r="167" spans="1:17" ht="29.25" customHeight="1">
      <c r="A167" s="15"/>
      <c r="B167" s="13" t="s">
        <v>166</v>
      </c>
      <c r="C167" s="133" t="s">
        <v>167</v>
      </c>
      <c r="D167" s="111" t="s">
        <v>168</v>
      </c>
      <c r="E167" s="111" t="s">
        <v>7</v>
      </c>
      <c r="F167" s="106" t="s">
        <v>169</v>
      </c>
      <c r="G167" s="24">
        <v>254916944</v>
      </c>
      <c r="H167" s="24"/>
      <c r="I167" s="24"/>
      <c r="J167" s="24"/>
      <c r="K167" s="24">
        <f t="shared" si="24"/>
        <v>254916944</v>
      </c>
      <c r="L167" s="24">
        <v>257746202</v>
      </c>
      <c r="M167" s="24"/>
      <c r="N167" s="24"/>
      <c r="O167" s="24"/>
      <c r="P167" s="24">
        <f t="shared" si="22"/>
        <v>257746202</v>
      </c>
      <c r="Q167" s="30">
        <f t="shared" si="15"/>
        <v>1.011098744381621</v>
      </c>
    </row>
    <row r="168" spans="1:17" ht="31.5" customHeight="1">
      <c r="A168" s="15"/>
      <c r="B168" s="20"/>
      <c r="C168" s="135"/>
      <c r="D168" s="111" t="s">
        <v>170</v>
      </c>
      <c r="E168" s="111" t="s">
        <v>7</v>
      </c>
      <c r="F168" s="106" t="s">
        <v>171</v>
      </c>
      <c r="G168" s="24">
        <v>22100000</v>
      </c>
      <c r="H168" s="24"/>
      <c r="I168" s="24"/>
      <c r="J168" s="24"/>
      <c r="K168" s="24">
        <f t="shared" si="24"/>
        <v>22100000</v>
      </c>
      <c r="L168" s="24">
        <f>21028861.01+331.78</f>
        <v>21029192.790000003</v>
      </c>
      <c r="M168" s="24"/>
      <c r="N168" s="24"/>
      <c r="O168" s="24"/>
      <c r="P168" s="24">
        <f t="shared" si="22"/>
        <v>21029192.790000003</v>
      </c>
      <c r="Q168" s="30">
        <f t="shared" si="15"/>
        <v>0.9515471850678734</v>
      </c>
    </row>
    <row r="169" spans="1:17" ht="12.75">
      <c r="A169" s="15"/>
      <c r="B169" s="16" t="s">
        <v>172</v>
      </c>
      <c r="C169" s="17"/>
      <c r="D169" s="123"/>
      <c r="E169" s="123"/>
      <c r="F169" s="107"/>
      <c r="G169" s="26">
        <f>SUM(G167:G168)</f>
        <v>277016944</v>
      </c>
      <c r="H169" s="26">
        <f aca="true" t="shared" si="26" ref="H169:O169">SUM(H167:H168)</f>
        <v>0</v>
      </c>
      <c r="I169" s="26">
        <f t="shared" si="26"/>
        <v>0</v>
      </c>
      <c r="J169" s="26">
        <f t="shared" si="26"/>
        <v>0</v>
      </c>
      <c r="K169" s="26">
        <f t="shared" si="24"/>
        <v>277016944</v>
      </c>
      <c r="L169" s="26">
        <f t="shared" si="26"/>
        <v>278775394.79</v>
      </c>
      <c r="M169" s="26">
        <f t="shared" si="26"/>
        <v>0</v>
      </c>
      <c r="N169" s="26">
        <f t="shared" si="26"/>
        <v>0</v>
      </c>
      <c r="O169" s="26">
        <f t="shared" si="26"/>
        <v>0</v>
      </c>
      <c r="P169" s="26">
        <f t="shared" si="22"/>
        <v>278775394.79</v>
      </c>
      <c r="Q169" s="27">
        <f t="shared" si="15"/>
        <v>1.0063478095043892</v>
      </c>
    </row>
    <row r="170" spans="1:17" ht="27.75" customHeight="1">
      <c r="A170" s="15"/>
      <c r="B170" s="13" t="s">
        <v>173</v>
      </c>
      <c r="C170" s="133" t="s">
        <v>174</v>
      </c>
      <c r="D170" s="111" t="s">
        <v>168</v>
      </c>
      <c r="E170" s="111" t="s">
        <v>7</v>
      </c>
      <c r="F170" s="106" t="s">
        <v>169</v>
      </c>
      <c r="G170" s="24">
        <v>69621600</v>
      </c>
      <c r="H170" s="24"/>
      <c r="I170" s="24"/>
      <c r="J170" s="24"/>
      <c r="K170" s="24">
        <f t="shared" si="24"/>
        <v>69621600</v>
      </c>
      <c r="L170" s="24">
        <v>70394315</v>
      </c>
      <c r="M170" s="24"/>
      <c r="N170" s="24"/>
      <c r="O170" s="24"/>
      <c r="P170" s="24">
        <f t="shared" si="22"/>
        <v>70394315</v>
      </c>
      <c r="Q170" s="30">
        <f t="shared" si="15"/>
        <v>1.0110987825617337</v>
      </c>
    </row>
    <row r="171" spans="1:17" ht="27" customHeight="1">
      <c r="A171" s="15"/>
      <c r="B171" s="20"/>
      <c r="C171" s="135"/>
      <c r="D171" s="111" t="s">
        <v>170</v>
      </c>
      <c r="E171" s="111" t="s">
        <v>7</v>
      </c>
      <c r="F171" s="106" t="s">
        <v>171</v>
      </c>
      <c r="G171" s="24">
        <v>4600000</v>
      </c>
      <c r="H171" s="24"/>
      <c r="I171" s="24"/>
      <c r="J171" s="24"/>
      <c r="K171" s="24">
        <f t="shared" si="24"/>
        <v>4600000</v>
      </c>
      <c r="L171" s="24">
        <v>4384621.35</v>
      </c>
      <c r="M171" s="24"/>
      <c r="N171" s="24"/>
      <c r="O171" s="24"/>
      <c r="P171" s="24">
        <f t="shared" si="22"/>
        <v>4384621.35</v>
      </c>
      <c r="Q171" s="30">
        <f t="shared" si="15"/>
        <v>0.9531785543478261</v>
      </c>
    </row>
    <row r="172" spans="1:17" ht="12.75">
      <c r="A172" s="15"/>
      <c r="B172" s="16" t="s">
        <v>175</v>
      </c>
      <c r="C172" s="17"/>
      <c r="D172" s="123"/>
      <c r="E172" s="123"/>
      <c r="F172" s="107"/>
      <c r="G172" s="26">
        <f>SUM(G170:G171)</f>
        <v>74221600</v>
      </c>
      <c r="H172" s="26">
        <f aca="true" t="shared" si="27" ref="H172:O172">SUM(H170:H171)</f>
        <v>0</v>
      </c>
      <c r="I172" s="26">
        <f t="shared" si="27"/>
        <v>0</v>
      </c>
      <c r="J172" s="26">
        <f t="shared" si="27"/>
        <v>0</v>
      </c>
      <c r="K172" s="26">
        <f t="shared" si="24"/>
        <v>74221600</v>
      </c>
      <c r="L172" s="26">
        <f t="shared" si="27"/>
        <v>74778936.35</v>
      </c>
      <c r="M172" s="26">
        <f t="shared" si="27"/>
        <v>0</v>
      </c>
      <c r="N172" s="26">
        <f t="shared" si="27"/>
        <v>0</v>
      </c>
      <c r="O172" s="26">
        <f t="shared" si="27"/>
        <v>0</v>
      </c>
      <c r="P172" s="26">
        <f t="shared" si="22"/>
        <v>74778936.35</v>
      </c>
      <c r="Q172" s="27">
        <f t="shared" si="15"/>
        <v>1.007509085630059</v>
      </c>
    </row>
    <row r="173" spans="1:17" ht="12.75">
      <c r="A173" s="18" t="s">
        <v>176</v>
      </c>
      <c r="B173" s="19"/>
      <c r="C173" s="19"/>
      <c r="D173" s="124"/>
      <c r="E173" s="124"/>
      <c r="F173" s="108"/>
      <c r="G173" s="28">
        <f>SUM(G172,G169,G166,G159,G149,G141)</f>
        <v>613364612</v>
      </c>
      <c r="H173" s="28">
        <f aca="true" t="shared" si="28" ref="H173:O173">SUM(H172,H169,H166,H159,H149,H141)</f>
        <v>0</v>
      </c>
      <c r="I173" s="28">
        <f t="shared" si="28"/>
        <v>0</v>
      </c>
      <c r="J173" s="28">
        <f t="shared" si="28"/>
        <v>0</v>
      </c>
      <c r="K173" s="28">
        <f t="shared" si="24"/>
        <v>613364612</v>
      </c>
      <c r="L173" s="28">
        <f t="shared" si="28"/>
        <v>568616050.1899999</v>
      </c>
      <c r="M173" s="28">
        <f t="shared" si="28"/>
        <v>0</v>
      </c>
      <c r="N173" s="28">
        <f t="shared" si="28"/>
        <v>0</v>
      </c>
      <c r="O173" s="28">
        <f t="shared" si="28"/>
        <v>0</v>
      </c>
      <c r="P173" s="28">
        <f t="shared" si="22"/>
        <v>568616050.1899999</v>
      </c>
      <c r="Q173" s="29">
        <f t="shared" si="15"/>
        <v>0.9270441089451048</v>
      </c>
    </row>
    <row r="174" spans="1:17" ht="60.75" customHeight="1">
      <c r="A174" s="14" t="s">
        <v>336</v>
      </c>
      <c r="B174" s="13" t="s">
        <v>177</v>
      </c>
      <c r="C174" s="14" t="s">
        <v>178</v>
      </c>
      <c r="D174" s="111" t="s">
        <v>179</v>
      </c>
      <c r="E174" s="111" t="s">
        <v>7</v>
      </c>
      <c r="F174" s="106" t="s">
        <v>180</v>
      </c>
      <c r="G174" s="24">
        <v>215531489</v>
      </c>
      <c r="H174" s="24"/>
      <c r="I174" s="24"/>
      <c r="J174" s="24"/>
      <c r="K174" s="24">
        <f t="shared" si="24"/>
        <v>215531489</v>
      </c>
      <c r="L174" s="24">
        <v>215531489</v>
      </c>
      <c r="M174" s="24"/>
      <c r="N174" s="24"/>
      <c r="O174" s="24"/>
      <c r="P174" s="24">
        <f t="shared" si="22"/>
        <v>215531489</v>
      </c>
      <c r="Q174" s="30">
        <f t="shared" si="15"/>
        <v>1</v>
      </c>
    </row>
    <row r="175" spans="1:17" ht="12.75">
      <c r="A175" s="82"/>
      <c r="B175" s="16" t="s">
        <v>181</v>
      </c>
      <c r="C175" s="17"/>
      <c r="D175" s="123"/>
      <c r="E175" s="123"/>
      <c r="F175" s="107"/>
      <c r="G175" s="26">
        <f>SUM(G174)</f>
        <v>215531489</v>
      </c>
      <c r="H175" s="26">
        <f aca="true" t="shared" si="29" ref="H175:O175">SUM(H174)</f>
        <v>0</v>
      </c>
      <c r="I175" s="26">
        <f t="shared" si="29"/>
        <v>0</v>
      </c>
      <c r="J175" s="26">
        <f t="shared" si="29"/>
        <v>0</v>
      </c>
      <c r="K175" s="26">
        <f t="shared" si="24"/>
        <v>215531489</v>
      </c>
      <c r="L175" s="26">
        <f t="shared" si="29"/>
        <v>215531489</v>
      </c>
      <c r="M175" s="26">
        <f t="shared" si="29"/>
        <v>0</v>
      </c>
      <c r="N175" s="26">
        <f t="shared" si="29"/>
        <v>0</v>
      </c>
      <c r="O175" s="26">
        <f t="shared" si="29"/>
        <v>0</v>
      </c>
      <c r="P175" s="26">
        <f t="shared" si="22"/>
        <v>215531489</v>
      </c>
      <c r="Q175" s="27">
        <f t="shared" si="15"/>
        <v>1</v>
      </c>
    </row>
    <row r="176" spans="1:17" ht="60" customHeight="1">
      <c r="A176" s="63"/>
      <c r="B176" s="13">
        <v>75802</v>
      </c>
      <c r="C176" s="14" t="s">
        <v>400</v>
      </c>
      <c r="D176" s="111">
        <v>276</v>
      </c>
      <c r="E176" s="111" t="s">
        <v>7</v>
      </c>
      <c r="F176" s="106" t="s">
        <v>180</v>
      </c>
      <c r="G176" s="24">
        <v>14720</v>
      </c>
      <c r="H176" s="24"/>
      <c r="I176" s="24"/>
      <c r="J176" s="24"/>
      <c r="K176" s="24">
        <f>SUM(G176:J176)</f>
        <v>14720</v>
      </c>
      <c r="L176" s="24">
        <v>14720</v>
      </c>
      <c r="M176" s="24"/>
      <c r="N176" s="24"/>
      <c r="O176" s="24"/>
      <c r="P176" s="24">
        <f t="shared" si="22"/>
        <v>14720</v>
      </c>
      <c r="Q176" s="30">
        <f>P176/K176</f>
        <v>1</v>
      </c>
    </row>
    <row r="177" spans="1:17" ht="12.75">
      <c r="A177" s="15"/>
      <c r="B177" s="16" t="s">
        <v>399</v>
      </c>
      <c r="C177" s="17"/>
      <c r="D177" s="123"/>
      <c r="E177" s="123"/>
      <c r="F177" s="107"/>
      <c r="G177" s="26">
        <f>SUM(G176)</f>
        <v>14720</v>
      </c>
      <c r="H177" s="26">
        <f>SUM(H176)</f>
        <v>0</v>
      </c>
      <c r="I177" s="26">
        <f>SUM(I176)</f>
        <v>0</v>
      </c>
      <c r="J177" s="26">
        <f>SUM(J176)</f>
        <v>0</v>
      </c>
      <c r="K177" s="26">
        <f>SUM(G177:J177)</f>
        <v>14720</v>
      </c>
      <c r="L177" s="26">
        <f>SUM(L176)</f>
        <v>14720</v>
      </c>
      <c r="M177" s="26">
        <f>SUM(M176)</f>
        <v>0</v>
      </c>
      <c r="N177" s="26">
        <f>SUM(N176)</f>
        <v>0</v>
      </c>
      <c r="O177" s="26">
        <f>SUM(O176)</f>
        <v>0</v>
      </c>
      <c r="P177" s="26">
        <f t="shared" si="22"/>
        <v>14720</v>
      </c>
      <c r="Q177" s="27">
        <f>P177/K177</f>
        <v>1</v>
      </c>
    </row>
    <row r="178" spans="1:17" ht="19.5">
      <c r="A178" s="15"/>
      <c r="B178" s="13" t="s">
        <v>182</v>
      </c>
      <c r="C178" s="133" t="s">
        <v>183</v>
      </c>
      <c r="D178" s="111" t="s">
        <v>184</v>
      </c>
      <c r="E178" s="111" t="s">
        <v>7</v>
      </c>
      <c r="F178" s="106" t="s">
        <v>356</v>
      </c>
      <c r="G178" s="24">
        <v>4888597</v>
      </c>
      <c r="H178" s="24"/>
      <c r="I178" s="24"/>
      <c r="J178" s="24"/>
      <c r="K178" s="24">
        <f t="shared" si="24"/>
        <v>4888597</v>
      </c>
      <c r="L178" s="24">
        <v>4888597.33</v>
      </c>
      <c r="M178" s="24"/>
      <c r="N178" s="24"/>
      <c r="O178" s="24"/>
      <c r="P178" s="24">
        <f t="shared" si="22"/>
        <v>4888597.33</v>
      </c>
      <c r="Q178" s="30">
        <f t="shared" si="15"/>
        <v>1.0000000675040304</v>
      </c>
    </row>
    <row r="179" spans="1:17" ht="12.75">
      <c r="A179" s="15"/>
      <c r="B179" s="20"/>
      <c r="C179" s="134"/>
      <c r="D179" s="132" t="s">
        <v>23</v>
      </c>
      <c r="E179" s="111" t="s">
        <v>7</v>
      </c>
      <c r="F179" s="130" t="s">
        <v>24</v>
      </c>
      <c r="G179" s="24">
        <v>500000</v>
      </c>
      <c r="H179" s="24"/>
      <c r="I179" s="24"/>
      <c r="J179" s="24"/>
      <c r="K179" s="24">
        <f t="shared" si="24"/>
        <v>500000</v>
      </c>
      <c r="L179" s="24">
        <v>316533.65</v>
      </c>
      <c r="M179" s="24"/>
      <c r="N179" s="24"/>
      <c r="O179" s="24"/>
      <c r="P179" s="24">
        <f t="shared" si="22"/>
        <v>316533.65</v>
      </c>
      <c r="Q179" s="30">
        <f>P179/K179</f>
        <v>0.6330673</v>
      </c>
    </row>
    <row r="180" spans="1:17" ht="12.75">
      <c r="A180" s="15"/>
      <c r="B180" s="20"/>
      <c r="C180" s="63"/>
      <c r="D180" s="132"/>
      <c r="E180" s="111">
        <v>1</v>
      </c>
      <c r="F180" s="146"/>
      <c r="G180" s="24"/>
      <c r="H180" s="24"/>
      <c r="I180" s="24"/>
      <c r="J180" s="24"/>
      <c r="K180" s="24">
        <f t="shared" si="24"/>
        <v>0</v>
      </c>
      <c r="L180" s="24">
        <v>3537.04</v>
      </c>
      <c r="M180" s="24"/>
      <c r="N180" s="24"/>
      <c r="O180" s="24"/>
      <c r="P180" s="24">
        <f t="shared" si="22"/>
        <v>3537.04</v>
      </c>
      <c r="Q180" s="30"/>
    </row>
    <row r="181" spans="1:17" ht="12.75">
      <c r="A181" s="15"/>
      <c r="B181" s="20"/>
      <c r="C181" s="15"/>
      <c r="D181" s="132"/>
      <c r="E181" s="111">
        <v>7</v>
      </c>
      <c r="F181" s="131"/>
      <c r="G181" s="24"/>
      <c r="H181" s="24"/>
      <c r="I181" s="24"/>
      <c r="J181" s="24"/>
      <c r="K181" s="24">
        <f t="shared" si="24"/>
        <v>0</v>
      </c>
      <c r="L181" s="24">
        <v>578.3</v>
      </c>
      <c r="M181" s="24"/>
      <c r="N181" s="24"/>
      <c r="O181" s="24"/>
      <c r="P181" s="24">
        <f t="shared" si="22"/>
        <v>578.3</v>
      </c>
      <c r="Q181" s="30"/>
    </row>
    <row r="182" spans="1:17" ht="12.75">
      <c r="A182" s="15"/>
      <c r="B182" s="16" t="s">
        <v>185</v>
      </c>
      <c r="C182" s="17"/>
      <c r="D182" s="123"/>
      <c r="E182" s="123"/>
      <c r="F182" s="107"/>
      <c r="G182" s="26">
        <f>SUM(G178:G179)</f>
        <v>5388597</v>
      </c>
      <c r="H182" s="26">
        <f>SUM(H178:H179)</f>
        <v>0</v>
      </c>
      <c r="I182" s="26">
        <f>SUM(I178:I179)</f>
        <v>0</v>
      </c>
      <c r="J182" s="26">
        <f>SUM(J178:J179)</f>
        <v>0</v>
      </c>
      <c r="K182" s="26">
        <f t="shared" si="24"/>
        <v>5388597</v>
      </c>
      <c r="L182" s="26">
        <f>SUM(L178:L181)</f>
        <v>5209246.32</v>
      </c>
      <c r="M182" s="26">
        <f>SUM(M178:M181)</f>
        <v>0</v>
      </c>
      <c r="N182" s="26">
        <f>SUM(N178:N181)</f>
        <v>0</v>
      </c>
      <c r="O182" s="26">
        <f>SUM(O178:O181)</f>
        <v>0</v>
      </c>
      <c r="P182" s="26">
        <f t="shared" si="22"/>
        <v>5209246.32</v>
      </c>
      <c r="Q182" s="27">
        <f>P182/K182</f>
        <v>0.9667166277233202</v>
      </c>
    </row>
    <row r="183" spans="1:17" ht="19.5">
      <c r="A183" s="15"/>
      <c r="B183" s="13">
        <v>75815</v>
      </c>
      <c r="C183" s="14" t="s">
        <v>347</v>
      </c>
      <c r="D183" s="111">
        <v>298</v>
      </c>
      <c r="E183" s="111" t="s">
        <v>7</v>
      </c>
      <c r="F183" s="106" t="s">
        <v>347</v>
      </c>
      <c r="G183" s="24"/>
      <c r="H183" s="24"/>
      <c r="I183" s="24"/>
      <c r="J183" s="24"/>
      <c r="K183" s="24">
        <f t="shared" si="24"/>
        <v>0</v>
      </c>
      <c r="L183" s="24">
        <v>29323.36</v>
      </c>
      <c r="M183" s="24"/>
      <c r="N183" s="24"/>
      <c r="O183" s="24"/>
      <c r="P183" s="24">
        <f t="shared" si="22"/>
        <v>29323.36</v>
      </c>
      <c r="Q183" s="30"/>
    </row>
    <row r="184" spans="1:17" ht="12.75">
      <c r="A184" s="15"/>
      <c r="B184" s="16" t="s">
        <v>355</v>
      </c>
      <c r="C184" s="17"/>
      <c r="D184" s="123"/>
      <c r="E184" s="123"/>
      <c r="F184" s="107"/>
      <c r="G184" s="26">
        <f aca="true" t="shared" si="30" ref="G184:O184">SUM(G183)</f>
        <v>0</v>
      </c>
      <c r="H184" s="26">
        <f t="shared" si="30"/>
        <v>0</v>
      </c>
      <c r="I184" s="26">
        <f t="shared" si="30"/>
        <v>0</v>
      </c>
      <c r="J184" s="26">
        <f t="shared" si="30"/>
        <v>0</v>
      </c>
      <c r="K184" s="26">
        <f t="shared" si="24"/>
        <v>0</v>
      </c>
      <c r="L184" s="26">
        <f t="shared" si="30"/>
        <v>29323.36</v>
      </c>
      <c r="M184" s="26">
        <f t="shared" si="30"/>
        <v>0</v>
      </c>
      <c r="N184" s="26">
        <f t="shared" si="30"/>
        <v>0</v>
      </c>
      <c r="O184" s="26">
        <f t="shared" si="30"/>
        <v>0</v>
      </c>
      <c r="P184" s="26">
        <f t="shared" si="22"/>
        <v>29323.36</v>
      </c>
      <c r="Q184" s="27"/>
    </row>
    <row r="185" spans="1:17" ht="39.75" customHeight="1">
      <c r="A185" s="15"/>
      <c r="B185" s="13" t="s">
        <v>186</v>
      </c>
      <c r="C185" s="14" t="s">
        <v>187</v>
      </c>
      <c r="D185" s="111" t="s">
        <v>179</v>
      </c>
      <c r="E185" s="111" t="s">
        <v>7</v>
      </c>
      <c r="F185" s="106" t="s">
        <v>180</v>
      </c>
      <c r="G185" s="24">
        <v>3294684</v>
      </c>
      <c r="H185" s="24"/>
      <c r="I185" s="24"/>
      <c r="J185" s="24"/>
      <c r="K185" s="24">
        <f t="shared" si="24"/>
        <v>3294684</v>
      </c>
      <c r="L185" s="24">
        <v>3294684</v>
      </c>
      <c r="M185" s="24"/>
      <c r="N185" s="24"/>
      <c r="O185" s="24"/>
      <c r="P185" s="24">
        <f t="shared" si="22"/>
        <v>3294684</v>
      </c>
      <c r="Q185" s="30">
        <f>P185/K185</f>
        <v>1</v>
      </c>
    </row>
    <row r="186" spans="1:17" ht="12.75">
      <c r="A186" s="15"/>
      <c r="B186" s="16" t="s">
        <v>188</v>
      </c>
      <c r="C186" s="17"/>
      <c r="D186" s="123"/>
      <c r="E186" s="123"/>
      <c r="F186" s="107"/>
      <c r="G186" s="26">
        <f>SUM(G185)</f>
        <v>3294684</v>
      </c>
      <c r="H186" s="26">
        <f aca="true" t="shared" si="31" ref="H186:O186">SUM(H185)</f>
        <v>0</v>
      </c>
      <c r="I186" s="26">
        <f t="shared" si="31"/>
        <v>0</v>
      </c>
      <c r="J186" s="26">
        <f t="shared" si="31"/>
        <v>0</v>
      </c>
      <c r="K186" s="26">
        <f t="shared" si="24"/>
        <v>3294684</v>
      </c>
      <c r="L186" s="26">
        <f t="shared" si="31"/>
        <v>3294684</v>
      </c>
      <c r="M186" s="26">
        <f t="shared" si="31"/>
        <v>0</v>
      </c>
      <c r="N186" s="26">
        <f t="shared" si="31"/>
        <v>0</v>
      </c>
      <c r="O186" s="26">
        <f t="shared" si="31"/>
        <v>0</v>
      </c>
      <c r="P186" s="26">
        <f t="shared" si="22"/>
        <v>3294684</v>
      </c>
      <c r="Q186" s="27">
        <f>P186/K186</f>
        <v>1</v>
      </c>
    </row>
    <row r="187" spans="1:17" ht="12.75">
      <c r="A187" s="18" t="s">
        <v>189</v>
      </c>
      <c r="B187" s="19"/>
      <c r="C187" s="19"/>
      <c r="D187" s="124"/>
      <c r="E187" s="124"/>
      <c r="F187" s="108"/>
      <c r="G187" s="28">
        <f>SUM(G186,G184,G182,G177,G175)</f>
        <v>224229490</v>
      </c>
      <c r="H187" s="28">
        <f aca="true" t="shared" si="32" ref="H187:O187">SUM(H186,H184,H182,H177,H175)</f>
        <v>0</v>
      </c>
      <c r="I187" s="28">
        <f t="shared" si="32"/>
        <v>0</v>
      </c>
      <c r="J187" s="28">
        <f t="shared" si="32"/>
        <v>0</v>
      </c>
      <c r="K187" s="28">
        <f t="shared" si="32"/>
        <v>224229490</v>
      </c>
      <c r="L187" s="28">
        <f t="shared" si="32"/>
        <v>224079462.68</v>
      </c>
      <c r="M187" s="28">
        <f t="shared" si="32"/>
        <v>0</v>
      </c>
      <c r="N187" s="28">
        <f t="shared" si="32"/>
        <v>0</v>
      </c>
      <c r="O187" s="28">
        <f t="shared" si="32"/>
        <v>0</v>
      </c>
      <c r="P187" s="28">
        <f t="shared" si="22"/>
        <v>224079462.68</v>
      </c>
      <c r="Q187" s="29">
        <f>P187/K187</f>
        <v>0.999330920656333</v>
      </c>
    </row>
    <row r="188" spans="1:18" ht="17.25" customHeight="1">
      <c r="A188" s="149" t="s">
        <v>337</v>
      </c>
      <c r="B188" s="13" t="s">
        <v>190</v>
      </c>
      <c r="C188" s="133" t="s">
        <v>191</v>
      </c>
      <c r="D188" s="111" t="s">
        <v>40</v>
      </c>
      <c r="E188" s="111" t="s">
        <v>7</v>
      </c>
      <c r="F188" s="106" t="s">
        <v>41</v>
      </c>
      <c r="G188" s="24">
        <v>4000</v>
      </c>
      <c r="H188" s="24"/>
      <c r="I188" s="24"/>
      <c r="J188" s="24"/>
      <c r="K188" s="24">
        <f t="shared" si="24"/>
        <v>4000</v>
      </c>
      <c r="L188" s="24">
        <v>21711.25</v>
      </c>
      <c r="M188" s="24"/>
      <c r="N188" s="24"/>
      <c r="O188" s="24"/>
      <c r="P188" s="24">
        <f t="shared" si="22"/>
        <v>21711.25</v>
      </c>
      <c r="Q188" s="30">
        <f>P188/K188</f>
        <v>5.4278125</v>
      </c>
      <c r="R188" s="122"/>
    </row>
    <row r="189" spans="1:18" ht="76.5" customHeight="1">
      <c r="A189" s="150"/>
      <c r="B189" s="20"/>
      <c r="C189" s="137"/>
      <c r="D189" s="111" t="s">
        <v>19</v>
      </c>
      <c r="E189" s="111" t="s">
        <v>7</v>
      </c>
      <c r="F189" s="106" t="s">
        <v>20</v>
      </c>
      <c r="G189" s="24">
        <v>1327415</v>
      </c>
      <c r="H189" s="24"/>
      <c r="I189" s="24"/>
      <c r="J189" s="24"/>
      <c r="K189" s="24">
        <f t="shared" si="24"/>
        <v>1327415</v>
      </c>
      <c r="L189" s="24">
        <v>830759.16</v>
      </c>
      <c r="M189" s="24"/>
      <c r="N189" s="24"/>
      <c r="O189" s="24"/>
      <c r="P189" s="24">
        <f t="shared" si="22"/>
        <v>830759.16</v>
      </c>
      <c r="Q189" s="30">
        <f>P189/K189</f>
        <v>0.6258473499244773</v>
      </c>
      <c r="R189" s="93"/>
    </row>
    <row r="190" spans="1:17" ht="19.5">
      <c r="A190" s="63"/>
      <c r="B190" s="20"/>
      <c r="C190" s="63"/>
      <c r="D190" s="125" t="s">
        <v>357</v>
      </c>
      <c r="E190" s="111">
        <v>0</v>
      </c>
      <c r="F190" s="106" t="s">
        <v>358</v>
      </c>
      <c r="G190" s="24"/>
      <c r="H190" s="24"/>
      <c r="I190" s="24"/>
      <c r="J190" s="24"/>
      <c r="K190" s="24">
        <f t="shared" si="24"/>
        <v>0</v>
      </c>
      <c r="L190" s="24">
        <v>750</v>
      </c>
      <c r="M190" s="24"/>
      <c r="N190" s="24"/>
      <c r="O190" s="24"/>
      <c r="P190" s="24">
        <f t="shared" si="22"/>
        <v>750</v>
      </c>
      <c r="Q190" s="30"/>
    </row>
    <row r="191" spans="1:17" ht="12.75">
      <c r="A191" s="63"/>
      <c r="B191" s="20"/>
      <c r="C191" s="63"/>
      <c r="D191" s="136" t="s">
        <v>23</v>
      </c>
      <c r="E191" s="111">
        <v>0</v>
      </c>
      <c r="F191" s="130" t="s">
        <v>24</v>
      </c>
      <c r="G191" s="24"/>
      <c r="H191" s="24"/>
      <c r="I191" s="24"/>
      <c r="J191" s="24"/>
      <c r="K191" s="24">
        <f t="shared" si="24"/>
        <v>0</v>
      </c>
      <c r="L191" s="24">
        <v>930.61</v>
      </c>
      <c r="M191" s="24"/>
      <c r="N191" s="24"/>
      <c r="O191" s="24"/>
      <c r="P191" s="24">
        <f t="shared" si="22"/>
        <v>930.61</v>
      </c>
      <c r="Q191" s="30"/>
    </row>
    <row r="192" spans="1:17" ht="12.75">
      <c r="A192" s="63"/>
      <c r="B192" s="20"/>
      <c r="C192" s="63"/>
      <c r="D192" s="136"/>
      <c r="E192" s="111">
        <v>1</v>
      </c>
      <c r="F192" s="131"/>
      <c r="G192" s="24"/>
      <c r="H192" s="24"/>
      <c r="I192" s="24"/>
      <c r="J192" s="24"/>
      <c r="K192" s="24">
        <f t="shared" si="24"/>
        <v>0</v>
      </c>
      <c r="L192" s="24">
        <v>96.35</v>
      </c>
      <c r="M192" s="24"/>
      <c r="N192" s="24"/>
      <c r="O192" s="24"/>
      <c r="P192" s="24">
        <f t="shared" si="22"/>
        <v>96.35</v>
      </c>
      <c r="Q192" s="30"/>
    </row>
    <row r="193" spans="1:17" ht="19.5">
      <c r="A193" s="15"/>
      <c r="B193" s="20"/>
      <c r="C193" s="15"/>
      <c r="D193" s="111" t="s">
        <v>25</v>
      </c>
      <c r="E193" s="111" t="s">
        <v>7</v>
      </c>
      <c r="F193" s="106" t="s">
        <v>26</v>
      </c>
      <c r="G193" s="24">
        <v>17020</v>
      </c>
      <c r="H193" s="24"/>
      <c r="I193" s="24"/>
      <c r="J193" s="24"/>
      <c r="K193" s="24">
        <f t="shared" si="24"/>
        <v>17020</v>
      </c>
      <c r="L193" s="24">
        <v>23749.19</v>
      </c>
      <c r="M193" s="24"/>
      <c r="N193" s="24"/>
      <c r="O193" s="24"/>
      <c r="P193" s="24">
        <f t="shared" si="22"/>
        <v>23749.19</v>
      </c>
      <c r="Q193" s="30">
        <f>P193/K193</f>
        <v>1.3953695652173912</v>
      </c>
    </row>
    <row r="194" spans="1:17" ht="81" customHeight="1">
      <c r="A194" s="15"/>
      <c r="B194" s="20"/>
      <c r="C194" s="15"/>
      <c r="D194" s="111">
        <v>201</v>
      </c>
      <c r="E194" s="111">
        <v>0</v>
      </c>
      <c r="F194" s="106" t="s">
        <v>401</v>
      </c>
      <c r="G194" s="24"/>
      <c r="H194" s="24"/>
      <c r="I194" s="24">
        <v>225902</v>
      </c>
      <c r="J194" s="24"/>
      <c r="K194" s="24">
        <f t="shared" si="24"/>
        <v>225902</v>
      </c>
      <c r="L194" s="24"/>
      <c r="M194" s="24"/>
      <c r="N194" s="24">
        <v>214161.64</v>
      </c>
      <c r="O194" s="24"/>
      <c r="P194" s="24">
        <f t="shared" si="22"/>
        <v>214161.64</v>
      </c>
      <c r="Q194" s="30">
        <f>P194/K194</f>
        <v>0.9480289683136937</v>
      </c>
    </row>
    <row r="195" spans="1:18" ht="56.25" customHeight="1">
      <c r="A195" s="15"/>
      <c r="B195" s="20"/>
      <c r="C195" s="15"/>
      <c r="D195" s="111">
        <v>240</v>
      </c>
      <c r="E195" s="111">
        <v>0</v>
      </c>
      <c r="F195" s="106" t="s">
        <v>361</v>
      </c>
      <c r="G195" s="24"/>
      <c r="H195" s="24"/>
      <c r="I195" s="24"/>
      <c r="J195" s="24"/>
      <c r="K195" s="24"/>
      <c r="L195" s="24">
        <f>6646.19+187.42</f>
        <v>6833.61</v>
      </c>
      <c r="M195" s="24"/>
      <c r="N195" s="24"/>
      <c r="O195" s="24"/>
      <c r="P195" s="24">
        <f t="shared" si="22"/>
        <v>6833.61</v>
      </c>
      <c r="Q195" s="30"/>
      <c r="R195" s="93"/>
    </row>
    <row r="196" spans="1:17" ht="60.75" customHeight="1">
      <c r="A196" s="15"/>
      <c r="B196" s="20"/>
      <c r="C196" s="15"/>
      <c r="D196" s="111" t="s">
        <v>113</v>
      </c>
      <c r="E196" s="111" t="s">
        <v>7</v>
      </c>
      <c r="F196" s="106" t="s">
        <v>114</v>
      </c>
      <c r="G196" s="24">
        <v>52782</v>
      </c>
      <c r="H196" s="24"/>
      <c r="I196" s="24"/>
      <c r="J196" s="24"/>
      <c r="K196" s="24">
        <f t="shared" si="24"/>
        <v>52782</v>
      </c>
      <c r="L196" s="24">
        <v>52782</v>
      </c>
      <c r="M196" s="24"/>
      <c r="N196" s="24"/>
      <c r="O196" s="24"/>
      <c r="P196" s="24">
        <f t="shared" si="22"/>
        <v>52782</v>
      </c>
      <c r="Q196" s="30">
        <f>P196/K196</f>
        <v>1</v>
      </c>
    </row>
    <row r="197" spans="1:17" ht="62.25" customHeight="1">
      <c r="A197" s="15"/>
      <c r="B197" s="20"/>
      <c r="C197" s="15"/>
      <c r="D197" s="111" t="s">
        <v>51</v>
      </c>
      <c r="E197" s="111" t="s">
        <v>101</v>
      </c>
      <c r="F197" s="106" t="s">
        <v>52</v>
      </c>
      <c r="G197" s="24">
        <v>15773</v>
      </c>
      <c r="H197" s="24"/>
      <c r="I197" s="24"/>
      <c r="J197" s="24"/>
      <c r="K197" s="24">
        <f t="shared" si="24"/>
        <v>15773</v>
      </c>
      <c r="L197" s="24">
        <v>16311.6</v>
      </c>
      <c r="M197" s="24"/>
      <c r="N197" s="24"/>
      <c r="O197" s="24"/>
      <c r="P197" s="24">
        <f aca="true" t="shared" si="33" ref="P197:P260">SUM(L197:O197)</f>
        <v>16311.6</v>
      </c>
      <c r="Q197" s="30">
        <f>P197/K197</f>
        <v>1.034146959994928</v>
      </c>
    </row>
    <row r="198" spans="1:17" ht="58.5" customHeight="1">
      <c r="A198" s="15"/>
      <c r="B198" s="20"/>
      <c r="C198" s="15"/>
      <c r="D198" s="111" t="s">
        <v>192</v>
      </c>
      <c r="E198" s="111" t="s">
        <v>7</v>
      </c>
      <c r="F198" s="106" t="s">
        <v>193</v>
      </c>
      <c r="G198" s="24">
        <v>299865</v>
      </c>
      <c r="H198" s="24"/>
      <c r="I198" s="24"/>
      <c r="J198" s="24"/>
      <c r="K198" s="24">
        <f t="shared" si="24"/>
        <v>299865</v>
      </c>
      <c r="L198" s="24">
        <v>285565.67</v>
      </c>
      <c r="M198" s="24"/>
      <c r="N198" s="24"/>
      <c r="O198" s="24"/>
      <c r="P198" s="24">
        <f t="shared" si="33"/>
        <v>285565.67</v>
      </c>
      <c r="Q198" s="30">
        <f>P198/K198</f>
        <v>0.9523141080152735</v>
      </c>
    </row>
    <row r="199" spans="1:17" ht="12.75">
      <c r="A199" s="15"/>
      <c r="B199" s="16" t="s">
        <v>194</v>
      </c>
      <c r="C199" s="17"/>
      <c r="D199" s="123"/>
      <c r="E199" s="123"/>
      <c r="F199" s="107"/>
      <c r="G199" s="26">
        <f aca="true" t="shared" si="34" ref="G199:O199">SUM(G188:G198)</f>
        <v>1716855</v>
      </c>
      <c r="H199" s="26">
        <f t="shared" si="34"/>
        <v>0</v>
      </c>
      <c r="I199" s="26">
        <f t="shared" si="34"/>
        <v>225902</v>
      </c>
      <c r="J199" s="26">
        <f t="shared" si="34"/>
        <v>0</v>
      </c>
      <c r="K199" s="26">
        <f t="shared" si="24"/>
        <v>1942757</v>
      </c>
      <c r="L199" s="26">
        <f t="shared" si="34"/>
        <v>1239489.44</v>
      </c>
      <c r="M199" s="26">
        <f t="shared" si="34"/>
        <v>0</v>
      </c>
      <c r="N199" s="26">
        <f t="shared" si="34"/>
        <v>214161.64</v>
      </c>
      <c r="O199" s="26">
        <f t="shared" si="34"/>
        <v>0</v>
      </c>
      <c r="P199" s="26">
        <f t="shared" si="33"/>
        <v>1453651.08</v>
      </c>
      <c r="Q199" s="27">
        <f>P199/K199</f>
        <v>0.7482413292038068</v>
      </c>
    </row>
    <row r="200" spans="1:17" ht="75" customHeight="1">
      <c r="A200" s="15"/>
      <c r="B200" s="13" t="s">
        <v>195</v>
      </c>
      <c r="C200" s="14" t="s">
        <v>196</v>
      </c>
      <c r="D200" s="111" t="s">
        <v>19</v>
      </c>
      <c r="E200" s="111" t="s">
        <v>7</v>
      </c>
      <c r="F200" s="106" t="s">
        <v>20</v>
      </c>
      <c r="G200" s="24">
        <v>35000</v>
      </c>
      <c r="H200" s="24"/>
      <c r="I200" s="24"/>
      <c r="J200" s="24"/>
      <c r="K200" s="24">
        <f t="shared" si="24"/>
        <v>35000</v>
      </c>
      <c r="L200" s="24">
        <v>26064.63</v>
      </c>
      <c r="M200" s="24"/>
      <c r="N200" s="24"/>
      <c r="O200" s="24"/>
      <c r="P200" s="24">
        <f t="shared" si="33"/>
        <v>26064.63</v>
      </c>
      <c r="Q200" s="30">
        <f>P200/K200</f>
        <v>0.7447037142857144</v>
      </c>
    </row>
    <row r="201" spans="1:17" ht="12.75" hidden="1">
      <c r="A201" s="15"/>
      <c r="B201" s="37"/>
      <c r="C201" s="63"/>
      <c r="D201" s="125" t="s">
        <v>23</v>
      </c>
      <c r="E201" s="111">
        <v>0</v>
      </c>
      <c r="F201" s="106" t="s">
        <v>24</v>
      </c>
      <c r="G201" s="24"/>
      <c r="H201" s="24"/>
      <c r="I201" s="24"/>
      <c r="J201" s="24"/>
      <c r="K201" s="24">
        <f t="shared" si="24"/>
        <v>0</v>
      </c>
      <c r="L201" s="24"/>
      <c r="M201" s="24"/>
      <c r="N201" s="24"/>
      <c r="O201" s="24"/>
      <c r="P201" s="24">
        <f t="shared" si="33"/>
        <v>0</v>
      </c>
      <c r="Q201" s="30"/>
    </row>
    <row r="202" spans="1:17" ht="19.5">
      <c r="A202" s="15"/>
      <c r="B202" s="20"/>
      <c r="C202" s="15"/>
      <c r="D202" s="111" t="s">
        <v>25</v>
      </c>
      <c r="E202" s="111" t="s">
        <v>7</v>
      </c>
      <c r="F202" s="106" t="s">
        <v>26</v>
      </c>
      <c r="G202" s="24"/>
      <c r="H202" s="24"/>
      <c r="I202" s="24"/>
      <c r="J202" s="24"/>
      <c r="K202" s="24">
        <f t="shared" si="24"/>
        <v>0</v>
      </c>
      <c r="L202" s="24">
        <v>334.28</v>
      </c>
      <c r="M202" s="24"/>
      <c r="N202" s="24"/>
      <c r="O202" s="24"/>
      <c r="P202" s="24">
        <f t="shared" si="33"/>
        <v>334.28</v>
      </c>
      <c r="Q202" s="30"/>
    </row>
    <row r="203" spans="1:17" ht="64.5" customHeight="1">
      <c r="A203" s="15"/>
      <c r="B203" s="20"/>
      <c r="C203" s="15"/>
      <c r="D203" s="111">
        <v>240</v>
      </c>
      <c r="E203" s="111">
        <v>0</v>
      </c>
      <c r="F203" s="106" t="s">
        <v>361</v>
      </c>
      <c r="G203" s="24"/>
      <c r="H203" s="24"/>
      <c r="I203" s="24"/>
      <c r="J203" s="24"/>
      <c r="K203" s="24"/>
      <c r="L203" s="24">
        <v>5.14</v>
      </c>
      <c r="M203" s="24"/>
      <c r="N203" s="24"/>
      <c r="O203" s="24"/>
      <c r="P203" s="24">
        <f t="shared" si="33"/>
        <v>5.14</v>
      </c>
      <c r="Q203" s="30"/>
    </row>
    <row r="204" spans="1:17" ht="74.25" customHeight="1">
      <c r="A204" s="15"/>
      <c r="B204" s="37"/>
      <c r="C204" s="83"/>
      <c r="D204" s="111">
        <v>211</v>
      </c>
      <c r="E204" s="111">
        <v>0</v>
      </c>
      <c r="F204" s="114" t="s">
        <v>402</v>
      </c>
      <c r="G204" s="24"/>
      <c r="H204" s="24"/>
      <c r="I204" s="24"/>
      <c r="J204" s="24">
        <v>1200</v>
      </c>
      <c r="K204" s="24">
        <f t="shared" si="24"/>
        <v>1200</v>
      </c>
      <c r="L204" s="24"/>
      <c r="M204" s="24"/>
      <c r="N204" s="24"/>
      <c r="O204" s="24">
        <v>390.75</v>
      </c>
      <c r="P204" s="24">
        <f t="shared" si="33"/>
        <v>390.75</v>
      </c>
      <c r="Q204" s="30">
        <f>P204/K204</f>
        <v>0.325625</v>
      </c>
    </row>
    <row r="205" spans="1:17" ht="12.75">
      <c r="A205" s="15"/>
      <c r="B205" s="16" t="s">
        <v>197</v>
      </c>
      <c r="C205" s="17"/>
      <c r="D205" s="123"/>
      <c r="E205" s="123"/>
      <c r="F205" s="115"/>
      <c r="G205" s="26">
        <f>SUM(G200:G204)</f>
        <v>35000</v>
      </c>
      <c r="H205" s="26">
        <f aca="true" t="shared" si="35" ref="H205:O205">SUM(H200:H204)</f>
        <v>0</v>
      </c>
      <c r="I205" s="26">
        <f t="shared" si="35"/>
        <v>0</v>
      </c>
      <c r="J205" s="26">
        <f t="shared" si="35"/>
        <v>1200</v>
      </c>
      <c r="K205" s="26">
        <f t="shared" si="35"/>
        <v>36200</v>
      </c>
      <c r="L205" s="26">
        <f t="shared" si="35"/>
        <v>26404.05</v>
      </c>
      <c r="M205" s="26">
        <f t="shared" si="35"/>
        <v>0</v>
      </c>
      <c r="N205" s="26">
        <f t="shared" si="35"/>
        <v>0</v>
      </c>
      <c r="O205" s="26">
        <f t="shared" si="35"/>
        <v>390.75</v>
      </c>
      <c r="P205" s="26">
        <f t="shared" si="33"/>
        <v>26794.8</v>
      </c>
      <c r="Q205" s="27">
        <f>P205/K205</f>
        <v>0.7401878453038674</v>
      </c>
    </row>
    <row r="206" spans="1:17" ht="48.75">
      <c r="A206" s="15"/>
      <c r="B206" s="13" t="s">
        <v>198</v>
      </c>
      <c r="C206" s="14" t="s">
        <v>199</v>
      </c>
      <c r="D206" s="111" t="s">
        <v>200</v>
      </c>
      <c r="E206" s="111" t="s">
        <v>7</v>
      </c>
      <c r="F206" s="106" t="s">
        <v>201</v>
      </c>
      <c r="G206" s="24">
        <v>2449824</v>
      </c>
      <c r="H206" s="24"/>
      <c r="I206" s="24"/>
      <c r="J206" s="24"/>
      <c r="K206" s="24">
        <f t="shared" si="24"/>
        <v>2449824</v>
      </c>
      <c r="L206" s="24">
        <v>2400186.62</v>
      </c>
      <c r="M206" s="24"/>
      <c r="N206" s="24"/>
      <c r="O206" s="24"/>
      <c r="P206" s="24">
        <f t="shared" si="33"/>
        <v>2400186.62</v>
      </c>
      <c r="Q206" s="30">
        <f>P206/K206</f>
        <v>0.9797383893700119</v>
      </c>
    </row>
    <row r="207" spans="1:17" ht="58.5">
      <c r="A207" s="15"/>
      <c r="B207" s="20"/>
      <c r="C207" s="15"/>
      <c r="D207" s="111" t="s">
        <v>31</v>
      </c>
      <c r="E207" s="111" t="s">
        <v>7</v>
      </c>
      <c r="F207" s="106" t="s">
        <v>32</v>
      </c>
      <c r="G207" s="24"/>
      <c r="H207" s="24">
        <v>104390</v>
      </c>
      <c r="I207" s="24"/>
      <c r="J207" s="24"/>
      <c r="K207" s="24">
        <f t="shared" si="24"/>
        <v>104390</v>
      </c>
      <c r="L207" s="24"/>
      <c r="M207" s="24">
        <v>39526.43</v>
      </c>
      <c r="N207" s="24"/>
      <c r="O207" s="24"/>
      <c r="P207" s="24">
        <f t="shared" si="33"/>
        <v>39526.43</v>
      </c>
      <c r="Q207" s="30">
        <f>P207/K207</f>
        <v>0.3786419197241115</v>
      </c>
    </row>
    <row r="208" spans="1:17" ht="102" customHeight="1">
      <c r="A208" s="15"/>
      <c r="B208" s="69"/>
      <c r="C208" s="81"/>
      <c r="D208" s="111">
        <v>291</v>
      </c>
      <c r="E208" s="111">
        <v>0</v>
      </c>
      <c r="F208" s="106" t="s">
        <v>346</v>
      </c>
      <c r="G208" s="24"/>
      <c r="H208" s="24"/>
      <c r="I208" s="24"/>
      <c r="J208" s="24"/>
      <c r="K208" s="24">
        <f t="shared" si="24"/>
        <v>0</v>
      </c>
      <c r="L208" s="24">
        <v>3105.2</v>
      </c>
      <c r="M208" s="24"/>
      <c r="N208" s="24"/>
      <c r="O208" s="24"/>
      <c r="P208" s="24">
        <f t="shared" si="33"/>
        <v>3105.2</v>
      </c>
      <c r="Q208" s="30"/>
    </row>
    <row r="209" spans="1:17" ht="12.75">
      <c r="A209" s="15"/>
      <c r="B209" s="16" t="s">
        <v>202</v>
      </c>
      <c r="C209" s="17"/>
      <c r="D209" s="123"/>
      <c r="E209" s="123"/>
      <c r="F209" s="107"/>
      <c r="G209" s="26">
        <f>SUM(G206:G207)</f>
        <v>2449824</v>
      </c>
      <c r="H209" s="26">
        <f>SUM(H206:H207)</f>
        <v>104390</v>
      </c>
      <c r="I209" s="26">
        <f>SUM(I206:I207)</f>
        <v>0</v>
      </c>
      <c r="J209" s="26">
        <f>SUM(J206:J207)</f>
        <v>0</v>
      </c>
      <c r="K209" s="26">
        <f t="shared" si="24"/>
        <v>2554214</v>
      </c>
      <c r="L209" s="26">
        <f>SUM(L206:L208)</f>
        <v>2403291.8200000003</v>
      </c>
      <c r="M209" s="26">
        <f>SUM(M206:M208)</f>
        <v>39526.43</v>
      </c>
      <c r="N209" s="26">
        <f>SUM(N206:N208)</f>
        <v>0</v>
      </c>
      <c r="O209" s="26">
        <f>SUM(O206:O208)</f>
        <v>0</v>
      </c>
      <c r="P209" s="26">
        <f t="shared" si="33"/>
        <v>2442818.2500000005</v>
      </c>
      <c r="Q209" s="27">
        <f>P209/K209</f>
        <v>0.956387464010455</v>
      </c>
    </row>
    <row r="210" spans="1:17" ht="29.25">
      <c r="A210" s="15"/>
      <c r="B210" s="13" t="s">
        <v>203</v>
      </c>
      <c r="C210" s="14" t="s">
        <v>204</v>
      </c>
      <c r="D210" s="111" t="s">
        <v>36</v>
      </c>
      <c r="E210" s="111" t="s">
        <v>7</v>
      </c>
      <c r="F210" s="106" t="s">
        <v>37</v>
      </c>
      <c r="G210" s="24">
        <v>1770</v>
      </c>
      <c r="H210" s="24"/>
      <c r="I210" s="24"/>
      <c r="J210" s="24"/>
      <c r="K210" s="24">
        <f t="shared" si="24"/>
        <v>1770</v>
      </c>
      <c r="L210" s="24">
        <v>2860</v>
      </c>
      <c r="M210" s="24"/>
      <c r="N210" s="24"/>
      <c r="O210" s="24"/>
      <c r="P210" s="24">
        <f t="shared" si="33"/>
        <v>2860</v>
      </c>
      <c r="Q210" s="30">
        <f>P210/K210</f>
        <v>1.615819209039548</v>
      </c>
    </row>
    <row r="211" spans="1:17" ht="12.75">
      <c r="A211" s="15"/>
      <c r="B211" s="20"/>
      <c r="C211" s="15"/>
      <c r="D211" s="111" t="s">
        <v>40</v>
      </c>
      <c r="E211" s="111" t="s">
        <v>7</v>
      </c>
      <c r="F211" s="106" t="s">
        <v>41</v>
      </c>
      <c r="G211" s="24">
        <v>500</v>
      </c>
      <c r="H211" s="24"/>
      <c r="I211" s="24"/>
      <c r="J211" s="24"/>
      <c r="K211" s="24">
        <f t="shared" si="24"/>
        <v>500</v>
      </c>
      <c r="L211" s="24">
        <v>20</v>
      </c>
      <c r="M211" s="24"/>
      <c r="N211" s="24"/>
      <c r="O211" s="24"/>
      <c r="P211" s="24">
        <f t="shared" si="33"/>
        <v>20</v>
      </c>
      <c r="Q211" s="30">
        <f>P211/K211</f>
        <v>0.04</v>
      </c>
    </row>
    <row r="212" spans="1:17" ht="77.25" customHeight="1">
      <c r="A212" s="15"/>
      <c r="B212" s="20"/>
      <c r="C212" s="15"/>
      <c r="D212" s="111" t="s">
        <v>19</v>
      </c>
      <c r="E212" s="111" t="s">
        <v>7</v>
      </c>
      <c r="F212" s="106" t="s">
        <v>20</v>
      </c>
      <c r="G212" s="24">
        <v>62831</v>
      </c>
      <c r="H212" s="24"/>
      <c r="I212" s="24"/>
      <c r="J212" s="24"/>
      <c r="K212" s="24">
        <f t="shared" si="24"/>
        <v>62831</v>
      </c>
      <c r="L212" s="24">
        <v>39535.95</v>
      </c>
      <c r="M212" s="24"/>
      <c r="N212" s="24"/>
      <c r="O212" s="24"/>
      <c r="P212" s="24">
        <f t="shared" si="33"/>
        <v>39535.95</v>
      </c>
      <c r="Q212" s="30">
        <f>P212/K212</f>
        <v>0.6292427304992758</v>
      </c>
    </row>
    <row r="213" spans="1:17" ht="12.75">
      <c r="A213" s="15"/>
      <c r="B213" s="20"/>
      <c r="C213" s="15"/>
      <c r="D213" s="111" t="s">
        <v>21</v>
      </c>
      <c r="E213" s="111" t="s">
        <v>7</v>
      </c>
      <c r="F213" s="106" t="s">
        <v>22</v>
      </c>
      <c r="G213" s="24">
        <v>3760278</v>
      </c>
      <c r="H213" s="24"/>
      <c r="I213" s="24"/>
      <c r="J213" s="24"/>
      <c r="K213" s="24">
        <f aca="true" t="shared" si="36" ref="K213:K290">SUM(G213:J213)</f>
        <v>3760278</v>
      </c>
      <c r="L213" s="24">
        <v>3754996.18</v>
      </c>
      <c r="M213" s="24"/>
      <c r="N213" s="24"/>
      <c r="O213" s="24"/>
      <c r="P213" s="24">
        <f t="shared" si="33"/>
        <v>3754996.18</v>
      </c>
      <c r="Q213" s="30">
        <f>P213/K213</f>
        <v>0.998595364491668</v>
      </c>
    </row>
    <row r="214" spans="1:17" ht="108.75" customHeight="1">
      <c r="A214" s="15"/>
      <c r="B214" s="20"/>
      <c r="C214" s="15"/>
      <c r="D214" s="125" t="s">
        <v>353</v>
      </c>
      <c r="E214" s="111">
        <v>0</v>
      </c>
      <c r="F214" s="106" t="s">
        <v>354</v>
      </c>
      <c r="G214" s="24"/>
      <c r="H214" s="24"/>
      <c r="I214" s="24"/>
      <c r="J214" s="24"/>
      <c r="K214" s="24">
        <f t="shared" si="36"/>
        <v>0</v>
      </c>
      <c r="L214" s="24">
        <v>1400</v>
      </c>
      <c r="M214" s="24"/>
      <c r="N214" s="24"/>
      <c r="O214" s="24"/>
      <c r="P214" s="24">
        <f t="shared" si="33"/>
        <v>1400</v>
      </c>
      <c r="Q214" s="30"/>
    </row>
    <row r="215" spans="1:17" ht="12.75">
      <c r="A215" s="15"/>
      <c r="B215" s="20"/>
      <c r="C215" s="15"/>
      <c r="D215" s="111" t="s">
        <v>23</v>
      </c>
      <c r="E215" s="111" t="s">
        <v>7</v>
      </c>
      <c r="F215" s="106" t="s">
        <v>24</v>
      </c>
      <c r="G215" s="24">
        <v>400</v>
      </c>
      <c r="H215" s="24"/>
      <c r="I215" s="24"/>
      <c r="J215" s="24"/>
      <c r="K215" s="24">
        <f t="shared" si="36"/>
        <v>400</v>
      </c>
      <c r="L215" s="24">
        <v>6209.67</v>
      </c>
      <c r="M215" s="24"/>
      <c r="N215" s="24"/>
      <c r="O215" s="24"/>
      <c r="P215" s="24">
        <f t="shared" si="33"/>
        <v>6209.67</v>
      </c>
      <c r="Q215" s="30">
        <f>P215/K215</f>
        <v>15.524175</v>
      </c>
    </row>
    <row r="216" spans="1:17" ht="19.5">
      <c r="A216" s="15"/>
      <c r="B216" s="20"/>
      <c r="C216" s="15"/>
      <c r="D216" s="111" t="s">
        <v>25</v>
      </c>
      <c r="E216" s="111" t="s">
        <v>7</v>
      </c>
      <c r="F216" s="106" t="s">
        <v>26</v>
      </c>
      <c r="G216" s="24">
        <v>6270</v>
      </c>
      <c r="H216" s="24"/>
      <c r="I216" s="24"/>
      <c r="J216" s="24"/>
      <c r="K216" s="24">
        <f t="shared" si="36"/>
        <v>6270</v>
      </c>
      <c r="L216" s="24">
        <v>8532.05</v>
      </c>
      <c r="M216" s="24"/>
      <c r="N216" s="24"/>
      <c r="O216" s="24"/>
      <c r="P216" s="24">
        <f t="shared" si="33"/>
        <v>8532.05</v>
      </c>
      <c r="Q216" s="30">
        <f>P216/K216</f>
        <v>1.360773524720893</v>
      </c>
    </row>
    <row r="217" spans="1:17" ht="48.75">
      <c r="A217" s="15"/>
      <c r="B217" s="20"/>
      <c r="C217" s="15"/>
      <c r="D217" s="111" t="s">
        <v>200</v>
      </c>
      <c r="E217" s="111" t="s">
        <v>7</v>
      </c>
      <c r="F217" s="106" t="s">
        <v>201</v>
      </c>
      <c r="G217" s="24">
        <v>6712856</v>
      </c>
      <c r="H217" s="24"/>
      <c r="I217" s="24"/>
      <c r="J217" s="24"/>
      <c r="K217" s="24">
        <f t="shared" si="36"/>
        <v>6712856</v>
      </c>
      <c r="L217" s="24">
        <v>6712856</v>
      </c>
      <c r="M217" s="24"/>
      <c r="N217" s="24"/>
      <c r="O217" s="24"/>
      <c r="P217" s="24">
        <f t="shared" si="33"/>
        <v>6712856</v>
      </c>
      <c r="Q217" s="30">
        <f>P217/K217</f>
        <v>1</v>
      </c>
    </row>
    <row r="218" spans="1:17" ht="49.5" customHeight="1">
      <c r="A218" s="15"/>
      <c r="B218" s="20"/>
      <c r="C218" s="15"/>
      <c r="D218" s="111" t="s">
        <v>31</v>
      </c>
      <c r="E218" s="111" t="s">
        <v>7</v>
      </c>
      <c r="F218" s="106" t="s">
        <v>32</v>
      </c>
      <c r="G218" s="24"/>
      <c r="H218" s="24">
        <v>363770</v>
      </c>
      <c r="I218" s="24"/>
      <c r="J218" s="24"/>
      <c r="K218" s="24">
        <f t="shared" si="36"/>
        <v>363770</v>
      </c>
      <c r="L218" s="24"/>
      <c r="M218" s="24">
        <v>389605.86</v>
      </c>
      <c r="N218" s="24"/>
      <c r="O218" s="24"/>
      <c r="P218" s="24">
        <f t="shared" si="33"/>
        <v>389605.86</v>
      </c>
      <c r="Q218" s="30">
        <f>P218/K218</f>
        <v>1.071022514226022</v>
      </c>
    </row>
    <row r="219" spans="1:17" ht="57" customHeight="1">
      <c r="A219" s="15"/>
      <c r="B219" s="20"/>
      <c r="C219" s="15"/>
      <c r="D219" s="111">
        <v>240</v>
      </c>
      <c r="E219" s="111">
        <v>0</v>
      </c>
      <c r="F219" s="106" t="s">
        <v>361</v>
      </c>
      <c r="G219" s="24"/>
      <c r="H219" s="24"/>
      <c r="I219" s="24"/>
      <c r="J219" s="24"/>
      <c r="K219" s="24"/>
      <c r="L219" s="24">
        <v>1103.56</v>
      </c>
      <c r="M219" s="24"/>
      <c r="N219" s="24"/>
      <c r="O219" s="24"/>
      <c r="P219" s="24">
        <f t="shared" si="33"/>
        <v>1103.56</v>
      </c>
      <c r="Q219" s="30"/>
    </row>
    <row r="220" spans="1:17" ht="101.25" customHeight="1">
      <c r="A220" s="15"/>
      <c r="B220" s="69"/>
      <c r="C220" s="81"/>
      <c r="D220" s="111">
        <v>291</v>
      </c>
      <c r="E220" s="111">
        <v>0</v>
      </c>
      <c r="F220" s="106" t="s">
        <v>346</v>
      </c>
      <c r="G220" s="24"/>
      <c r="H220" s="24"/>
      <c r="I220" s="24"/>
      <c r="J220" s="24"/>
      <c r="K220" s="24">
        <f t="shared" si="36"/>
        <v>0</v>
      </c>
      <c r="L220" s="24">
        <v>12182.19</v>
      </c>
      <c r="M220" s="24"/>
      <c r="N220" s="24"/>
      <c r="O220" s="24"/>
      <c r="P220" s="24">
        <f t="shared" si="33"/>
        <v>12182.19</v>
      </c>
      <c r="Q220" s="30"/>
    </row>
    <row r="221" spans="1:17" ht="12.75">
      <c r="A221" s="15"/>
      <c r="B221" s="16" t="s">
        <v>205</v>
      </c>
      <c r="C221" s="17"/>
      <c r="D221" s="123"/>
      <c r="E221" s="123"/>
      <c r="F221" s="107"/>
      <c r="G221" s="26">
        <f>SUM(G210:G218)</f>
        <v>10544905</v>
      </c>
      <c r="H221" s="26">
        <f>SUM(H210:H218)</f>
        <v>363770</v>
      </c>
      <c r="I221" s="26">
        <f>SUM(I210:I218)</f>
        <v>0</v>
      </c>
      <c r="J221" s="26">
        <f>SUM(J210:J218)</f>
        <v>0</v>
      </c>
      <c r="K221" s="26">
        <f t="shared" si="36"/>
        <v>10908675</v>
      </c>
      <c r="L221" s="26">
        <f>SUM(L210:L220)</f>
        <v>10539695.6</v>
      </c>
      <c r="M221" s="26">
        <f>SUM(M210:M220)</f>
        <v>389605.86</v>
      </c>
      <c r="N221" s="26">
        <f>SUM(N210:N220)</f>
        <v>0</v>
      </c>
      <c r="O221" s="26">
        <f>SUM(O210:O220)</f>
        <v>0</v>
      </c>
      <c r="P221" s="26">
        <f t="shared" si="33"/>
        <v>10929301.459999999</v>
      </c>
      <c r="Q221" s="27">
        <f>P221/K221</f>
        <v>1.0018908309212622</v>
      </c>
    </row>
    <row r="222" spans="1:17" ht="50.25" customHeight="1">
      <c r="A222" s="15"/>
      <c r="B222" s="13" t="s">
        <v>206</v>
      </c>
      <c r="C222" s="14" t="s">
        <v>207</v>
      </c>
      <c r="D222" s="111" t="s">
        <v>200</v>
      </c>
      <c r="E222" s="111" t="s">
        <v>7</v>
      </c>
      <c r="F222" s="106" t="s">
        <v>201</v>
      </c>
      <c r="G222" s="24">
        <v>16672</v>
      </c>
      <c r="H222" s="24"/>
      <c r="I222" s="24"/>
      <c r="J222" s="24"/>
      <c r="K222" s="24">
        <f t="shared" si="36"/>
        <v>16672</v>
      </c>
      <c r="L222" s="24">
        <v>16672</v>
      </c>
      <c r="M222" s="24"/>
      <c r="N222" s="24"/>
      <c r="O222" s="24"/>
      <c r="P222" s="24">
        <f t="shared" si="33"/>
        <v>16672</v>
      </c>
      <c r="Q222" s="30">
        <f>P222/K222</f>
        <v>1</v>
      </c>
    </row>
    <row r="223" spans="1:17" ht="12.75">
      <c r="A223" s="15"/>
      <c r="B223" s="16" t="s">
        <v>208</v>
      </c>
      <c r="C223" s="17"/>
      <c r="D223" s="123"/>
      <c r="E223" s="123"/>
      <c r="F223" s="107"/>
      <c r="G223" s="26">
        <f>SUM(G222)</f>
        <v>16672</v>
      </c>
      <c r="H223" s="26">
        <f aca="true" t="shared" si="37" ref="H223:O223">SUM(H222)</f>
        <v>0</v>
      </c>
      <c r="I223" s="26">
        <f t="shared" si="37"/>
        <v>0</v>
      </c>
      <c r="J223" s="26">
        <f t="shared" si="37"/>
        <v>0</v>
      </c>
      <c r="K223" s="26">
        <f t="shared" si="36"/>
        <v>16672</v>
      </c>
      <c r="L223" s="26">
        <f t="shared" si="37"/>
        <v>16672</v>
      </c>
      <c r="M223" s="26">
        <f t="shared" si="37"/>
        <v>0</v>
      </c>
      <c r="N223" s="26">
        <f t="shared" si="37"/>
        <v>0</v>
      </c>
      <c r="O223" s="26">
        <f t="shared" si="37"/>
        <v>0</v>
      </c>
      <c r="P223" s="26">
        <f t="shared" si="33"/>
        <v>16672</v>
      </c>
      <c r="Q223" s="27">
        <f>P223/K223</f>
        <v>1</v>
      </c>
    </row>
    <row r="224" spans="1:17" ht="40.5" customHeight="1">
      <c r="A224" s="15"/>
      <c r="B224" s="13" t="s">
        <v>209</v>
      </c>
      <c r="C224" s="14"/>
      <c r="D224" s="111" t="s">
        <v>200</v>
      </c>
      <c r="E224" s="111" t="s">
        <v>7</v>
      </c>
      <c r="F224" s="106" t="s">
        <v>201</v>
      </c>
      <c r="G224" s="24">
        <v>471120</v>
      </c>
      <c r="H224" s="24"/>
      <c r="I224" s="24"/>
      <c r="J224" s="24"/>
      <c r="K224" s="24">
        <f t="shared" si="36"/>
        <v>471120</v>
      </c>
      <c r="L224" s="24">
        <v>471120</v>
      </c>
      <c r="M224" s="24"/>
      <c r="N224" s="24"/>
      <c r="O224" s="24"/>
      <c r="P224" s="24">
        <f t="shared" si="33"/>
        <v>471120</v>
      </c>
      <c r="Q224" s="30">
        <f>P224/K224</f>
        <v>1</v>
      </c>
    </row>
    <row r="225" spans="1:17" ht="46.5" customHeight="1">
      <c r="A225" s="15"/>
      <c r="B225" s="20"/>
      <c r="C225" s="15"/>
      <c r="D225" s="111" t="s">
        <v>31</v>
      </c>
      <c r="E225" s="111" t="s">
        <v>7</v>
      </c>
      <c r="F225" s="106" t="s">
        <v>32</v>
      </c>
      <c r="G225" s="24"/>
      <c r="H225" s="24">
        <v>81280</v>
      </c>
      <c r="I225" s="24"/>
      <c r="J225" s="24"/>
      <c r="K225" s="24">
        <f t="shared" si="36"/>
        <v>81280</v>
      </c>
      <c r="L225" s="24"/>
      <c r="M225" s="24">
        <v>61357.02</v>
      </c>
      <c r="N225" s="24"/>
      <c r="O225" s="24"/>
      <c r="P225" s="24">
        <f t="shared" si="33"/>
        <v>61357.02</v>
      </c>
      <c r="Q225" s="30">
        <f>P225/K225</f>
        <v>0.7548845964566929</v>
      </c>
    </row>
    <row r="226" spans="1:17" ht="97.5" customHeight="1">
      <c r="A226" s="15"/>
      <c r="B226" s="69"/>
      <c r="C226" s="81"/>
      <c r="D226" s="111">
        <v>291</v>
      </c>
      <c r="E226" s="111">
        <v>0</v>
      </c>
      <c r="F226" s="106" t="s">
        <v>346</v>
      </c>
      <c r="G226" s="24"/>
      <c r="H226" s="24"/>
      <c r="I226" s="24"/>
      <c r="J226" s="24"/>
      <c r="K226" s="24">
        <f t="shared" si="36"/>
        <v>0</v>
      </c>
      <c r="L226" s="24">
        <v>93.89</v>
      </c>
      <c r="M226" s="24"/>
      <c r="N226" s="24"/>
      <c r="O226" s="24"/>
      <c r="P226" s="24">
        <f t="shared" si="33"/>
        <v>93.89</v>
      </c>
      <c r="Q226" s="30"/>
    </row>
    <row r="227" spans="1:17" ht="12.75">
      <c r="A227" s="15"/>
      <c r="B227" s="16" t="s">
        <v>210</v>
      </c>
      <c r="C227" s="17"/>
      <c r="D227" s="123"/>
      <c r="E227" s="123"/>
      <c r="F227" s="107"/>
      <c r="G227" s="26">
        <f>SUM(G224:G225)</f>
        <v>471120</v>
      </c>
      <c r="H227" s="26">
        <f>SUM(H224:H225)</f>
        <v>81280</v>
      </c>
      <c r="I227" s="26">
        <f>SUM(I224:I225)</f>
        <v>0</v>
      </c>
      <c r="J227" s="26">
        <f>SUM(J224:J225)</f>
        <v>0</v>
      </c>
      <c r="K227" s="26">
        <f t="shared" si="36"/>
        <v>552400</v>
      </c>
      <c r="L227" s="26">
        <f>SUM(L224:L226)</f>
        <v>471213.89</v>
      </c>
      <c r="M227" s="26">
        <f>SUM(M224:M226)</f>
        <v>61357.02</v>
      </c>
      <c r="N227" s="26">
        <f>SUM(N224:N226)</f>
        <v>0</v>
      </c>
      <c r="O227" s="26">
        <f>SUM(O224:O226)</f>
        <v>0</v>
      </c>
      <c r="P227" s="26">
        <f t="shared" si="33"/>
        <v>532570.91</v>
      </c>
      <c r="Q227" s="27">
        <f>P227/K227</f>
        <v>0.9641037472845765</v>
      </c>
    </row>
    <row r="228" spans="1:17" ht="12.75">
      <c r="A228" s="15"/>
      <c r="B228" s="13" t="s">
        <v>211</v>
      </c>
      <c r="C228" s="14" t="s">
        <v>212</v>
      </c>
      <c r="D228" s="111" t="s">
        <v>40</v>
      </c>
      <c r="E228" s="111" t="s">
        <v>7</v>
      </c>
      <c r="F228" s="106" t="s">
        <v>41</v>
      </c>
      <c r="G228" s="24">
        <v>1000</v>
      </c>
      <c r="H228" s="24"/>
      <c r="I228" s="24"/>
      <c r="J228" s="24"/>
      <c r="K228" s="24">
        <f t="shared" si="36"/>
        <v>1000</v>
      </c>
      <c r="L228" s="24">
        <v>2608</v>
      </c>
      <c r="M228" s="24"/>
      <c r="N228" s="24"/>
      <c r="O228" s="24"/>
      <c r="P228" s="24">
        <f t="shared" si="33"/>
        <v>2608</v>
      </c>
      <c r="Q228" s="30">
        <f>P228/K228</f>
        <v>2.608</v>
      </c>
    </row>
    <row r="229" spans="1:17" ht="76.5" customHeight="1">
      <c r="A229" s="15"/>
      <c r="B229" s="20"/>
      <c r="C229" s="15"/>
      <c r="D229" s="111" t="s">
        <v>19</v>
      </c>
      <c r="E229" s="111" t="s">
        <v>7</v>
      </c>
      <c r="F229" s="106" t="s">
        <v>20</v>
      </c>
      <c r="G229" s="24">
        <v>229312</v>
      </c>
      <c r="H229" s="24"/>
      <c r="I229" s="24"/>
      <c r="J229" s="24"/>
      <c r="K229" s="24">
        <f t="shared" si="36"/>
        <v>229312</v>
      </c>
      <c r="L229" s="24">
        <v>135171.89</v>
      </c>
      <c r="M229" s="24"/>
      <c r="N229" s="24"/>
      <c r="O229" s="24"/>
      <c r="P229" s="24">
        <f t="shared" si="33"/>
        <v>135171.89</v>
      </c>
      <c r="Q229" s="30">
        <f>P229/K229</f>
        <v>0.5894671451995535</v>
      </c>
    </row>
    <row r="230" spans="1:17" ht="12.75">
      <c r="A230" s="15"/>
      <c r="B230" s="20"/>
      <c r="C230" s="15"/>
      <c r="D230" s="111" t="s">
        <v>21</v>
      </c>
      <c r="E230" s="111" t="s">
        <v>7</v>
      </c>
      <c r="F230" s="106" t="s">
        <v>22</v>
      </c>
      <c r="G230" s="24">
        <v>39665</v>
      </c>
      <c r="H230" s="24"/>
      <c r="I230" s="24"/>
      <c r="J230" s="24"/>
      <c r="K230" s="24">
        <f t="shared" si="36"/>
        <v>39665</v>
      </c>
      <c r="L230" s="24">
        <v>19588.56</v>
      </c>
      <c r="M230" s="24"/>
      <c r="N230" s="24"/>
      <c r="O230" s="24"/>
      <c r="P230" s="24">
        <f t="shared" si="33"/>
        <v>19588.56</v>
      </c>
      <c r="Q230" s="30">
        <f>P230/K230</f>
        <v>0.4938499936972142</v>
      </c>
    </row>
    <row r="231" spans="1:17" ht="12.75">
      <c r="A231" s="15"/>
      <c r="B231" s="20"/>
      <c r="C231" s="15"/>
      <c r="D231" s="132" t="s">
        <v>23</v>
      </c>
      <c r="E231" s="111">
        <v>0</v>
      </c>
      <c r="F231" s="130" t="s">
        <v>24</v>
      </c>
      <c r="G231" s="24"/>
      <c r="H231" s="24"/>
      <c r="I231" s="24"/>
      <c r="J231" s="24"/>
      <c r="K231" s="24">
        <f t="shared" si="36"/>
        <v>0</v>
      </c>
      <c r="L231" s="24">
        <v>206.55</v>
      </c>
      <c r="M231" s="24"/>
      <c r="N231" s="24"/>
      <c r="O231" s="24"/>
      <c r="P231" s="24">
        <f t="shared" si="33"/>
        <v>206.55</v>
      </c>
      <c r="Q231" s="30"/>
    </row>
    <row r="232" spans="1:17" ht="12.75">
      <c r="A232" s="15"/>
      <c r="B232" s="20"/>
      <c r="C232" s="15"/>
      <c r="D232" s="132"/>
      <c r="E232" s="111" t="s">
        <v>101</v>
      </c>
      <c r="F232" s="131"/>
      <c r="G232" s="24">
        <v>164</v>
      </c>
      <c r="H232" s="24"/>
      <c r="I232" s="24"/>
      <c r="J232" s="24"/>
      <c r="K232" s="24">
        <f t="shared" si="36"/>
        <v>164</v>
      </c>
      <c r="L232" s="24">
        <v>2606.59</v>
      </c>
      <c r="M232" s="24"/>
      <c r="N232" s="24"/>
      <c r="O232" s="24"/>
      <c r="P232" s="24">
        <f t="shared" si="33"/>
        <v>2606.59</v>
      </c>
      <c r="Q232" s="30">
        <f>P232/K232</f>
        <v>15.893841463414635</v>
      </c>
    </row>
    <row r="233" spans="1:17" ht="19.5">
      <c r="A233" s="15"/>
      <c r="B233" s="20"/>
      <c r="C233" s="15"/>
      <c r="D233" s="111" t="s">
        <v>25</v>
      </c>
      <c r="E233" s="111" t="s">
        <v>7</v>
      </c>
      <c r="F233" s="106" t="s">
        <v>26</v>
      </c>
      <c r="G233" s="24">
        <v>7500</v>
      </c>
      <c r="H233" s="24"/>
      <c r="I233" s="24"/>
      <c r="J233" s="24"/>
      <c r="K233" s="24">
        <f t="shared" si="36"/>
        <v>7500</v>
      </c>
      <c r="L233" s="24">
        <v>19985.89</v>
      </c>
      <c r="M233" s="24"/>
      <c r="N233" s="24"/>
      <c r="O233" s="24"/>
      <c r="P233" s="24">
        <f t="shared" si="33"/>
        <v>19985.89</v>
      </c>
      <c r="Q233" s="30">
        <f>P233/K233</f>
        <v>2.664785333333333</v>
      </c>
    </row>
    <row r="234" spans="1:17" ht="58.5" customHeight="1">
      <c r="A234" s="15"/>
      <c r="B234" s="20"/>
      <c r="C234" s="15"/>
      <c r="D234" s="111">
        <v>240</v>
      </c>
      <c r="E234" s="111">
        <v>0</v>
      </c>
      <c r="F234" s="106" t="s">
        <v>361</v>
      </c>
      <c r="G234" s="24"/>
      <c r="H234" s="24"/>
      <c r="I234" s="24"/>
      <c r="J234" s="24"/>
      <c r="K234" s="24"/>
      <c r="L234" s="24">
        <v>418.8</v>
      </c>
      <c r="M234" s="24"/>
      <c r="N234" s="24"/>
      <c r="O234" s="24"/>
      <c r="P234" s="24">
        <f t="shared" si="33"/>
        <v>418.8</v>
      </c>
      <c r="Q234" s="30"/>
    </row>
    <row r="235" spans="1:17" ht="52.5" customHeight="1">
      <c r="A235" s="15"/>
      <c r="B235" s="20"/>
      <c r="C235" s="15"/>
      <c r="D235" s="111" t="s">
        <v>113</v>
      </c>
      <c r="E235" s="111" t="s">
        <v>7</v>
      </c>
      <c r="F235" s="106" t="s">
        <v>114</v>
      </c>
      <c r="G235" s="24">
        <v>27538</v>
      </c>
      <c r="H235" s="24"/>
      <c r="I235" s="24"/>
      <c r="J235" s="24"/>
      <c r="K235" s="24">
        <f t="shared" si="36"/>
        <v>27538</v>
      </c>
      <c r="L235" s="24">
        <v>27538</v>
      </c>
      <c r="M235" s="24"/>
      <c r="N235" s="24"/>
      <c r="O235" s="24"/>
      <c r="P235" s="24">
        <f t="shared" si="33"/>
        <v>27538</v>
      </c>
      <c r="Q235" s="30">
        <f>P235/K235</f>
        <v>1</v>
      </c>
    </row>
    <row r="236" spans="1:17" ht="61.5" customHeight="1">
      <c r="A236" s="15"/>
      <c r="B236" s="20"/>
      <c r="C236" s="15"/>
      <c r="D236" s="111" t="s">
        <v>51</v>
      </c>
      <c r="E236" s="111" t="s">
        <v>101</v>
      </c>
      <c r="F236" s="106" t="s">
        <v>52</v>
      </c>
      <c r="G236" s="24">
        <v>189633</v>
      </c>
      <c r="H236" s="24"/>
      <c r="I236" s="24"/>
      <c r="J236" s="24"/>
      <c r="K236" s="24">
        <f t="shared" si="36"/>
        <v>189633</v>
      </c>
      <c r="L236" s="24">
        <v>193662.7</v>
      </c>
      <c r="M236" s="24"/>
      <c r="N236" s="24"/>
      <c r="O236" s="24"/>
      <c r="P236" s="24">
        <f t="shared" si="33"/>
        <v>193662.7</v>
      </c>
      <c r="Q236" s="30">
        <f>P236/K236</f>
        <v>1.0212499934083203</v>
      </c>
    </row>
    <row r="237" spans="1:17" ht="100.5" customHeight="1">
      <c r="A237" s="15"/>
      <c r="B237" s="62"/>
      <c r="C237" s="63"/>
      <c r="D237" s="111">
        <v>291</v>
      </c>
      <c r="E237" s="111">
        <v>0</v>
      </c>
      <c r="F237" s="106" t="s">
        <v>346</v>
      </c>
      <c r="G237" s="24"/>
      <c r="H237" s="24"/>
      <c r="I237" s="24"/>
      <c r="J237" s="24"/>
      <c r="K237" s="24">
        <f t="shared" si="36"/>
        <v>0</v>
      </c>
      <c r="L237" s="24">
        <v>601.96</v>
      </c>
      <c r="M237" s="24"/>
      <c r="N237" s="24"/>
      <c r="O237" s="24"/>
      <c r="P237" s="24">
        <f t="shared" si="33"/>
        <v>601.96</v>
      </c>
      <c r="Q237" s="30"/>
    </row>
    <row r="238" spans="1:17" ht="81.75" customHeight="1">
      <c r="A238" s="15"/>
      <c r="B238" s="90"/>
      <c r="C238" s="101"/>
      <c r="D238" s="111">
        <v>626</v>
      </c>
      <c r="E238" s="111">
        <v>0</v>
      </c>
      <c r="F238" s="114" t="s">
        <v>116</v>
      </c>
      <c r="G238" s="24">
        <v>17000</v>
      </c>
      <c r="H238" s="24"/>
      <c r="I238" s="24"/>
      <c r="J238" s="24"/>
      <c r="K238" s="24">
        <f t="shared" si="36"/>
        <v>17000</v>
      </c>
      <c r="L238" s="24">
        <v>17000</v>
      </c>
      <c r="M238" s="24"/>
      <c r="N238" s="24"/>
      <c r="O238" s="24"/>
      <c r="P238" s="24">
        <f t="shared" si="33"/>
        <v>17000</v>
      </c>
      <c r="Q238" s="30">
        <f>P238/K238</f>
        <v>1</v>
      </c>
    </row>
    <row r="239" spans="1:17" ht="12.75">
      <c r="A239" s="15"/>
      <c r="B239" s="56" t="s">
        <v>213</v>
      </c>
      <c r="C239" s="61"/>
      <c r="D239" s="123"/>
      <c r="E239" s="123"/>
      <c r="F239" s="115"/>
      <c r="G239" s="26">
        <f>SUM(G228:G238)</f>
        <v>511812</v>
      </c>
      <c r="H239" s="26">
        <f>SUM(H228:H236)</f>
        <v>0</v>
      </c>
      <c r="I239" s="26">
        <f>SUM(I228:I236)</f>
        <v>0</v>
      </c>
      <c r="J239" s="26">
        <f>SUM(J228:J236)</f>
        <v>0</v>
      </c>
      <c r="K239" s="26">
        <f t="shared" si="36"/>
        <v>511812</v>
      </c>
      <c r="L239" s="26">
        <f>SUM(L228:L238)</f>
        <v>419388.94</v>
      </c>
      <c r="M239" s="26">
        <f>SUM(M228:M238)</f>
        <v>0</v>
      </c>
      <c r="N239" s="26">
        <f>SUM(N228:N238)</f>
        <v>0</v>
      </c>
      <c r="O239" s="26">
        <f>SUM(O228:O238)</f>
        <v>0</v>
      </c>
      <c r="P239" s="26">
        <f t="shared" si="33"/>
        <v>419388.94</v>
      </c>
      <c r="Q239" s="27">
        <f>P239/K239</f>
        <v>0.8194199041835674</v>
      </c>
    </row>
    <row r="240" spans="1:17" ht="19.5">
      <c r="A240" s="15"/>
      <c r="B240" s="13">
        <v>80111</v>
      </c>
      <c r="C240" s="14" t="s">
        <v>360</v>
      </c>
      <c r="D240" s="125" t="s">
        <v>23</v>
      </c>
      <c r="E240" s="111">
        <v>1</v>
      </c>
      <c r="F240" s="106" t="s">
        <v>24</v>
      </c>
      <c r="G240" s="24"/>
      <c r="H240" s="24"/>
      <c r="I240" s="24"/>
      <c r="J240" s="24"/>
      <c r="K240" s="24">
        <f t="shared" si="36"/>
        <v>0</v>
      </c>
      <c r="L240" s="24">
        <v>780.55</v>
      </c>
      <c r="M240" s="24"/>
      <c r="N240" s="24"/>
      <c r="O240" s="24"/>
      <c r="P240" s="24">
        <f t="shared" si="33"/>
        <v>780.55</v>
      </c>
      <c r="Q240" s="30"/>
    </row>
    <row r="241" spans="1:17" ht="12.75">
      <c r="A241" s="15"/>
      <c r="B241" s="16" t="s">
        <v>359</v>
      </c>
      <c r="C241" s="17"/>
      <c r="D241" s="123"/>
      <c r="E241" s="123"/>
      <c r="F241" s="107"/>
      <c r="G241" s="26">
        <f aca="true" t="shared" si="38" ref="G241:O241">SUM(G240)</f>
        <v>0</v>
      </c>
      <c r="H241" s="26">
        <f t="shared" si="38"/>
        <v>0</v>
      </c>
      <c r="I241" s="26">
        <f t="shared" si="38"/>
        <v>0</v>
      </c>
      <c r="J241" s="26">
        <f t="shared" si="38"/>
        <v>0</v>
      </c>
      <c r="K241" s="26">
        <f t="shared" si="36"/>
        <v>0</v>
      </c>
      <c r="L241" s="26">
        <f t="shared" si="38"/>
        <v>780.55</v>
      </c>
      <c r="M241" s="26">
        <f t="shared" si="38"/>
        <v>0</v>
      </c>
      <c r="N241" s="26">
        <f t="shared" si="38"/>
        <v>0</v>
      </c>
      <c r="O241" s="26">
        <f t="shared" si="38"/>
        <v>0</v>
      </c>
      <c r="P241" s="26">
        <f t="shared" si="33"/>
        <v>780.55</v>
      </c>
      <c r="Q241" s="27"/>
    </row>
    <row r="242" spans="1:17" s="39" customFormat="1" ht="12.75">
      <c r="A242" s="38"/>
      <c r="B242" s="40">
        <v>80120</v>
      </c>
      <c r="C242" s="133" t="s">
        <v>214</v>
      </c>
      <c r="D242" s="111" t="s">
        <v>40</v>
      </c>
      <c r="E242" s="111" t="s">
        <v>7</v>
      </c>
      <c r="F242" s="106" t="s">
        <v>41</v>
      </c>
      <c r="G242" s="45">
        <v>500</v>
      </c>
      <c r="H242" s="45"/>
      <c r="I242" s="45"/>
      <c r="J242" s="45"/>
      <c r="K242" s="45">
        <f t="shared" si="36"/>
        <v>500</v>
      </c>
      <c r="L242" s="45">
        <v>1281</v>
      </c>
      <c r="M242" s="45"/>
      <c r="N242" s="45"/>
      <c r="O242" s="45"/>
      <c r="P242" s="24">
        <f t="shared" si="33"/>
        <v>1281</v>
      </c>
      <c r="Q242" s="50"/>
    </row>
    <row r="243" spans="1:17" ht="84.75" customHeight="1">
      <c r="A243" s="15"/>
      <c r="B243" s="37"/>
      <c r="C243" s="137"/>
      <c r="D243" s="111" t="s">
        <v>19</v>
      </c>
      <c r="E243" s="111" t="s">
        <v>7</v>
      </c>
      <c r="F243" s="106" t="s">
        <v>20</v>
      </c>
      <c r="G243" s="24">
        <v>170800</v>
      </c>
      <c r="H243" s="24"/>
      <c r="I243" s="24"/>
      <c r="J243" s="24"/>
      <c r="K243" s="24">
        <f t="shared" si="36"/>
        <v>170800</v>
      </c>
      <c r="L243" s="24">
        <v>139042.95</v>
      </c>
      <c r="M243" s="24"/>
      <c r="N243" s="24"/>
      <c r="O243" s="24"/>
      <c r="P243" s="24">
        <f t="shared" si="33"/>
        <v>139042.95</v>
      </c>
      <c r="Q243" s="30">
        <f>P243/K243</f>
        <v>0.8140687939110071</v>
      </c>
    </row>
    <row r="244" spans="1:17" ht="105.75" customHeight="1">
      <c r="A244" s="15"/>
      <c r="B244" s="37"/>
      <c r="C244" s="63"/>
      <c r="D244" s="125" t="s">
        <v>353</v>
      </c>
      <c r="E244" s="111">
        <v>0</v>
      </c>
      <c r="F244" s="106" t="s">
        <v>354</v>
      </c>
      <c r="G244" s="24"/>
      <c r="H244" s="24"/>
      <c r="I244" s="24"/>
      <c r="J244" s="24"/>
      <c r="K244" s="24">
        <f t="shared" si="36"/>
        <v>0</v>
      </c>
      <c r="L244" s="24">
        <v>190</v>
      </c>
      <c r="M244" s="24"/>
      <c r="N244" s="24"/>
      <c r="O244" s="24"/>
      <c r="P244" s="24">
        <f t="shared" si="33"/>
        <v>190</v>
      </c>
      <c r="Q244" s="30"/>
    </row>
    <row r="245" spans="1:17" ht="12.75">
      <c r="A245" s="15"/>
      <c r="B245" s="20"/>
      <c r="C245" s="15"/>
      <c r="D245" s="136" t="s">
        <v>23</v>
      </c>
      <c r="E245" s="111">
        <v>0</v>
      </c>
      <c r="F245" s="130" t="s">
        <v>24</v>
      </c>
      <c r="G245" s="24"/>
      <c r="H245" s="24"/>
      <c r="I245" s="24"/>
      <c r="J245" s="24"/>
      <c r="K245" s="24">
        <f t="shared" si="36"/>
        <v>0</v>
      </c>
      <c r="L245" s="24">
        <v>21.73</v>
      </c>
      <c r="M245" s="24"/>
      <c r="N245" s="24"/>
      <c r="O245" s="24"/>
      <c r="P245" s="24">
        <f t="shared" si="33"/>
        <v>21.73</v>
      </c>
      <c r="Q245" s="30"/>
    </row>
    <row r="246" spans="1:17" ht="12.75">
      <c r="A246" s="15"/>
      <c r="B246" s="20"/>
      <c r="C246" s="15"/>
      <c r="D246" s="136"/>
      <c r="E246" s="111">
        <v>1</v>
      </c>
      <c r="F246" s="131"/>
      <c r="G246" s="24"/>
      <c r="H246" s="24"/>
      <c r="I246" s="24"/>
      <c r="J246" s="24"/>
      <c r="K246" s="24"/>
      <c r="L246" s="24">
        <v>395.16</v>
      </c>
      <c r="M246" s="24"/>
      <c r="N246" s="24"/>
      <c r="O246" s="24"/>
      <c r="P246" s="24">
        <f t="shared" si="33"/>
        <v>395.16</v>
      </c>
      <c r="Q246" s="30"/>
    </row>
    <row r="247" spans="1:17" ht="19.5">
      <c r="A247" s="15"/>
      <c r="B247" s="20"/>
      <c r="C247" s="15"/>
      <c r="D247" s="111" t="s">
        <v>25</v>
      </c>
      <c r="E247" s="111" t="s">
        <v>7</v>
      </c>
      <c r="F247" s="106" t="s">
        <v>26</v>
      </c>
      <c r="G247" s="24">
        <v>2100</v>
      </c>
      <c r="H247" s="24"/>
      <c r="I247" s="24"/>
      <c r="J247" s="24"/>
      <c r="K247" s="24">
        <f t="shared" si="36"/>
        <v>2100</v>
      </c>
      <c r="L247" s="24">
        <v>14050.94</v>
      </c>
      <c r="M247" s="24"/>
      <c r="N247" s="24"/>
      <c r="O247" s="24"/>
      <c r="P247" s="24">
        <f t="shared" si="33"/>
        <v>14050.94</v>
      </c>
      <c r="Q247" s="30">
        <f>P247/K247</f>
        <v>6.6909238095238095</v>
      </c>
    </row>
    <row r="248" spans="1:17" ht="64.5" customHeight="1">
      <c r="A248" s="15"/>
      <c r="B248" s="20"/>
      <c r="C248" s="15"/>
      <c r="D248" s="111">
        <v>240</v>
      </c>
      <c r="E248" s="111">
        <v>0</v>
      </c>
      <c r="F248" s="106" t="s">
        <v>361</v>
      </c>
      <c r="G248" s="24"/>
      <c r="H248" s="24"/>
      <c r="I248" s="24"/>
      <c r="J248" s="24"/>
      <c r="K248" s="24"/>
      <c r="L248" s="24">
        <f>333997.21-362.93</f>
        <v>333634.28</v>
      </c>
      <c r="M248" s="24"/>
      <c r="N248" s="24"/>
      <c r="O248" s="24"/>
      <c r="P248" s="24">
        <f t="shared" si="33"/>
        <v>333634.28</v>
      </c>
      <c r="Q248" s="30"/>
    </row>
    <row r="249" spans="1:17" ht="58.5">
      <c r="A249" s="15"/>
      <c r="B249" s="20"/>
      <c r="C249" s="15"/>
      <c r="D249" s="111" t="s">
        <v>113</v>
      </c>
      <c r="E249" s="111" t="s">
        <v>7</v>
      </c>
      <c r="F249" s="106" t="s">
        <v>114</v>
      </c>
      <c r="G249" s="24">
        <v>42040</v>
      </c>
      <c r="H249" s="24"/>
      <c r="I249" s="24"/>
      <c r="J249" s="24"/>
      <c r="K249" s="24">
        <f t="shared" si="36"/>
        <v>42040</v>
      </c>
      <c r="L249" s="24">
        <v>42040</v>
      </c>
      <c r="M249" s="24"/>
      <c r="N249" s="24"/>
      <c r="O249" s="24"/>
      <c r="P249" s="24">
        <f t="shared" si="33"/>
        <v>42040</v>
      </c>
      <c r="Q249" s="30">
        <f>P249/K249</f>
        <v>1</v>
      </c>
    </row>
    <row r="250" spans="1:17" ht="63" customHeight="1">
      <c r="A250" s="15"/>
      <c r="B250" s="20"/>
      <c r="C250" s="15"/>
      <c r="D250" s="111" t="s">
        <v>51</v>
      </c>
      <c r="E250" s="111" t="s">
        <v>101</v>
      </c>
      <c r="F250" s="106" t="s">
        <v>52</v>
      </c>
      <c r="G250" s="24">
        <v>70107</v>
      </c>
      <c r="H250" s="24"/>
      <c r="I250" s="24"/>
      <c r="J250" s="24"/>
      <c r="K250" s="24">
        <f t="shared" si="36"/>
        <v>70107</v>
      </c>
      <c r="L250" s="24"/>
      <c r="M250" s="24"/>
      <c r="N250" s="24"/>
      <c r="O250" s="24"/>
      <c r="P250" s="24">
        <f t="shared" si="33"/>
        <v>0</v>
      </c>
      <c r="Q250" s="30">
        <f>P250/K250</f>
        <v>0</v>
      </c>
    </row>
    <row r="251" spans="1:17" ht="108" customHeight="1">
      <c r="A251" s="15"/>
      <c r="B251" s="69"/>
      <c r="C251" s="81"/>
      <c r="D251" s="111">
        <v>291</v>
      </c>
      <c r="E251" s="111">
        <v>0</v>
      </c>
      <c r="F251" s="106" t="s">
        <v>346</v>
      </c>
      <c r="G251" s="24"/>
      <c r="H251" s="24"/>
      <c r="I251" s="24"/>
      <c r="J251" s="24"/>
      <c r="K251" s="24">
        <f t="shared" si="36"/>
        <v>0</v>
      </c>
      <c r="L251" s="24">
        <v>37062.9</v>
      </c>
      <c r="M251" s="24"/>
      <c r="N251" s="24"/>
      <c r="O251" s="24"/>
      <c r="P251" s="24">
        <f t="shared" si="33"/>
        <v>37062.9</v>
      </c>
      <c r="Q251" s="30"/>
    </row>
    <row r="252" spans="1:17" ht="12.75">
      <c r="A252" s="15"/>
      <c r="B252" s="16" t="s">
        <v>215</v>
      </c>
      <c r="C252" s="17"/>
      <c r="D252" s="123"/>
      <c r="E252" s="123"/>
      <c r="F252" s="107"/>
      <c r="G252" s="26">
        <f>SUM(G242:G250)</f>
        <v>285547</v>
      </c>
      <c r="H252" s="26">
        <f>SUM(H243:H250)</f>
        <v>0</v>
      </c>
      <c r="I252" s="26">
        <f>SUM(I243:I250)</f>
        <v>0</v>
      </c>
      <c r="J252" s="26">
        <f>SUM(J243:J250)</f>
        <v>0</v>
      </c>
      <c r="K252" s="26">
        <f t="shared" si="36"/>
        <v>285547</v>
      </c>
      <c r="L252" s="26">
        <f>SUM(L242:L251)</f>
        <v>567718.9600000001</v>
      </c>
      <c r="M252" s="26">
        <f>SUM(M242:M251)</f>
        <v>0</v>
      </c>
      <c r="N252" s="26">
        <f>SUM(N242:N251)</f>
        <v>0</v>
      </c>
      <c r="O252" s="26">
        <f>SUM(O242:O251)</f>
        <v>0</v>
      </c>
      <c r="P252" s="26">
        <f t="shared" si="33"/>
        <v>567718.9600000001</v>
      </c>
      <c r="Q252" s="27">
        <f>P252/K252</f>
        <v>1.9881804396474139</v>
      </c>
    </row>
    <row r="253" spans="1:17" s="39" customFormat="1" ht="19.5">
      <c r="A253" s="38"/>
      <c r="B253" s="13">
        <v>80130</v>
      </c>
      <c r="C253" s="14" t="s">
        <v>216</v>
      </c>
      <c r="D253" s="111" t="s">
        <v>40</v>
      </c>
      <c r="E253" s="111" t="s">
        <v>7</v>
      </c>
      <c r="F253" s="106" t="s">
        <v>41</v>
      </c>
      <c r="G253" s="45">
        <v>3000</v>
      </c>
      <c r="H253" s="45"/>
      <c r="I253" s="45"/>
      <c r="J253" s="45"/>
      <c r="K253" s="45">
        <f t="shared" si="36"/>
        <v>3000</v>
      </c>
      <c r="L253" s="45">
        <v>5574.25</v>
      </c>
      <c r="M253" s="45"/>
      <c r="N253" s="45"/>
      <c r="O253" s="45"/>
      <c r="P253" s="24">
        <f t="shared" si="33"/>
        <v>5574.25</v>
      </c>
      <c r="Q253" s="30">
        <f>P253/K253</f>
        <v>1.8580833333333333</v>
      </c>
    </row>
    <row r="254" spans="1:17" ht="87.75" customHeight="1">
      <c r="A254" s="15"/>
      <c r="B254" s="37"/>
      <c r="C254" s="63"/>
      <c r="D254" s="111" t="s">
        <v>19</v>
      </c>
      <c r="E254" s="111" t="s">
        <v>7</v>
      </c>
      <c r="F254" s="106" t="s">
        <v>20</v>
      </c>
      <c r="G254" s="24">
        <v>208370</v>
      </c>
      <c r="H254" s="24"/>
      <c r="I254" s="24"/>
      <c r="J254" s="24"/>
      <c r="K254" s="24">
        <f t="shared" si="36"/>
        <v>208370</v>
      </c>
      <c r="L254" s="24">
        <v>144305.59</v>
      </c>
      <c r="M254" s="24"/>
      <c r="N254" s="24"/>
      <c r="O254" s="24"/>
      <c r="P254" s="24">
        <f t="shared" si="33"/>
        <v>144305.59</v>
      </c>
      <c r="Q254" s="30">
        <f>P254/K254</f>
        <v>0.6925449440898401</v>
      </c>
    </row>
    <row r="255" spans="1:17" ht="12.75">
      <c r="A255" s="15"/>
      <c r="B255" s="37"/>
      <c r="C255" s="63"/>
      <c r="D255" s="125" t="s">
        <v>21</v>
      </c>
      <c r="E255" s="111">
        <v>0</v>
      </c>
      <c r="F255" s="106" t="s">
        <v>22</v>
      </c>
      <c r="G255" s="24">
        <v>3700</v>
      </c>
      <c r="H255" s="24"/>
      <c r="I255" s="24"/>
      <c r="J255" s="24"/>
      <c r="K255" s="24">
        <f t="shared" si="36"/>
        <v>3700</v>
      </c>
      <c r="L255" s="24">
        <v>10954.02</v>
      </c>
      <c r="M255" s="24"/>
      <c r="N255" s="24"/>
      <c r="O255" s="24"/>
      <c r="P255" s="24">
        <f t="shared" si="33"/>
        <v>10954.02</v>
      </c>
      <c r="Q255" s="30"/>
    </row>
    <row r="256" spans="1:17" ht="109.5" customHeight="1">
      <c r="A256" s="15"/>
      <c r="B256" s="37"/>
      <c r="C256" s="63"/>
      <c r="D256" s="125" t="s">
        <v>353</v>
      </c>
      <c r="E256" s="111">
        <v>0</v>
      </c>
      <c r="F256" s="106" t="s">
        <v>354</v>
      </c>
      <c r="G256" s="24"/>
      <c r="H256" s="24"/>
      <c r="I256" s="24"/>
      <c r="J256" s="24"/>
      <c r="K256" s="24">
        <f t="shared" si="36"/>
        <v>0</v>
      </c>
      <c r="L256" s="24">
        <v>58</v>
      </c>
      <c r="M256" s="24"/>
      <c r="N256" s="24"/>
      <c r="O256" s="24"/>
      <c r="P256" s="24">
        <f t="shared" si="33"/>
        <v>58</v>
      </c>
      <c r="Q256" s="30"/>
    </row>
    <row r="257" spans="1:17" ht="12.75">
      <c r="A257" s="15"/>
      <c r="B257" s="37"/>
      <c r="C257" s="63"/>
      <c r="D257" s="136" t="s">
        <v>23</v>
      </c>
      <c r="E257" s="111">
        <v>0</v>
      </c>
      <c r="F257" s="130" t="s">
        <v>24</v>
      </c>
      <c r="G257" s="24">
        <v>10</v>
      </c>
      <c r="H257" s="24"/>
      <c r="I257" s="24"/>
      <c r="J257" s="24"/>
      <c r="K257" s="24">
        <f t="shared" si="36"/>
        <v>10</v>
      </c>
      <c r="L257" s="24">
        <v>7.77</v>
      </c>
      <c r="M257" s="24"/>
      <c r="N257" s="24"/>
      <c r="O257" s="24"/>
      <c r="P257" s="24">
        <f t="shared" si="33"/>
        <v>7.77</v>
      </c>
      <c r="Q257" s="30"/>
    </row>
    <row r="258" spans="1:17" ht="12.75">
      <c r="A258" s="15"/>
      <c r="B258" s="37"/>
      <c r="C258" s="63"/>
      <c r="D258" s="136"/>
      <c r="E258" s="111">
        <v>1</v>
      </c>
      <c r="F258" s="131"/>
      <c r="G258" s="24"/>
      <c r="H258" s="24"/>
      <c r="I258" s="24"/>
      <c r="J258" s="24"/>
      <c r="K258" s="24">
        <f t="shared" si="36"/>
        <v>0</v>
      </c>
      <c r="L258" s="24">
        <v>1169.51</v>
      </c>
      <c r="M258" s="24"/>
      <c r="N258" s="24"/>
      <c r="O258" s="24"/>
      <c r="P258" s="24">
        <f t="shared" si="33"/>
        <v>1169.51</v>
      </c>
      <c r="Q258" s="30"/>
    </row>
    <row r="259" spans="1:17" ht="19.5">
      <c r="A259" s="15"/>
      <c r="B259" s="20"/>
      <c r="C259" s="15"/>
      <c r="D259" s="111" t="s">
        <v>25</v>
      </c>
      <c r="E259" s="111" t="s">
        <v>7</v>
      </c>
      <c r="F259" s="106" t="s">
        <v>26</v>
      </c>
      <c r="G259" s="24">
        <v>1400</v>
      </c>
      <c r="H259" s="24"/>
      <c r="I259" s="24"/>
      <c r="J259" s="24"/>
      <c r="K259" s="24">
        <f t="shared" si="36"/>
        <v>1400</v>
      </c>
      <c r="L259" s="24">
        <v>11041.6</v>
      </c>
      <c r="M259" s="24"/>
      <c r="N259" s="24"/>
      <c r="O259" s="24"/>
      <c r="P259" s="24">
        <f t="shared" si="33"/>
        <v>11041.6</v>
      </c>
      <c r="Q259" s="30">
        <f>P259/K259</f>
        <v>7.886857142857143</v>
      </c>
    </row>
    <row r="260" spans="1:17" ht="60.75" customHeight="1">
      <c r="A260" s="15"/>
      <c r="B260" s="20"/>
      <c r="C260" s="15"/>
      <c r="D260" s="111">
        <v>240</v>
      </c>
      <c r="E260" s="111">
        <v>0</v>
      </c>
      <c r="F260" s="106" t="s">
        <v>361</v>
      </c>
      <c r="G260" s="24"/>
      <c r="H260" s="24"/>
      <c r="I260" s="24"/>
      <c r="J260" s="24"/>
      <c r="K260" s="24"/>
      <c r="L260" s="24">
        <v>4198.81</v>
      </c>
      <c r="M260" s="24"/>
      <c r="N260" s="24"/>
      <c r="O260" s="24"/>
      <c r="P260" s="24">
        <f t="shared" si="33"/>
        <v>4198.81</v>
      </c>
      <c r="Q260" s="30"/>
    </row>
    <row r="261" spans="1:17" ht="25.5" customHeight="1">
      <c r="A261" s="15"/>
      <c r="B261" s="20"/>
      <c r="C261" s="15"/>
      <c r="D261" s="160" t="s">
        <v>51</v>
      </c>
      <c r="E261" s="111" t="s">
        <v>101</v>
      </c>
      <c r="F261" s="130" t="s">
        <v>52</v>
      </c>
      <c r="G261" s="24">
        <v>206683</v>
      </c>
      <c r="H261" s="24"/>
      <c r="I261" s="24"/>
      <c r="J261" s="24"/>
      <c r="K261" s="24">
        <f t="shared" si="36"/>
        <v>206683</v>
      </c>
      <c r="L261" s="24">
        <v>207996.47</v>
      </c>
      <c r="M261" s="24"/>
      <c r="N261" s="24"/>
      <c r="O261" s="24"/>
      <c r="P261" s="24">
        <f aca="true" t="shared" si="39" ref="P261:P324">SUM(L261:O261)</f>
        <v>207996.47</v>
      </c>
      <c r="Q261" s="30">
        <f>P261/K261</f>
        <v>1.0063549977501778</v>
      </c>
    </row>
    <row r="262" spans="1:17" ht="33.75" customHeight="1">
      <c r="A262" s="15"/>
      <c r="B262" s="20"/>
      <c r="C262" s="15"/>
      <c r="D262" s="161"/>
      <c r="E262" s="111" t="s">
        <v>28</v>
      </c>
      <c r="F262" s="131"/>
      <c r="G262" s="24">
        <v>44020</v>
      </c>
      <c r="H262" s="24"/>
      <c r="I262" s="24"/>
      <c r="J262" s="24"/>
      <c r="K262" s="24">
        <f t="shared" si="36"/>
        <v>44020</v>
      </c>
      <c r="L262" s="24">
        <v>43594.11</v>
      </c>
      <c r="M262" s="24"/>
      <c r="N262" s="24"/>
      <c r="O262" s="24"/>
      <c r="P262" s="24">
        <f t="shared" si="39"/>
        <v>43594.11</v>
      </c>
      <c r="Q262" s="30">
        <f>P262/K262</f>
        <v>0.9903250795093139</v>
      </c>
    </row>
    <row r="263" spans="1:17" ht="100.5" customHeight="1">
      <c r="A263" s="15"/>
      <c r="B263" s="69"/>
      <c r="C263" s="81"/>
      <c r="D263" s="111">
        <v>291</v>
      </c>
      <c r="E263" s="111">
        <v>0</v>
      </c>
      <c r="F263" s="106" t="s">
        <v>346</v>
      </c>
      <c r="G263" s="24"/>
      <c r="H263" s="24"/>
      <c r="I263" s="24"/>
      <c r="J263" s="24"/>
      <c r="K263" s="24">
        <f t="shared" si="36"/>
        <v>0</v>
      </c>
      <c r="L263" s="24">
        <v>99136.12</v>
      </c>
      <c r="M263" s="24"/>
      <c r="N263" s="24"/>
      <c r="O263" s="24"/>
      <c r="P263" s="24">
        <f t="shared" si="39"/>
        <v>99136.12</v>
      </c>
      <c r="Q263" s="30"/>
    </row>
    <row r="264" spans="1:17" ht="12.75">
      <c r="A264" s="15"/>
      <c r="B264" s="16" t="s">
        <v>217</v>
      </c>
      <c r="C264" s="17"/>
      <c r="D264" s="123"/>
      <c r="E264" s="123"/>
      <c r="F264" s="107"/>
      <c r="G264" s="26">
        <f>SUM(G253:G263)</f>
        <v>467183</v>
      </c>
      <c r="H264" s="26">
        <f aca="true" t="shared" si="40" ref="H264:O264">SUM(H253:H263)</f>
        <v>0</v>
      </c>
      <c r="I264" s="26">
        <f t="shared" si="40"/>
        <v>0</v>
      </c>
      <c r="J264" s="26">
        <f t="shared" si="40"/>
        <v>0</v>
      </c>
      <c r="K264" s="26">
        <f t="shared" si="40"/>
        <v>467183</v>
      </c>
      <c r="L264" s="26">
        <f t="shared" si="40"/>
        <v>528036.25</v>
      </c>
      <c r="M264" s="26">
        <f t="shared" si="40"/>
        <v>0</v>
      </c>
      <c r="N264" s="26">
        <f t="shared" si="40"/>
        <v>0</v>
      </c>
      <c r="O264" s="26">
        <f t="shared" si="40"/>
        <v>0</v>
      </c>
      <c r="P264" s="26">
        <f t="shared" si="39"/>
        <v>528036.25</v>
      </c>
      <c r="Q264" s="27">
        <f>P264/K264</f>
        <v>1.130255702797405</v>
      </c>
    </row>
    <row r="265" spans="1:17" ht="78.75" customHeight="1">
      <c r="A265" s="15"/>
      <c r="B265" s="13" t="s">
        <v>218</v>
      </c>
      <c r="C265" s="14" t="s">
        <v>219</v>
      </c>
      <c r="D265" s="111" t="s">
        <v>19</v>
      </c>
      <c r="E265" s="111" t="s">
        <v>7</v>
      </c>
      <c r="F265" s="106" t="s">
        <v>20</v>
      </c>
      <c r="G265" s="24">
        <v>3500</v>
      </c>
      <c r="H265" s="24"/>
      <c r="I265" s="24"/>
      <c r="J265" s="24"/>
      <c r="K265" s="24">
        <f t="shared" si="36"/>
        <v>3500</v>
      </c>
      <c r="L265" s="24">
        <v>2802.27</v>
      </c>
      <c r="M265" s="24"/>
      <c r="N265" s="24"/>
      <c r="O265" s="24"/>
      <c r="P265" s="24">
        <f t="shared" si="39"/>
        <v>2802.27</v>
      </c>
      <c r="Q265" s="30">
        <f>P265/K265</f>
        <v>0.8006485714285714</v>
      </c>
    </row>
    <row r="266" spans="1:17" ht="12.75">
      <c r="A266" s="15"/>
      <c r="B266" s="37"/>
      <c r="C266" s="63"/>
      <c r="D266" s="136" t="s">
        <v>23</v>
      </c>
      <c r="E266" s="111">
        <v>0</v>
      </c>
      <c r="F266" s="130" t="s">
        <v>24</v>
      </c>
      <c r="G266" s="24"/>
      <c r="H266" s="24"/>
      <c r="I266" s="24"/>
      <c r="J266" s="24"/>
      <c r="K266" s="24">
        <f t="shared" si="36"/>
        <v>0</v>
      </c>
      <c r="L266" s="24">
        <v>130.98</v>
      </c>
      <c r="M266" s="24"/>
      <c r="N266" s="24"/>
      <c r="O266" s="24"/>
      <c r="P266" s="24">
        <f t="shared" si="39"/>
        <v>130.98</v>
      </c>
      <c r="Q266" s="30"/>
    </row>
    <row r="267" spans="1:17" ht="12.75">
      <c r="A267" s="15"/>
      <c r="B267" s="37"/>
      <c r="C267" s="63"/>
      <c r="D267" s="136"/>
      <c r="E267" s="111">
        <v>7</v>
      </c>
      <c r="F267" s="131"/>
      <c r="G267" s="24"/>
      <c r="H267" s="24"/>
      <c r="I267" s="24"/>
      <c r="J267" s="24"/>
      <c r="K267" s="24">
        <f t="shared" si="36"/>
        <v>0</v>
      </c>
      <c r="L267" s="24">
        <v>3605</v>
      </c>
      <c r="M267" s="24"/>
      <c r="N267" s="24"/>
      <c r="O267" s="24"/>
      <c r="P267" s="24">
        <f t="shared" si="39"/>
        <v>3605</v>
      </c>
      <c r="Q267" s="30"/>
    </row>
    <row r="268" spans="1:17" ht="19.5">
      <c r="A268" s="15"/>
      <c r="B268" s="37"/>
      <c r="C268" s="63"/>
      <c r="D268" s="111" t="s">
        <v>25</v>
      </c>
      <c r="E268" s="111" t="s">
        <v>7</v>
      </c>
      <c r="F268" s="106" t="s">
        <v>26</v>
      </c>
      <c r="G268" s="24"/>
      <c r="H268" s="24"/>
      <c r="I268" s="24"/>
      <c r="J268" s="24"/>
      <c r="K268" s="24">
        <f t="shared" si="36"/>
        <v>0</v>
      </c>
      <c r="L268" s="24">
        <v>5650.74</v>
      </c>
      <c r="M268" s="24"/>
      <c r="N268" s="24"/>
      <c r="O268" s="24"/>
      <c r="P268" s="24">
        <f t="shared" si="39"/>
        <v>5650.74</v>
      </c>
      <c r="Q268" s="30"/>
    </row>
    <row r="269" spans="1:17" ht="63" customHeight="1">
      <c r="A269" s="15"/>
      <c r="B269" s="20"/>
      <c r="C269" s="15"/>
      <c r="D269" s="111">
        <v>240</v>
      </c>
      <c r="E269" s="111">
        <v>0</v>
      </c>
      <c r="F269" s="106" t="s">
        <v>361</v>
      </c>
      <c r="G269" s="24"/>
      <c r="H269" s="24"/>
      <c r="I269" s="24"/>
      <c r="J269" s="24"/>
      <c r="K269" s="24"/>
      <c r="L269" s="24">
        <v>15.27</v>
      </c>
      <c r="M269" s="24"/>
      <c r="N269" s="24"/>
      <c r="O269" s="24"/>
      <c r="P269" s="24">
        <f t="shared" si="39"/>
        <v>15.27</v>
      </c>
      <c r="Q269" s="30"/>
    </row>
    <row r="270" spans="1:17" ht="84.75" customHeight="1">
      <c r="A270" s="15"/>
      <c r="B270" s="20"/>
      <c r="C270" s="15"/>
      <c r="D270" s="111" t="s">
        <v>44</v>
      </c>
      <c r="E270" s="111" t="s">
        <v>28</v>
      </c>
      <c r="F270" s="106" t="s">
        <v>45</v>
      </c>
      <c r="G270" s="24">
        <v>3983411</v>
      </c>
      <c r="H270" s="24"/>
      <c r="I270" s="24"/>
      <c r="J270" s="24"/>
      <c r="K270" s="24">
        <f t="shared" si="36"/>
        <v>3983411</v>
      </c>
      <c r="L270" s="24">
        <v>2307732.53</v>
      </c>
      <c r="M270" s="24"/>
      <c r="N270" s="24"/>
      <c r="O270" s="24"/>
      <c r="P270" s="24">
        <f t="shared" si="39"/>
        <v>2307732.53</v>
      </c>
      <c r="Q270" s="30">
        <f>P270/K270</f>
        <v>0.5793357828253223</v>
      </c>
    </row>
    <row r="271" spans="1:17" ht="12.75">
      <c r="A271" s="15"/>
      <c r="B271" s="16" t="s">
        <v>220</v>
      </c>
      <c r="C271" s="17"/>
      <c r="D271" s="123"/>
      <c r="E271" s="123"/>
      <c r="F271" s="107"/>
      <c r="G271" s="26">
        <f>SUM(G265:G270)</f>
        <v>3986911</v>
      </c>
      <c r="H271" s="26">
        <f aca="true" t="shared" si="41" ref="H271:O271">SUM(H265:H270)</f>
        <v>0</v>
      </c>
      <c r="I271" s="26">
        <f t="shared" si="41"/>
        <v>0</v>
      </c>
      <c r="J271" s="26">
        <f t="shared" si="41"/>
        <v>0</v>
      </c>
      <c r="K271" s="26">
        <f t="shared" si="36"/>
        <v>3986911</v>
      </c>
      <c r="L271" s="26">
        <f t="shared" si="41"/>
        <v>2319936.7899999996</v>
      </c>
      <c r="M271" s="26">
        <f t="shared" si="41"/>
        <v>0</v>
      </c>
      <c r="N271" s="26">
        <f t="shared" si="41"/>
        <v>0</v>
      </c>
      <c r="O271" s="26">
        <f t="shared" si="41"/>
        <v>0</v>
      </c>
      <c r="P271" s="26">
        <f t="shared" si="39"/>
        <v>2319936.7899999996</v>
      </c>
      <c r="Q271" s="27">
        <f>P271/K271</f>
        <v>0.5818882814289056</v>
      </c>
    </row>
    <row r="272" spans="1:17" ht="55.5" customHeight="1">
      <c r="A272" s="15"/>
      <c r="B272" s="40">
        <v>80140</v>
      </c>
      <c r="C272" s="14" t="s">
        <v>413</v>
      </c>
      <c r="D272" s="125">
        <v>240</v>
      </c>
      <c r="E272" s="111">
        <v>0</v>
      </c>
      <c r="F272" s="106" t="s">
        <v>361</v>
      </c>
      <c r="G272" s="24"/>
      <c r="H272" s="24"/>
      <c r="I272" s="24"/>
      <c r="J272" s="24"/>
      <c r="K272" s="24">
        <f>SUM(G272:J272)</f>
        <v>0</v>
      </c>
      <c r="L272" s="24"/>
      <c r="M272" s="24">
        <v>8250</v>
      </c>
      <c r="N272" s="24"/>
      <c r="O272" s="24"/>
      <c r="P272" s="24">
        <f t="shared" si="39"/>
        <v>8250</v>
      </c>
      <c r="Q272" s="30"/>
    </row>
    <row r="273" spans="1:17" ht="12.75">
      <c r="A273" s="15"/>
      <c r="B273" s="16" t="s">
        <v>412</v>
      </c>
      <c r="C273" s="17"/>
      <c r="D273" s="123"/>
      <c r="E273" s="123"/>
      <c r="F273" s="107"/>
      <c r="G273" s="26">
        <f>SUM(G272)</f>
        <v>0</v>
      </c>
      <c r="H273" s="26">
        <f aca="true" t="shared" si="42" ref="H273:Q273">SUM(H272)</f>
        <v>0</v>
      </c>
      <c r="I273" s="26">
        <f t="shared" si="42"/>
        <v>0</v>
      </c>
      <c r="J273" s="26">
        <f t="shared" si="42"/>
        <v>0</v>
      </c>
      <c r="K273" s="26">
        <f t="shared" si="42"/>
        <v>0</v>
      </c>
      <c r="L273" s="26">
        <f t="shared" si="42"/>
        <v>0</v>
      </c>
      <c r="M273" s="26">
        <f t="shared" si="42"/>
        <v>8250</v>
      </c>
      <c r="N273" s="26">
        <f t="shared" si="42"/>
        <v>0</v>
      </c>
      <c r="O273" s="26">
        <f t="shared" si="42"/>
        <v>0</v>
      </c>
      <c r="P273" s="26">
        <f t="shared" si="39"/>
        <v>8250</v>
      </c>
      <c r="Q273" s="26">
        <f t="shared" si="42"/>
        <v>0</v>
      </c>
    </row>
    <row r="274" spans="1:17" ht="55.5" customHeight="1">
      <c r="A274" s="15"/>
      <c r="B274" s="40">
        <v>80141</v>
      </c>
      <c r="C274" s="14" t="s">
        <v>415</v>
      </c>
      <c r="D274" s="125">
        <v>240</v>
      </c>
      <c r="E274" s="111">
        <v>0</v>
      </c>
      <c r="F274" s="106" t="s">
        <v>361</v>
      </c>
      <c r="G274" s="24"/>
      <c r="H274" s="24"/>
      <c r="I274" s="24"/>
      <c r="J274" s="24"/>
      <c r="K274" s="24">
        <f>SUM(G274:J274)</f>
        <v>0</v>
      </c>
      <c r="L274" s="24">
        <v>4945.94</v>
      </c>
      <c r="M274" s="24"/>
      <c r="N274" s="24"/>
      <c r="O274" s="24"/>
      <c r="P274" s="24">
        <f t="shared" si="39"/>
        <v>4945.94</v>
      </c>
      <c r="Q274" s="30"/>
    </row>
    <row r="275" spans="1:17" ht="12.75">
      <c r="A275" s="15"/>
      <c r="B275" s="16" t="s">
        <v>416</v>
      </c>
      <c r="C275" s="17"/>
      <c r="D275" s="123"/>
      <c r="E275" s="123"/>
      <c r="F275" s="107"/>
      <c r="G275" s="26">
        <f aca="true" t="shared" si="43" ref="G275:O275">SUM(G274)</f>
        <v>0</v>
      </c>
      <c r="H275" s="26">
        <f t="shared" si="43"/>
        <v>0</v>
      </c>
      <c r="I275" s="26">
        <f t="shared" si="43"/>
        <v>0</v>
      </c>
      <c r="J275" s="26">
        <f t="shared" si="43"/>
        <v>0</v>
      </c>
      <c r="K275" s="26">
        <f t="shared" si="43"/>
        <v>0</v>
      </c>
      <c r="L275" s="26">
        <f t="shared" si="43"/>
        <v>4945.94</v>
      </c>
      <c r="M275" s="26">
        <f t="shared" si="43"/>
        <v>0</v>
      </c>
      <c r="N275" s="26">
        <f t="shared" si="43"/>
        <v>0</v>
      </c>
      <c r="O275" s="26">
        <f t="shared" si="43"/>
        <v>0</v>
      </c>
      <c r="P275" s="26">
        <f t="shared" si="39"/>
        <v>4945.94</v>
      </c>
      <c r="Q275" s="26">
        <f>SUM(Q274)</f>
        <v>0</v>
      </c>
    </row>
    <row r="276" spans="1:17" ht="12.75">
      <c r="A276" s="15"/>
      <c r="B276" s="40">
        <v>80148</v>
      </c>
      <c r="C276" s="133" t="s">
        <v>389</v>
      </c>
      <c r="D276" s="125" t="s">
        <v>21</v>
      </c>
      <c r="E276" s="111">
        <v>0</v>
      </c>
      <c r="F276" s="106" t="s">
        <v>22</v>
      </c>
      <c r="G276" s="24"/>
      <c r="H276" s="24"/>
      <c r="I276" s="24"/>
      <c r="J276" s="24"/>
      <c r="K276" s="24">
        <f t="shared" si="36"/>
        <v>0</v>
      </c>
      <c r="L276" s="24">
        <v>137.4</v>
      </c>
      <c r="M276" s="24"/>
      <c r="N276" s="24"/>
      <c r="O276" s="24"/>
      <c r="P276" s="24">
        <f t="shared" si="39"/>
        <v>137.4</v>
      </c>
      <c r="Q276" s="30"/>
    </row>
    <row r="277" spans="1:17" ht="51.75" customHeight="1">
      <c r="A277" s="15"/>
      <c r="B277" s="69"/>
      <c r="C277" s="135"/>
      <c r="D277" s="125">
        <v>240</v>
      </c>
      <c r="E277" s="111">
        <v>0</v>
      </c>
      <c r="F277" s="106" t="s">
        <v>361</v>
      </c>
      <c r="G277" s="24"/>
      <c r="H277" s="24"/>
      <c r="I277" s="24"/>
      <c r="J277" s="24"/>
      <c r="K277" s="24">
        <f t="shared" si="36"/>
        <v>0</v>
      </c>
      <c r="L277" s="24">
        <f>69324.84+156</f>
        <v>69480.84</v>
      </c>
      <c r="M277" s="24"/>
      <c r="N277" s="24"/>
      <c r="O277" s="24"/>
      <c r="P277" s="24">
        <f t="shared" si="39"/>
        <v>69480.84</v>
      </c>
      <c r="Q277" s="30"/>
    </row>
    <row r="278" spans="1:17" ht="12.75">
      <c r="A278" s="15"/>
      <c r="B278" s="16" t="s">
        <v>388</v>
      </c>
      <c r="C278" s="17"/>
      <c r="D278" s="123"/>
      <c r="E278" s="123"/>
      <c r="F278" s="107"/>
      <c r="G278" s="26">
        <f>SUM(G276)</f>
        <v>0</v>
      </c>
      <c r="H278" s="26">
        <f>SUM(H276)</f>
        <v>0</v>
      </c>
      <c r="I278" s="26">
        <f>SUM(I276)</f>
        <v>0</v>
      </c>
      <c r="J278" s="26">
        <f>SUM(J276)</f>
        <v>0</v>
      </c>
      <c r="K278" s="26">
        <f t="shared" si="36"/>
        <v>0</v>
      </c>
      <c r="L278" s="26">
        <f>SUM(L276:L277)</f>
        <v>69618.23999999999</v>
      </c>
      <c r="M278" s="26">
        <f>SUM(M276:M277)</f>
        <v>0</v>
      </c>
      <c r="N278" s="26">
        <f>SUM(N276:N277)</f>
        <v>0</v>
      </c>
      <c r="O278" s="26">
        <f>SUM(O276:O277)</f>
        <v>0</v>
      </c>
      <c r="P278" s="26">
        <f t="shared" si="39"/>
        <v>69618.23999999999</v>
      </c>
      <c r="Q278" s="27"/>
    </row>
    <row r="279" spans="1:17" ht="12.75">
      <c r="A279" s="15"/>
      <c r="B279" s="13" t="s">
        <v>221</v>
      </c>
      <c r="C279" s="133" t="s">
        <v>50</v>
      </c>
      <c r="D279" s="111" t="s">
        <v>21</v>
      </c>
      <c r="E279" s="111" t="s">
        <v>7</v>
      </c>
      <c r="F279" s="106" t="s">
        <v>22</v>
      </c>
      <c r="G279" s="24">
        <v>2423421</v>
      </c>
      <c r="H279" s="24"/>
      <c r="I279" s="24"/>
      <c r="J279" s="24"/>
      <c r="K279" s="24">
        <f t="shared" si="36"/>
        <v>2423421</v>
      </c>
      <c r="L279" s="24">
        <v>2288763.37</v>
      </c>
      <c r="M279" s="24"/>
      <c r="N279" s="24"/>
      <c r="O279" s="24"/>
      <c r="P279" s="24">
        <f t="shared" si="39"/>
        <v>2288763.37</v>
      </c>
      <c r="Q279" s="30">
        <f>P279/K279</f>
        <v>0.9444349000854577</v>
      </c>
    </row>
    <row r="280" spans="1:17" ht="84.75" customHeight="1">
      <c r="A280" s="15"/>
      <c r="B280" s="37"/>
      <c r="C280" s="134"/>
      <c r="D280" s="125" t="s">
        <v>353</v>
      </c>
      <c r="E280" s="111">
        <v>0</v>
      </c>
      <c r="F280" s="106" t="s">
        <v>354</v>
      </c>
      <c r="G280" s="24"/>
      <c r="H280" s="24"/>
      <c r="I280" s="24"/>
      <c r="J280" s="24"/>
      <c r="K280" s="24">
        <f t="shared" si="36"/>
        <v>0</v>
      </c>
      <c r="L280" s="24">
        <v>2.71</v>
      </c>
      <c r="M280" s="24"/>
      <c r="N280" s="24"/>
      <c r="O280" s="24"/>
      <c r="P280" s="24">
        <f t="shared" si="39"/>
        <v>2.71</v>
      </c>
      <c r="Q280" s="30"/>
    </row>
    <row r="281" spans="1:17" ht="12.75">
      <c r="A281" s="15"/>
      <c r="B281" s="37"/>
      <c r="C281" s="134"/>
      <c r="D281" s="125" t="s">
        <v>23</v>
      </c>
      <c r="E281" s="111">
        <v>0</v>
      </c>
      <c r="F281" s="106" t="s">
        <v>24</v>
      </c>
      <c r="G281" s="24"/>
      <c r="H281" s="24"/>
      <c r="I281" s="24"/>
      <c r="J281" s="24"/>
      <c r="K281" s="24">
        <f t="shared" si="36"/>
        <v>0</v>
      </c>
      <c r="L281" s="24">
        <v>2696.09</v>
      </c>
      <c r="M281" s="24"/>
      <c r="N281" s="24"/>
      <c r="O281" s="24"/>
      <c r="P281" s="24">
        <f t="shared" si="39"/>
        <v>2696.09</v>
      </c>
      <c r="Q281" s="30"/>
    </row>
    <row r="282" spans="1:17" ht="90.75" customHeight="1">
      <c r="A282" s="15"/>
      <c r="B282" s="20"/>
      <c r="C282" s="137"/>
      <c r="D282" s="111" t="s">
        <v>27</v>
      </c>
      <c r="E282" s="111" t="s">
        <v>28</v>
      </c>
      <c r="F282" s="106" t="s">
        <v>29</v>
      </c>
      <c r="G282" s="24">
        <v>244165</v>
      </c>
      <c r="H282" s="24"/>
      <c r="I282" s="24"/>
      <c r="J282" s="24"/>
      <c r="K282" s="24">
        <f t="shared" si="36"/>
        <v>244165</v>
      </c>
      <c r="L282" s="24">
        <v>244164.88</v>
      </c>
      <c r="M282" s="24"/>
      <c r="N282" s="24"/>
      <c r="O282" s="24"/>
      <c r="P282" s="24">
        <f t="shared" si="39"/>
        <v>244164.88</v>
      </c>
      <c r="Q282" s="30">
        <f>P282/K282</f>
        <v>0.9999995085290685</v>
      </c>
    </row>
    <row r="283" spans="1:17" ht="72" customHeight="1">
      <c r="A283" s="15"/>
      <c r="B283" s="20"/>
      <c r="C283" s="63"/>
      <c r="D283" s="111">
        <v>212</v>
      </c>
      <c r="E283" s="111">
        <v>0</v>
      </c>
      <c r="F283" s="106" t="s">
        <v>403</v>
      </c>
      <c r="G283" s="24"/>
      <c r="H283" s="24">
        <v>7842</v>
      </c>
      <c r="I283" s="24"/>
      <c r="J283" s="24"/>
      <c r="K283" s="24">
        <f t="shared" si="36"/>
        <v>7842</v>
      </c>
      <c r="L283" s="24"/>
      <c r="M283" s="24">
        <v>5126.37</v>
      </c>
      <c r="N283" s="24"/>
      <c r="O283" s="24"/>
      <c r="P283" s="24">
        <f t="shared" si="39"/>
        <v>5126.37</v>
      </c>
      <c r="Q283" s="30">
        <f>P283/K283</f>
        <v>0.6537069625095638</v>
      </c>
    </row>
    <row r="284" spans="1:17" ht="48" customHeight="1">
      <c r="A284" s="15"/>
      <c r="B284" s="20"/>
      <c r="C284" s="15"/>
      <c r="D284" s="111" t="s">
        <v>31</v>
      </c>
      <c r="E284" s="111" t="s">
        <v>7</v>
      </c>
      <c r="F284" s="106" t="s">
        <v>32</v>
      </c>
      <c r="G284" s="24"/>
      <c r="H284" s="24"/>
      <c r="I284" s="24"/>
      <c r="J284" s="24"/>
      <c r="K284" s="24">
        <f>SUM(G284:J284)</f>
        <v>0</v>
      </c>
      <c r="L284" s="24"/>
      <c r="M284" s="24">
        <v>3101.39</v>
      </c>
      <c r="N284" s="24"/>
      <c r="O284" s="24"/>
      <c r="P284" s="24">
        <f t="shared" si="39"/>
        <v>3101.39</v>
      </c>
      <c r="Q284" s="30"/>
    </row>
    <row r="285" spans="1:17" ht="53.25" customHeight="1">
      <c r="A285" s="15"/>
      <c r="B285" s="62"/>
      <c r="C285" s="63"/>
      <c r="D285" s="125">
        <v>240</v>
      </c>
      <c r="E285" s="111">
        <v>0</v>
      </c>
      <c r="F285" s="106" t="s">
        <v>361</v>
      </c>
      <c r="G285" s="24"/>
      <c r="H285" s="24"/>
      <c r="I285" s="24"/>
      <c r="J285" s="24"/>
      <c r="K285" s="24">
        <f>SUM(G285:J285)</f>
        <v>0</v>
      </c>
      <c r="L285" s="24">
        <v>7918.1</v>
      </c>
      <c r="M285" s="24"/>
      <c r="N285" s="24"/>
      <c r="O285" s="24"/>
      <c r="P285" s="24">
        <f t="shared" si="39"/>
        <v>7918.1</v>
      </c>
      <c r="Q285" s="30"/>
    </row>
    <row r="286" spans="1:17" ht="98.25" customHeight="1">
      <c r="A286" s="15"/>
      <c r="B286" s="37"/>
      <c r="C286" s="63"/>
      <c r="D286" s="111">
        <v>291</v>
      </c>
      <c r="E286" s="111">
        <v>0</v>
      </c>
      <c r="F286" s="106" t="s">
        <v>346</v>
      </c>
      <c r="G286" s="24"/>
      <c r="H286" s="24"/>
      <c r="I286" s="24"/>
      <c r="J286" s="24"/>
      <c r="K286" s="24">
        <f t="shared" si="36"/>
        <v>0</v>
      </c>
      <c r="L286" s="24">
        <v>11685.38</v>
      </c>
      <c r="M286" s="24"/>
      <c r="N286" s="24"/>
      <c r="O286" s="24"/>
      <c r="P286" s="24">
        <f t="shared" si="39"/>
        <v>11685.38</v>
      </c>
      <c r="Q286" s="30"/>
    </row>
    <row r="287" spans="1:17" ht="90.75" customHeight="1">
      <c r="A287" s="15"/>
      <c r="B287" s="20"/>
      <c r="C287" s="15"/>
      <c r="D287" s="111" t="s">
        <v>44</v>
      </c>
      <c r="E287" s="111" t="s">
        <v>28</v>
      </c>
      <c r="F287" s="106" t="s">
        <v>45</v>
      </c>
      <c r="G287" s="24">
        <v>311044</v>
      </c>
      <c r="H287" s="24"/>
      <c r="I287" s="24"/>
      <c r="J287" s="24"/>
      <c r="K287" s="24">
        <f t="shared" si="36"/>
        <v>311044</v>
      </c>
      <c r="L287" s="24">
        <v>174944.57</v>
      </c>
      <c r="M287" s="24"/>
      <c r="N287" s="24"/>
      <c r="O287" s="24"/>
      <c r="P287" s="24">
        <f t="shared" si="39"/>
        <v>174944.57</v>
      </c>
      <c r="Q287" s="30">
        <f>P287/K287</f>
        <v>0.5624431591671918</v>
      </c>
    </row>
    <row r="288" spans="1:17" ht="12.75">
      <c r="A288" s="15"/>
      <c r="B288" s="16" t="s">
        <v>222</v>
      </c>
      <c r="C288" s="17"/>
      <c r="D288" s="123"/>
      <c r="E288" s="123"/>
      <c r="F288" s="107"/>
      <c r="G288" s="26">
        <f>SUM(G279:G287)</f>
        <v>2978630</v>
      </c>
      <c r="H288" s="26">
        <f aca="true" t="shared" si="44" ref="H288:O288">SUM(H279:H287)</f>
        <v>7842</v>
      </c>
      <c r="I288" s="26">
        <f t="shared" si="44"/>
        <v>0</v>
      </c>
      <c r="J288" s="26">
        <f t="shared" si="44"/>
        <v>0</v>
      </c>
      <c r="K288" s="26">
        <f t="shared" si="36"/>
        <v>2986472</v>
      </c>
      <c r="L288" s="26">
        <f t="shared" si="44"/>
        <v>2730175.0999999996</v>
      </c>
      <c r="M288" s="26">
        <f t="shared" si="44"/>
        <v>8227.76</v>
      </c>
      <c r="N288" s="26">
        <f t="shared" si="44"/>
        <v>0</v>
      </c>
      <c r="O288" s="26">
        <f t="shared" si="44"/>
        <v>0</v>
      </c>
      <c r="P288" s="26">
        <f t="shared" si="39"/>
        <v>2738402.8599999994</v>
      </c>
      <c r="Q288" s="27">
        <f>P288/K288</f>
        <v>0.9169357221497471</v>
      </c>
    </row>
    <row r="289" spans="1:17" ht="12.75">
      <c r="A289" s="18" t="s">
        <v>223</v>
      </c>
      <c r="B289" s="19"/>
      <c r="C289" s="19"/>
      <c r="D289" s="124"/>
      <c r="E289" s="124"/>
      <c r="F289" s="108"/>
      <c r="G289" s="28">
        <f>SUM(G288,G271,G264,G252,G239,G227,G223,G221,G209,G205,G199,G273)</f>
        <v>23464459</v>
      </c>
      <c r="H289" s="28">
        <f>SUM(H288,H271,H264,H252,H239,H227,H223,H221,H209,H205,H199,H273)</f>
        <v>557282</v>
      </c>
      <c r="I289" s="28">
        <f>SUM(I288,I271,I264,I252,I239,I227,I223,I221,I209,I205,I199,I273)</f>
        <v>225902</v>
      </c>
      <c r="J289" s="28">
        <f>SUM(J288,J271,J264,J252,J239,J227,J223,J221,J209,J205,J199,J273)</f>
        <v>1200</v>
      </c>
      <c r="K289" s="28">
        <f>SUM(K288,K271,K264,K252,K239,K227,K223,K221,K209,K205,K199,K273)</f>
        <v>24248843</v>
      </c>
      <c r="L289" s="28">
        <f>SUM(L288,L278,L275,L273,L271,L264,L252,L241,L239,L227,L223,L221,L209,L205,L199)</f>
        <v>21337367.57</v>
      </c>
      <c r="M289" s="28">
        <f>SUM(M288,M278,M275,M273,M271,M264,M252,M241,M239,M227,M223,M221,M209,M205,M199)</f>
        <v>506967.07</v>
      </c>
      <c r="N289" s="28">
        <f>SUM(N288,N278,N275,N273,N271,N264,N252,N241,N239,N227,N223,N221,N209,N205,N199)</f>
        <v>214161.64</v>
      </c>
      <c r="O289" s="28">
        <f>SUM(O288,O278,O275,O273,O271,O264,O252,O241,O239,O227,O223,O221,O209,O205,O199)</f>
        <v>390.75</v>
      </c>
      <c r="P289" s="28">
        <f t="shared" si="39"/>
        <v>22058887.03</v>
      </c>
      <c r="Q289" s="29">
        <f>P289/K289</f>
        <v>0.9096882284239294</v>
      </c>
    </row>
    <row r="290" spans="1:17" ht="96" customHeight="1">
      <c r="A290" s="14" t="s">
        <v>338</v>
      </c>
      <c r="B290" s="13">
        <v>85111</v>
      </c>
      <c r="C290" s="14" t="s">
        <v>363</v>
      </c>
      <c r="D290" s="111">
        <v>291</v>
      </c>
      <c r="E290" s="111" t="s">
        <v>7</v>
      </c>
      <c r="F290" s="106" t="s">
        <v>346</v>
      </c>
      <c r="G290" s="24"/>
      <c r="H290" s="24"/>
      <c r="I290" s="24"/>
      <c r="J290" s="24"/>
      <c r="K290" s="24">
        <f t="shared" si="36"/>
        <v>0</v>
      </c>
      <c r="L290" s="24">
        <v>26606.42</v>
      </c>
      <c r="M290" s="24"/>
      <c r="N290" s="24"/>
      <c r="O290" s="24"/>
      <c r="P290" s="24">
        <f t="shared" si="39"/>
        <v>26606.42</v>
      </c>
      <c r="Q290" s="30"/>
    </row>
    <row r="291" spans="1:17" ht="12.75">
      <c r="A291" s="36"/>
      <c r="B291" s="16" t="s">
        <v>362</v>
      </c>
      <c r="C291" s="17"/>
      <c r="D291" s="123"/>
      <c r="E291" s="123"/>
      <c r="F291" s="107"/>
      <c r="G291" s="26">
        <f aca="true" t="shared" si="45" ref="G291:O291">SUM(G290)</f>
        <v>0</v>
      </c>
      <c r="H291" s="26">
        <f t="shared" si="45"/>
        <v>0</v>
      </c>
      <c r="I291" s="26">
        <f t="shared" si="45"/>
        <v>0</v>
      </c>
      <c r="J291" s="26">
        <f t="shared" si="45"/>
        <v>0</v>
      </c>
      <c r="K291" s="26">
        <f aca="true" t="shared" si="46" ref="K291:K362">SUM(G291:J291)</f>
        <v>0</v>
      </c>
      <c r="L291" s="26">
        <f t="shared" si="45"/>
        <v>26606.42</v>
      </c>
      <c r="M291" s="26">
        <f t="shared" si="45"/>
        <v>0</v>
      </c>
      <c r="N291" s="26">
        <f t="shared" si="45"/>
        <v>0</v>
      </c>
      <c r="O291" s="26">
        <f t="shared" si="45"/>
        <v>0</v>
      </c>
      <c r="P291" s="26">
        <f t="shared" si="39"/>
        <v>26606.42</v>
      </c>
      <c r="Q291" s="27"/>
    </row>
    <row r="292" spans="1:17" s="39" customFormat="1" ht="97.5" customHeight="1">
      <c r="A292" s="70"/>
      <c r="B292" s="13">
        <v>85141</v>
      </c>
      <c r="C292" s="14" t="s">
        <v>365</v>
      </c>
      <c r="D292" s="125" t="s">
        <v>353</v>
      </c>
      <c r="E292" s="111">
        <v>0</v>
      </c>
      <c r="F292" s="106" t="s">
        <v>354</v>
      </c>
      <c r="G292" s="49"/>
      <c r="H292" s="49"/>
      <c r="I292" s="49"/>
      <c r="J292" s="49"/>
      <c r="K292" s="49">
        <f t="shared" si="46"/>
        <v>0</v>
      </c>
      <c r="L292" s="45">
        <v>147</v>
      </c>
      <c r="M292" s="45"/>
      <c r="N292" s="45"/>
      <c r="O292" s="45"/>
      <c r="P292" s="24">
        <f t="shared" si="39"/>
        <v>147</v>
      </c>
      <c r="Q292" s="50"/>
    </row>
    <row r="293" spans="1:17" ht="105" customHeight="1">
      <c r="A293" s="35"/>
      <c r="B293" s="71"/>
      <c r="C293" s="81"/>
      <c r="D293" s="111">
        <v>291</v>
      </c>
      <c r="E293" s="111" t="s">
        <v>7</v>
      </c>
      <c r="F293" s="106" t="s">
        <v>346</v>
      </c>
      <c r="G293" s="24"/>
      <c r="H293" s="24"/>
      <c r="I293" s="24"/>
      <c r="J293" s="24"/>
      <c r="K293" s="24">
        <f t="shared" si="46"/>
        <v>0</v>
      </c>
      <c r="L293" s="24">
        <v>3438.88</v>
      </c>
      <c r="M293" s="24"/>
      <c r="N293" s="24"/>
      <c r="O293" s="24"/>
      <c r="P293" s="24">
        <f t="shared" si="39"/>
        <v>3438.88</v>
      </c>
      <c r="Q293" s="30"/>
    </row>
    <row r="294" spans="1:17" ht="12.75">
      <c r="A294" s="15"/>
      <c r="B294" s="16" t="s">
        <v>364</v>
      </c>
      <c r="C294" s="17"/>
      <c r="D294" s="123"/>
      <c r="E294" s="123"/>
      <c r="F294" s="107"/>
      <c r="G294" s="26">
        <f>SUM(G293)</f>
        <v>0</v>
      </c>
      <c r="H294" s="26">
        <f>SUM(H293)</f>
        <v>0</v>
      </c>
      <c r="I294" s="26">
        <f>SUM(I293)</f>
        <v>0</v>
      </c>
      <c r="J294" s="26">
        <f>SUM(J293)</f>
        <v>0</v>
      </c>
      <c r="K294" s="26">
        <f t="shared" si="46"/>
        <v>0</v>
      </c>
      <c r="L294" s="26">
        <f>SUM(L292:L293)</f>
        <v>3585.88</v>
      </c>
      <c r="M294" s="26">
        <f>SUM(M292:M293)</f>
        <v>0</v>
      </c>
      <c r="N294" s="26">
        <f>SUM(N292:N293)</f>
        <v>0</v>
      </c>
      <c r="O294" s="26">
        <f>SUM(O292:O293)</f>
        <v>0</v>
      </c>
      <c r="P294" s="26">
        <f t="shared" si="39"/>
        <v>3585.88</v>
      </c>
      <c r="Q294" s="27"/>
    </row>
    <row r="295" spans="1:17" ht="99" customHeight="1">
      <c r="A295" s="35"/>
      <c r="B295" s="13">
        <v>85153</v>
      </c>
      <c r="C295" s="14" t="s">
        <v>368</v>
      </c>
      <c r="D295" s="111">
        <v>291</v>
      </c>
      <c r="E295" s="111" t="s">
        <v>7</v>
      </c>
      <c r="F295" s="106" t="s">
        <v>346</v>
      </c>
      <c r="G295" s="24"/>
      <c r="H295" s="24"/>
      <c r="I295" s="24"/>
      <c r="J295" s="24"/>
      <c r="K295" s="24">
        <f t="shared" si="46"/>
        <v>0</v>
      </c>
      <c r="L295" s="24">
        <v>13376</v>
      </c>
      <c r="M295" s="24"/>
      <c r="N295" s="24"/>
      <c r="O295" s="24"/>
      <c r="P295" s="24">
        <f t="shared" si="39"/>
        <v>13376</v>
      </c>
      <c r="Q295" s="30"/>
    </row>
    <row r="296" spans="1:17" ht="12.75">
      <c r="A296" s="15"/>
      <c r="B296" s="16" t="s">
        <v>366</v>
      </c>
      <c r="C296" s="17"/>
      <c r="D296" s="123"/>
      <c r="E296" s="123"/>
      <c r="F296" s="107"/>
      <c r="G296" s="26">
        <f aca="true" t="shared" si="47" ref="G296:O296">SUM(G295)</f>
        <v>0</v>
      </c>
      <c r="H296" s="26">
        <f t="shared" si="47"/>
        <v>0</v>
      </c>
      <c r="I296" s="26">
        <f t="shared" si="47"/>
        <v>0</v>
      </c>
      <c r="J296" s="26">
        <f t="shared" si="47"/>
        <v>0</v>
      </c>
      <c r="K296" s="26">
        <f t="shared" si="46"/>
        <v>0</v>
      </c>
      <c r="L296" s="26">
        <f t="shared" si="47"/>
        <v>13376</v>
      </c>
      <c r="M296" s="26">
        <f t="shared" si="47"/>
        <v>0</v>
      </c>
      <c r="N296" s="26">
        <f t="shared" si="47"/>
        <v>0</v>
      </c>
      <c r="O296" s="26">
        <f t="shared" si="47"/>
        <v>0</v>
      </c>
      <c r="P296" s="26">
        <f t="shared" si="39"/>
        <v>13376</v>
      </c>
      <c r="Q296" s="27"/>
    </row>
    <row r="297" spans="1:17" s="39" customFormat="1" ht="90.75" customHeight="1">
      <c r="A297" s="72"/>
      <c r="B297" s="13">
        <v>85154</v>
      </c>
      <c r="C297" s="14" t="s">
        <v>369</v>
      </c>
      <c r="D297" s="125" t="s">
        <v>353</v>
      </c>
      <c r="E297" s="111">
        <v>0</v>
      </c>
      <c r="F297" s="106" t="s">
        <v>354</v>
      </c>
      <c r="G297" s="49"/>
      <c r="H297" s="49"/>
      <c r="I297" s="49"/>
      <c r="J297" s="49"/>
      <c r="K297" s="49">
        <f t="shared" si="46"/>
        <v>0</v>
      </c>
      <c r="L297" s="45">
        <v>1.85</v>
      </c>
      <c r="M297" s="45"/>
      <c r="N297" s="45"/>
      <c r="O297" s="45"/>
      <c r="P297" s="24">
        <f t="shared" si="39"/>
        <v>1.85</v>
      </c>
      <c r="Q297" s="50"/>
    </row>
    <row r="298" spans="1:17" ht="95.25" customHeight="1">
      <c r="A298" s="35"/>
      <c r="B298" s="71"/>
      <c r="C298" s="81"/>
      <c r="D298" s="111">
        <v>291</v>
      </c>
      <c r="E298" s="111" t="s">
        <v>7</v>
      </c>
      <c r="F298" s="106" t="s">
        <v>346</v>
      </c>
      <c r="G298" s="24"/>
      <c r="H298" s="24"/>
      <c r="I298" s="24"/>
      <c r="J298" s="24"/>
      <c r="K298" s="24">
        <f t="shared" si="46"/>
        <v>0</v>
      </c>
      <c r="L298" s="24">
        <v>21198.51</v>
      </c>
      <c r="M298" s="24"/>
      <c r="N298" s="24"/>
      <c r="O298" s="24"/>
      <c r="P298" s="24">
        <f t="shared" si="39"/>
        <v>21198.51</v>
      </c>
      <c r="Q298" s="30"/>
    </row>
    <row r="299" spans="1:17" ht="12.75">
      <c r="A299" s="15"/>
      <c r="B299" s="16" t="s">
        <v>367</v>
      </c>
      <c r="C299" s="17"/>
      <c r="D299" s="123"/>
      <c r="E299" s="123"/>
      <c r="F299" s="107"/>
      <c r="G299" s="26">
        <f>SUM(G298)</f>
        <v>0</v>
      </c>
      <c r="H299" s="26">
        <f>SUM(H298)</f>
        <v>0</v>
      </c>
      <c r="I299" s="26">
        <f>SUM(I298)</f>
        <v>0</v>
      </c>
      <c r="J299" s="26">
        <f>SUM(J298)</f>
        <v>0</v>
      </c>
      <c r="K299" s="26">
        <f t="shared" si="46"/>
        <v>0</v>
      </c>
      <c r="L299" s="26">
        <f>SUM(L297:L298)</f>
        <v>21200.359999999997</v>
      </c>
      <c r="M299" s="26">
        <f>SUM(M297:M298)</f>
        <v>0</v>
      </c>
      <c r="N299" s="26">
        <f>SUM(N297:N298)</f>
        <v>0</v>
      </c>
      <c r="O299" s="26">
        <f>SUM(O297:O298)</f>
        <v>0</v>
      </c>
      <c r="P299" s="26">
        <f t="shared" si="39"/>
        <v>21200.359999999997</v>
      </c>
      <c r="Q299" s="27"/>
    </row>
    <row r="300" spans="1:17" ht="84" customHeight="1">
      <c r="A300" s="35"/>
      <c r="B300" s="13" t="s">
        <v>224</v>
      </c>
      <c r="C300" s="14" t="s">
        <v>225</v>
      </c>
      <c r="D300" s="111" t="s">
        <v>61</v>
      </c>
      <c r="E300" s="111" t="s">
        <v>7</v>
      </c>
      <c r="F300" s="106" t="s">
        <v>62</v>
      </c>
      <c r="G300" s="24"/>
      <c r="H300" s="24"/>
      <c r="I300" s="24"/>
      <c r="J300" s="24">
        <v>5169121</v>
      </c>
      <c r="K300" s="24">
        <f t="shared" si="46"/>
        <v>5169121</v>
      </c>
      <c r="L300" s="24"/>
      <c r="M300" s="24"/>
      <c r="N300" s="24"/>
      <c r="O300" s="24">
        <v>5102435.2</v>
      </c>
      <c r="P300" s="24">
        <f t="shared" si="39"/>
        <v>5102435.2</v>
      </c>
      <c r="Q300" s="30">
        <f>P300/K300</f>
        <v>0.9870991992642463</v>
      </c>
    </row>
    <row r="301" spans="1:17" ht="12.75">
      <c r="A301" s="15"/>
      <c r="B301" s="16" t="s">
        <v>226</v>
      </c>
      <c r="C301" s="17"/>
      <c r="D301" s="123"/>
      <c r="E301" s="123"/>
      <c r="F301" s="107"/>
      <c r="G301" s="26">
        <f>SUM(G300)</f>
        <v>0</v>
      </c>
      <c r="H301" s="26">
        <f aca="true" t="shared" si="48" ref="H301:O301">SUM(H300)</f>
        <v>0</v>
      </c>
      <c r="I301" s="26">
        <f t="shared" si="48"/>
        <v>0</v>
      </c>
      <c r="J301" s="26">
        <f t="shared" si="48"/>
        <v>5169121</v>
      </c>
      <c r="K301" s="26">
        <f t="shared" si="46"/>
        <v>5169121</v>
      </c>
      <c r="L301" s="26">
        <f t="shared" si="48"/>
        <v>0</v>
      </c>
      <c r="M301" s="26">
        <f t="shared" si="48"/>
        <v>0</v>
      </c>
      <c r="N301" s="26">
        <f t="shared" si="48"/>
        <v>0</v>
      </c>
      <c r="O301" s="26">
        <f t="shared" si="48"/>
        <v>5102435.2</v>
      </c>
      <c r="P301" s="26">
        <f t="shared" si="39"/>
        <v>5102435.2</v>
      </c>
      <c r="Q301" s="27">
        <f>P301/K301</f>
        <v>0.9870991992642463</v>
      </c>
    </row>
    <row r="302" spans="1:17" ht="61.5" customHeight="1">
      <c r="A302" s="15"/>
      <c r="B302" s="13" t="s">
        <v>227</v>
      </c>
      <c r="C302" s="14" t="s">
        <v>5</v>
      </c>
      <c r="D302" s="111" t="s">
        <v>6</v>
      </c>
      <c r="E302" s="111" t="s">
        <v>7</v>
      </c>
      <c r="F302" s="106" t="s">
        <v>8</v>
      </c>
      <c r="G302" s="24"/>
      <c r="H302" s="24"/>
      <c r="I302" s="24">
        <v>26500</v>
      </c>
      <c r="J302" s="24"/>
      <c r="K302" s="24">
        <f t="shared" si="46"/>
        <v>26500</v>
      </c>
      <c r="L302" s="24"/>
      <c r="M302" s="24"/>
      <c r="N302" s="24">
        <v>10218.85</v>
      </c>
      <c r="O302" s="24"/>
      <c r="P302" s="24">
        <f t="shared" si="39"/>
        <v>10218.85</v>
      </c>
      <c r="Q302" s="30">
        <f>P302/K302</f>
        <v>0.3856169811320755</v>
      </c>
    </row>
    <row r="303" spans="1:17" ht="100.5" customHeight="1">
      <c r="A303" s="35"/>
      <c r="B303" s="71"/>
      <c r="C303" s="81"/>
      <c r="D303" s="111">
        <v>291</v>
      </c>
      <c r="E303" s="111" t="s">
        <v>7</v>
      </c>
      <c r="F303" s="106" t="s">
        <v>346</v>
      </c>
      <c r="G303" s="24"/>
      <c r="H303" s="24"/>
      <c r="I303" s="24"/>
      <c r="J303" s="24"/>
      <c r="K303" s="24">
        <f t="shared" si="46"/>
        <v>0</v>
      </c>
      <c r="L303" s="24">
        <v>19664.84</v>
      </c>
      <c r="M303" s="24"/>
      <c r="N303" s="24"/>
      <c r="O303" s="24"/>
      <c r="P303" s="24">
        <f t="shared" si="39"/>
        <v>19664.84</v>
      </c>
      <c r="Q303" s="30"/>
    </row>
    <row r="304" spans="1:17" ht="12.75">
      <c r="A304" s="15"/>
      <c r="B304" s="16" t="s">
        <v>228</v>
      </c>
      <c r="C304" s="17"/>
      <c r="D304" s="123"/>
      <c r="E304" s="123"/>
      <c r="F304" s="107"/>
      <c r="G304" s="26">
        <f>SUM(G302)</f>
        <v>0</v>
      </c>
      <c r="H304" s="26">
        <f>SUM(H302)</f>
        <v>0</v>
      </c>
      <c r="I304" s="26">
        <f>SUM(I302)</f>
        <v>26500</v>
      </c>
      <c r="J304" s="26">
        <f>SUM(J302)</f>
        <v>0</v>
      </c>
      <c r="K304" s="26">
        <f t="shared" si="46"/>
        <v>26500</v>
      </c>
      <c r="L304" s="26">
        <f>SUM(L302:L303)</f>
        <v>19664.84</v>
      </c>
      <c r="M304" s="26">
        <f>SUM(M302:M303)</f>
        <v>0</v>
      </c>
      <c r="N304" s="26">
        <f>SUM(N302:N303)</f>
        <v>10218.85</v>
      </c>
      <c r="O304" s="26">
        <f>SUM(O302:O303)</f>
        <v>0</v>
      </c>
      <c r="P304" s="26">
        <f t="shared" si="39"/>
        <v>29883.690000000002</v>
      </c>
      <c r="Q304" s="27">
        <f>P304/K304</f>
        <v>1.1276864150943398</v>
      </c>
    </row>
    <row r="305" spans="1:17" ht="12.75">
      <c r="A305" s="18" t="s">
        <v>229</v>
      </c>
      <c r="B305" s="19"/>
      <c r="C305" s="19"/>
      <c r="D305" s="124"/>
      <c r="E305" s="124"/>
      <c r="F305" s="108"/>
      <c r="G305" s="28">
        <f>SUM(G304,G301)</f>
        <v>0</v>
      </c>
      <c r="H305" s="28">
        <f>SUM(H304,H301)</f>
        <v>0</v>
      </c>
      <c r="I305" s="28">
        <f>SUM(I304,I301)</f>
        <v>26500</v>
      </c>
      <c r="J305" s="28">
        <f>SUM(J304,J301)</f>
        <v>5169121</v>
      </c>
      <c r="K305" s="28">
        <f t="shared" si="46"/>
        <v>5195621</v>
      </c>
      <c r="L305" s="28">
        <f>SUM(L304,L301,L299,L296,L294,L291)</f>
        <v>84433.5</v>
      </c>
      <c r="M305" s="28">
        <f>SUM(M304,M301,M299,M296,M294,M291)</f>
        <v>0</v>
      </c>
      <c r="N305" s="28">
        <f>SUM(N304,N301,N299,N296,N294,N291)</f>
        <v>10218.85</v>
      </c>
      <c r="O305" s="28">
        <f>SUM(O304,O301,O299,O296,O294,O291)</f>
        <v>5102435.2</v>
      </c>
      <c r="P305" s="28">
        <f t="shared" si="39"/>
        <v>5197087.55</v>
      </c>
      <c r="Q305" s="29">
        <f>P305/K305</f>
        <v>1.0002822665471558</v>
      </c>
    </row>
    <row r="306" spans="1:17" s="39" customFormat="1" ht="67.5" customHeight="1">
      <c r="A306" s="14" t="s">
        <v>339</v>
      </c>
      <c r="B306" s="13">
        <v>85201</v>
      </c>
      <c r="C306" s="14" t="s">
        <v>230</v>
      </c>
      <c r="D306" s="120" t="s">
        <v>370</v>
      </c>
      <c r="E306" s="121">
        <v>0</v>
      </c>
      <c r="F306" s="109" t="s">
        <v>371</v>
      </c>
      <c r="G306" s="45"/>
      <c r="H306" s="45"/>
      <c r="I306" s="45"/>
      <c r="J306" s="45"/>
      <c r="K306" s="45">
        <f t="shared" si="46"/>
        <v>0</v>
      </c>
      <c r="L306" s="45">
        <v>10759.4</v>
      </c>
      <c r="M306" s="45"/>
      <c r="N306" s="45"/>
      <c r="O306" s="45"/>
      <c r="P306" s="24">
        <f t="shared" si="39"/>
        <v>10759.4</v>
      </c>
      <c r="Q306" s="53"/>
    </row>
    <row r="307" spans="1:17" s="39" customFormat="1" ht="12.75">
      <c r="A307" s="36"/>
      <c r="B307" s="62"/>
      <c r="C307" s="63"/>
      <c r="D307" s="120" t="s">
        <v>40</v>
      </c>
      <c r="E307" s="121">
        <v>0</v>
      </c>
      <c r="F307" s="110" t="s">
        <v>41</v>
      </c>
      <c r="G307" s="45"/>
      <c r="H307" s="45"/>
      <c r="I307" s="45"/>
      <c r="J307" s="45"/>
      <c r="K307" s="45">
        <f t="shared" si="46"/>
        <v>0</v>
      </c>
      <c r="L307" s="45">
        <v>17.6</v>
      </c>
      <c r="M307" s="45"/>
      <c r="N307" s="45"/>
      <c r="O307" s="45"/>
      <c r="P307" s="24">
        <f t="shared" si="39"/>
        <v>17.6</v>
      </c>
      <c r="Q307" s="53"/>
    </row>
    <row r="308" spans="1:17" s="39" customFormat="1" ht="111" customHeight="1" hidden="1">
      <c r="A308" s="36"/>
      <c r="B308" s="62"/>
      <c r="C308" s="63"/>
      <c r="D308" s="120" t="s">
        <v>353</v>
      </c>
      <c r="E308" s="121">
        <v>0</v>
      </c>
      <c r="F308" s="109" t="s">
        <v>354</v>
      </c>
      <c r="G308" s="45"/>
      <c r="H308" s="45"/>
      <c r="I308" s="45"/>
      <c r="J308" s="45"/>
      <c r="K308" s="45">
        <f t="shared" si="46"/>
        <v>0</v>
      </c>
      <c r="L308" s="45"/>
      <c r="M308" s="45"/>
      <c r="N308" s="45"/>
      <c r="O308" s="45"/>
      <c r="P308" s="24">
        <f t="shared" si="39"/>
        <v>0</v>
      </c>
      <c r="Q308" s="53"/>
    </row>
    <row r="309" spans="1:17" s="39" customFormat="1" ht="12.75">
      <c r="A309" s="36"/>
      <c r="B309" s="62"/>
      <c r="C309" s="63"/>
      <c r="D309" s="120" t="s">
        <v>23</v>
      </c>
      <c r="E309" s="121">
        <v>0</v>
      </c>
      <c r="F309" s="110" t="s">
        <v>24</v>
      </c>
      <c r="G309" s="45"/>
      <c r="H309" s="45"/>
      <c r="I309" s="45"/>
      <c r="J309" s="45"/>
      <c r="K309" s="45">
        <f t="shared" si="46"/>
        <v>0</v>
      </c>
      <c r="L309" s="45">
        <v>13.72</v>
      </c>
      <c r="M309" s="45"/>
      <c r="N309" s="45"/>
      <c r="O309" s="45"/>
      <c r="P309" s="24">
        <f t="shared" si="39"/>
        <v>13.72</v>
      </c>
      <c r="Q309" s="53"/>
    </row>
    <row r="310" spans="1:17" s="39" customFormat="1" ht="19.5">
      <c r="A310" s="36"/>
      <c r="B310" s="62"/>
      <c r="C310" s="63"/>
      <c r="D310" s="120" t="s">
        <v>25</v>
      </c>
      <c r="E310" s="121">
        <v>0</v>
      </c>
      <c r="F310" s="109" t="s">
        <v>26</v>
      </c>
      <c r="G310" s="45"/>
      <c r="H310" s="45"/>
      <c r="I310" s="45"/>
      <c r="J310" s="45"/>
      <c r="K310" s="45">
        <f t="shared" si="46"/>
        <v>0</v>
      </c>
      <c r="L310" s="45">
        <v>39.38</v>
      </c>
      <c r="M310" s="45"/>
      <c r="N310" s="45"/>
      <c r="O310" s="45"/>
      <c r="P310" s="24">
        <f t="shared" si="39"/>
        <v>39.38</v>
      </c>
      <c r="Q310" s="53"/>
    </row>
    <row r="311" spans="1:17" s="39" customFormat="1" ht="78" customHeight="1" hidden="1">
      <c r="A311" s="36"/>
      <c r="B311" s="62"/>
      <c r="C311" s="63"/>
      <c r="D311" s="121">
        <v>236</v>
      </c>
      <c r="E311" s="121"/>
      <c r="F311" s="109" t="s">
        <v>372</v>
      </c>
      <c r="G311" s="45"/>
      <c r="H311" s="45"/>
      <c r="I311" s="45"/>
      <c r="J311" s="45"/>
      <c r="K311" s="45">
        <f t="shared" si="46"/>
        <v>0</v>
      </c>
      <c r="L311" s="45"/>
      <c r="M311" s="45"/>
      <c r="N311" s="45"/>
      <c r="O311" s="45"/>
      <c r="P311" s="24">
        <f t="shared" si="39"/>
        <v>0</v>
      </c>
      <c r="Q311" s="53"/>
    </row>
    <row r="312" spans="1:17" ht="65.25" customHeight="1">
      <c r="A312" s="36"/>
      <c r="B312" s="62"/>
      <c r="C312" s="63"/>
      <c r="D312" s="111" t="s">
        <v>231</v>
      </c>
      <c r="E312" s="111" t="s">
        <v>7</v>
      </c>
      <c r="F312" s="109" t="s">
        <v>232</v>
      </c>
      <c r="G312" s="73"/>
      <c r="H312" s="73">
        <v>82000</v>
      </c>
      <c r="I312" s="73"/>
      <c r="J312" s="73"/>
      <c r="K312" s="73">
        <f t="shared" si="46"/>
        <v>82000</v>
      </c>
      <c r="L312" s="24"/>
      <c r="M312" s="24">
        <f>120036.29+37425.27</f>
        <v>157461.56</v>
      </c>
      <c r="N312" s="24"/>
      <c r="O312" s="24"/>
      <c r="P312" s="24">
        <f t="shared" si="39"/>
        <v>157461.56</v>
      </c>
      <c r="Q312" s="30">
        <f>P312/K312</f>
        <v>1.9202629268292684</v>
      </c>
    </row>
    <row r="313" spans="1:17" ht="12.75">
      <c r="A313" s="63"/>
      <c r="B313" s="56" t="s">
        <v>233</v>
      </c>
      <c r="C313" s="61"/>
      <c r="D313" s="123"/>
      <c r="E313" s="123"/>
      <c r="F313" s="107"/>
      <c r="G313" s="26">
        <f>SUM(G312)</f>
        <v>0</v>
      </c>
      <c r="H313" s="26">
        <f>SUM(H312)</f>
        <v>82000</v>
      </c>
      <c r="I313" s="26">
        <f>SUM(I312)</f>
        <v>0</v>
      </c>
      <c r="J313" s="26">
        <f>SUM(J312)</f>
        <v>0</v>
      </c>
      <c r="K313" s="26">
        <f t="shared" si="46"/>
        <v>82000</v>
      </c>
      <c r="L313" s="26">
        <f>SUM(L306:L312)</f>
        <v>10830.099999999999</v>
      </c>
      <c r="M313" s="26">
        <f>SUM(M306:M312)</f>
        <v>157461.56</v>
      </c>
      <c r="N313" s="26">
        <f>SUM(N306:N312)</f>
        <v>0</v>
      </c>
      <c r="O313" s="26">
        <f>SUM(O306:O312)</f>
        <v>0</v>
      </c>
      <c r="P313" s="26">
        <f t="shared" si="39"/>
        <v>168291.66</v>
      </c>
      <c r="Q313" s="27">
        <f>P313/K313</f>
        <v>2.052337317073171</v>
      </c>
    </row>
    <row r="314" spans="1:17" ht="15.75" customHeight="1">
      <c r="A314" s="15"/>
      <c r="B314" s="13" t="s">
        <v>234</v>
      </c>
      <c r="C314" s="133" t="s">
        <v>235</v>
      </c>
      <c r="D314" s="111" t="s">
        <v>40</v>
      </c>
      <c r="E314" s="111" t="s">
        <v>7</v>
      </c>
      <c r="F314" s="109" t="s">
        <v>41</v>
      </c>
      <c r="G314" s="73">
        <v>239417</v>
      </c>
      <c r="H314" s="73"/>
      <c r="I314" s="73"/>
      <c r="J314" s="73"/>
      <c r="K314" s="73">
        <f t="shared" si="46"/>
        <v>239417</v>
      </c>
      <c r="L314" s="24">
        <v>235277.11</v>
      </c>
      <c r="M314" s="24"/>
      <c r="N314" s="24"/>
      <c r="O314" s="24"/>
      <c r="P314" s="24">
        <f t="shared" si="39"/>
        <v>235277.11</v>
      </c>
      <c r="Q314" s="30">
        <f aca="true" t="shared" si="49" ref="Q314:Q423">P314/K314</f>
        <v>0.9827084542868718</v>
      </c>
    </row>
    <row r="315" spans="1:17" ht="12" customHeight="1">
      <c r="A315" s="15"/>
      <c r="B315" s="20"/>
      <c r="C315" s="134"/>
      <c r="D315" s="111" t="s">
        <v>21</v>
      </c>
      <c r="E315" s="111" t="s">
        <v>7</v>
      </c>
      <c r="F315" s="109" t="s">
        <v>22</v>
      </c>
      <c r="G315" s="73">
        <v>700000</v>
      </c>
      <c r="H315" s="73"/>
      <c r="I315" s="73"/>
      <c r="J315" s="73"/>
      <c r="K315" s="73">
        <f t="shared" si="46"/>
        <v>700000</v>
      </c>
      <c r="L315" s="24">
        <v>729799.96</v>
      </c>
      <c r="M315" s="24"/>
      <c r="N315" s="24"/>
      <c r="O315" s="24"/>
      <c r="P315" s="24">
        <f t="shared" si="39"/>
        <v>729799.96</v>
      </c>
      <c r="Q315" s="30">
        <f t="shared" si="49"/>
        <v>1.0425713714285714</v>
      </c>
    </row>
    <row r="316" spans="1:17" s="39" customFormat="1" ht="12.75" hidden="1">
      <c r="A316" s="36"/>
      <c r="B316" s="62"/>
      <c r="C316" s="134"/>
      <c r="D316" s="120" t="s">
        <v>23</v>
      </c>
      <c r="E316" s="121">
        <v>0</v>
      </c>
      <c r="F316" s="110" t="s">
        <v>24</v>
      </c>
      <c r="G316" s="45"/>
      <c r="H316" s="45"/>
      <c r="I316" s="45"/>
      <c r="J316" s="45"/>
      <c r="K316" s="45">
        <f t="shared" si="46"/>
        <v>0</v>
      </c>
      <c r="L316" s="45"/>
      <c r="M316" s="45"/>
      <c r="N316" s="45"/>
      <c r="O316" s="45"/>
      <c r="P316" s="24">
        <f t="shared" si="39"/>
        <v>0</v>
      </c>
      <c r="Q316" s="53"/>
    </row>
    <row r="317" spans="1:17" s="39" customFormat="1" ht="19.5">
      <c r="A317" s="36"/>
      <c r="B317" s="62"/>
      <c r="C317" s="134"/>
      <c r="D317" s="120" t="s">
        <v>25</v>
      </c>
      <c r="E317" s="121">
        <v>0</v>
      </c>
      <c r="F317" s="109" t="s">
        <v>26</v>
      </c>
      <c r="G317" s="45"/>
      <c r="H317" s="45"/>
      <c r="I317" s="45"/>
      <c r="J317" s="45"/>
      <c r="K317" s="45">
        <f t="shared" si="46"/>
        <v>0</v>
      </c>
      <c r="L317" s="45">
        <v>3569.24</v>
      </c>
      <c r="M317" s="45"/>
      <c r="N317" s="45"/>
      <c r="O317" s="45"/>
      <c r="P317" s="24">
        <f t="shared" si="39"/>
        <v>3569.24</v>
      </c>
      <c r="Q317" s="53"/>
    </row>
    <row r="318" spans="1:17" ht="39">
      <c r="A318" s="15"/>
      <c r="B318" s="20"/>
      <c r="C318" s="135"/>
      <c r="D318" s="111" t="s">
        <v>236</v>
      </c>
      <c r="E318" s="111" t="s">
        <v>7</v>
      </c>
      <c r="F318" s="109" t="s">
        <v>237</v>
      </c>
      <c r="G318" s="73">
        <v>499216</v>
      </c>
      <c r="H318" s="73"/>
      <c r="I318" s="73"/>
      <c r="J318" s="73"/>
      <c r="K318" s="73">
        <f t="shared" si="46"/>
        <v>499216</v>
      </c>
      <c r="L318" s="24">
        <v>499216</v>
      </c>
      <c r="M318" s="24"/>
      <c r="N318" s="24"/>
      <c r="O318" s="24"/>
      <c r="P318" s="24">
        <f t="shared" si="39"/>
        <v>499216</v>
      </c>
      <c r="Q318" s="30">
        <f t="shared" si="49"/>
        <v>1</v>
      </c>
    </row>
    <row r="319" spans="1:17" ht="12.75">
      <c r="A319" s="15"/>
      <c r="B319" s="16" t="s">
        <v>238</v>
      </c>
      <c r="C319" s="17"/>
      <c r="D319" s="123"/>
      <c r="E319" s="123"/>
      <c r="F319" s="107"/>
      <c r="G319" s="26">
        <f>SUM(G314:G318)</f>
        <v>1438633</v>
      </c>
      <c r="H319" s="26">
        <f aca="true" t="shared" si="50" ref="H319:O319">SUM(H314:H318)</f>
        <v>0</v>
      </c>
      <c r="I319" s="26">
        <f t="shared" si="50"/>
        <v>0</v>
      </c>
      <c r="J319" s="26">
        <f t="shared" si="50"/>
        <v>0</v>
      </c>
      <c r="K319" s="26">
        <f t="shared" si="46"/>
        <v>1438633</v>
      </c>
      <c r="L319" s="26">
        <f t="shared" si="50"/>
        <v>1467862.31</v>
      </c>
      <c r="M319" s="26">
        <f t="shared" si="50"/>
        <v>0</v>
      </c>
      <c r="N319" s="26">
        <f t="shared" si="50"/>
        <v>0</v>
      </c>
      <c r="O319" s="26">
        <f t="shared" si="50"/>
        <v>0</v>
      </c>
      <c r="P319" s="26">
        <f t="shared" si="39"/>
        <v>1467862.31</v>
      </c>
      <c r="Q319" s="27">
        <f t="shared" si="49"/>
        <v>1.0203174193835398</v>
      </c>
    </row>
    <row r="320" spans="1:17" s="39" customFormat="1" ht="48.75">
      <c r="A320" s="38"/>
      <c r="B320" s="13" t="s">
        <v>239</v>
      </c>
      <c r="C320" s="14" t="s">
        <v>240</v>
      </c>
      <c r="D320" s="111" t="s">
        <v>38</v>
      </c>
      <c r="E320" s="111" t="s">
        <v>7</v>
      </c>
      <c r="F320" s="109" t="s">
        <v>39</v>
      </c>
      <c r="G320" s="96"/>
      <c r="H320" s="96"/>
      <c r="I320" s="96"/>
      <c r="J320" s="96"/>
      <c r="K320" s="96"/>
      <c r="L320" s="45">
        <v>22144.2</v>
      </c>
      <c r="M320" s="49"/>
      <c r="N320" s="49"/>
      <c r="O320" s="49"/>
      <c r="P320" s="24">
        <f t="shared" si="39"/>
        <v>22144.2</v>
      </c>
      <c r="Q320" s="50"/>
    </row>
    <row r="321" spans="1:17" s="39" customFormat="1" ht="12.75">
      <c r="A321" s="38"/>
      <c r="B321" s="42"/>
      <c r="C321" s="86"/>
      <c r="D321" s="111" t="s">
        <v>40</v>
      </c>
      <c r="E321" s="111" t="s">
        <v>7</v>
      </c>
      <c r="F321" s="109" t="s">
        <v>41</v>
      </c>
      <c r="G321" s="96"/>
      <c r="H321" s="96"/>
      <c r="I321" s="96"/>
      <c r="J321" s="96"/>
      <c r="K321" s="96"/>
      <c r="L321" s="45">
        <v>8.8</v>
      </c>
      <c r="M321" s="49"/>
      <c r="N321" s="49"/>
      <c r="O321" s="49"/>
      <c r="P321" s="24">
        <f t="shared" si="39"/>
        <v>8.8</v>
      </c>
      <c r="Q321" s="50"/>
    </row>
    <row r="322" spans="1:17" ht="12.75" customHeight="1">
      <c r="A322" s="15"/>
      <c r="B322" s="92"/>
      <c r="C322" s="91"/>
      <c r="D322" s="111" t="s">
        <v>21</v>
      </c>
      <c r="E322" s="111" t="s">
        <v>7</v>
      </c>
      <c r="F322" s="109" t="s">
        <v>22</v>
      </c>
      <c r="G322" s="73">
        <v>712000</v>
      </c>
      <c r="H322" s="73"/>
      <c r="I322" s="73"/>
      <c r="J322" s="73"/>
      <c r="K322" s="73">
        <f t="shared" si="46"/>
        <v>712000</v>
      </c>
      <c r="L322" s="24">
        <v>734015.41</v>
      </c>
      <c r="M322" s="24"/>
      <c r="N322" s="24"/>
      <c r="O322" s="24"/>
      <c r="P322" s="24">
        <f t="shared" si="39"/>
        <v>734015.41</v>
      </c>
      <c r="Q322" s="30">
        <f t="shared" si="49"/>
        <v>1.0309205196629214</v>
      </c>
    </row>
    <row r="323" spans="1:17" s="39" customFormat="1" ht="105" customHeight="1">
      <c r="A323" s="36"/>
      <c r="B323" s="62"/>
      <c r="C323" s="63"/>
      <c r="D323" s="120" t="s">
        <v>353</v>
      </c>
      <c r="E323" s="121">
        <v>0</v>
      </c>
      <c r="F323" s="109" t="s">
        <v>354</v>
      </c>
      <c r="G323" s="45"/>
      <c r="H323" s="45"/>
      <c r="I323" s="45"/>
      <c r="J323" s="45"/>
      <c r="K323" s="45">
        <f t="shared" si="46"/>
        <v>0</v>
      </c>
      <c r="L323" s="45">
        <v>58.05</v>
      </c>
      <c r="M323" s="45"/>
      <c r="N323" s="45"/>
      <c r="O323" s="45"/>
      <c r="P323" s="24">
        <f t="shared" si="39"/>
        <v>58.05</v>
      </c>
      <c r="Q323" s="53"/>
    </row>
    <row r="324" spans="1:17" s="39" customFormat="1" ht="19.5">
      <c r="A324" s="36"/>
      <c r="B324" s="62"/>
      <c r="C324" s="63"/>
      <c r="D324" s="120" t="s">
        <v>25</v>
      </c>
      <c r="E324" s="121">
        <v>0</v>
      </c>
      <c r="F324" s="109" t="s">
        <v>26</v>
      </c>
      <c r="G324" s="45"/>
      <c r="H324" s="45"/>
      <c r="I324" s="45"/>
      <c r="J324" s="45"/>
      <c r="K324" s="45">
        <f t="shared" si="46"/>
        <v>0</v>
      </c>
      <c r="L324" s="45">
        <v>257.9</v>
      </c>
      <c r="M324" s="45"/>
      <c r="N324" s="45"/>
      <c r="O324" s="45"/>
      <c r="P324" s="24">
        <f t="shared" si="39"/>
        <v>257.9</v>
      </c>
      <c r="Q324" s="53"/>
    </row>
    <row r="325" spans="1:17" ht="69" customHeight="1">
      <c r="A325" s="15"/>
      <c r="B325" s="20"/>
      <c r="C325" s="65"/>
      <c r="D325" s="111" t="s">
        <v>6</v>
      </c>
      <c r="E325" s="111" t="s">
        <v>7</v>
      </c>
      <c r="F325" s="109" t="s">
        <v>8</v>
      </c>
      <c r="G325" s="73"/>
      <c r="H325" s="73"/>
      <c r="I325" s="73">
        <v>2254600</v>
      </c>
      <c r="J325" s="73"/>
      <c r="K325" s="73">
        <f t="shared" si="46"/>
        <v>2254600</v>
      </c>
      <c r="L325" s="24"/>
      <c r="M325" s="24"/>
      <c r="N325" s="24">
        <v>2238471.63</v>
      </c>
      <c r="O325" s="24"/>
      <c r="P325" s="24">
        <f aca="true" t="shared" si="51" ref="P325:P388">SUM(L325:O325)</f>
        <v>2238471.63</v>
      </c>
      <c r="Q325" s="30">
        <f t="shared" si="49"/>
        <v>0.9928464605695023</v>
      </c>
    </row>
    <row r="326" spans="1:17" ht="64.5" customHeight="1">
      <c r="A326" s="15"/>
      <c r="B326" s="20"/>
      <c r="C326" s="15"/>
      <c r="D326" s="111" t="s">
        <v>63</v>
      </c>
      <c r="E326" s="111" t="s">
        <v>7</v>
      </c>
      <c r="F326" s="109" t="s">
        <v>64</v>
      </c>
      <c r="G326" s="73">
        <v>3950</v>
      </c>
      <c r="H326" s="73"/>
      <c r="I326" s="73"/>
      <c r="J326" s="73"/>
      <c r="K326" s="73">
        <f t="shared" si="46"/>
        <v>3950</v>
      </c>
      <c r="L326" s="24">
        <v>4832.92</v>
      </c>
      <c r="M326" s="24"/>
      <c r="N326" s="24"/>
      <c r="O326" s="24"/>
      <c r="P326" s="24">
        <f t="shared" si="51"/>
        <v>4832.92</v>
      </c>
      <c r="Q326" s="30">
        <f t="shared" si="49"/>
        <v>1.2235240506329115</v>
      </c>
    </row>
    <row r="327" spans="1:17" ht="100.5" customHeight="1">
      <c r="A327" s="35"/>
      <c r="B327" s="37"/>
      <c r="C327" s="63"/>
      <c r="D327" s="111">
        <v>291</v>
      </c>
      <c r="E327" s="111" t="s">
        <v>7</v>
      </c>
      <c r="F327" s="109" t="s">
        <v>346</v>
      </c>
      <c r="G327" s="73"/>
      <c r="H327" s="73"/>
      <c r="I327" s="73"/>
      <c r="J327" s="73"/>
      <c r="K327" s="73">
        <f t="shared" si="46"/>
        <v>0</v>
      </c>
      <c r="L327" s="24">
        <v>19263.1</v>
      </c>
      <c r="M327" s="24"/>
      <c r="N327" s="24"/>
      <c r="O327" s="24"/>
      <c r="P327" s="24">
        <f t="shared" si="51"/>
        <v>19263.1</v>
      </c>
      <c r="Q327" s="30"/>
    </row>
    <row r="328" spans="1:17" ht="81.75" customHeight="1">
      <c r="A328" s="15"/>
      <c r="B328" s="62"/>
      <c r="C328" s="63"/>
      <c r="D328" s="111" t="s">
        <v>115</v>
      </c>
      <c r="E328" s="111" t="s">
        <v>7</v>
      </c>
      <c r="F328" s="106" t="s">
        <v>116</v>
      </c>
      <c r="G328" s="24">
        <v>300000</v>
      </c>
      <c r="H328" s="24"/>
      <c r="I328" s="24"/>
      <c r="J328" s="24"/>
      <c r="K328" s="24">
        <f t="shared" si="46"/>
        <v>300000</v>
      </c>
      <c r="L328" s="24">
        <v>300000</v>
      </c>
      <c r="M328" s="24"/>
      <c r="N328" s="24"/>
      <c r="O328" s="24"/>
      <c r="P328" s="24">
        <f t="shared" si="51"/>
        <v>300000</v>
      </c>
      <c r="Q328" s="30">
        <f t="shared" si="49"/>
        <v>1</v>
      </c>
    </row>
    <row r="329" spans="1:17" ht="72.75" customHeight="1">
      <c r="A329" s="15"/>
      <c r="B329" s="37"/>
      <c r="C329" s="83"/>
      <c r="D329" s="111">
        <v>631</v>
      </c>
      <c r="E329" s="111">
        <v>0</v>
      </c>
      <c r="F329" s="116" t="s">
        <v>404</v>
      </c>
      <c r="G329" s="24"/>
      <c r="H329" s="24"/>
      <c r="I329" s="24">
        <v>404678</v>
      </c>
      <c r="J329" s="24"/>
      <c r="K329" s="24">
        <f t="shared" si="46"/>
        <v>404678</v>
      </c>
      <c r="L329" s="24"/>
      <c r="M329" s="24"/>
      <c r="N329" s="24">
        <v>403477.48</v>
      </c>
      <c r="O329" s="24"/>
      <c r="P329" s="24">
        <f t="shared" si="51"/>
        <v>403477.48</v>
      </c>
      <c r="Q329" s="30">
        <f>P329/K329</f>
        <v>0.9970333944518851</v>
      </c>
    </row>
    <row r="330" spans="1:17" ht="12.75" customHeight="1">
      <c r="A330" s="15"/>
      <c r="B330" s="16" t="s">
        <v>241</v>
      </c>
      <c r="C330" s="17"/>
      <c r="D330" s="123"/>
      <c r="E330" s="123"/>
      <c r="F330" s="115"/>
      <c r="G330" s="26">
        <f>SUM(G322:G329)</f>
        <v>1015950</v>
      </c>
      <c r="H330" s="26">
        <f>SUM(H322:H329)</f>
        <v>0</v>
      </c>
      <c r="I330" s="26">
        <f>SUM(I322:I329)</f>
        <v>2659278</v>
      </c>
      <c r="J330" s="26">
        <f>SUM(J322:J329)</f>
        <v>0</v>
      </c>
      <c r="K330" s="26">
        <f>SUM(K322:K329)</f>
        <v>3675228</v>
      </c>
      <c r="L330" s="26">
        <f>SUM(L320:L329)</f>
        <v>1080580.3800000001</v>
      </c>
      <c r="M330" s="26">
        <f>SUM(M320:M329)</f>
        <v>0</v>
      </c>
      <c r="N330" s="26">
        <f>SUM(N320:N329)</f>
        <v>2641949.11</v>
      </c>
      <c r="O330" s="26">
        <f>SUM(O320:O329)</f>
        <v>0</v>
      </c>
      <c r="P330" s="26">
        <f t="shared" si="51"/>
        <v>3722529.49</v>
      </c>
      <c r="Q330" s="27">
        <f t="shared" si="49"/>
        <v>1.0128703552541503</v>
      </c>
    </row>
    <row r="331" spans="1:17" s="39" customFormat="1" ht="71.25" customHeight="1">
      <c r="A331" s="38"/>
      <c r="B331" s="40">
        <v>85204</v>
      </c>
      <c r="C331" s="14" t="s">
        <v>242</v>
      </c>
      <c r="D331" s="120" t="s">
        <v>370</v>
      </c>
      <c r="E331" s="121">
        <v>0</v>
      </c>
      <c r="F331" s="109" t="s">
        <v>371</v>
      </c>
      <c r="G331" s="45"/>
      <c r="H331" s="45"/>
      <c r="I331" s="45"/>
      <c r="J331" s="45"/>
      <c r="K331" s="45">
        <f t="shared" si="46"/>
        <v>0</v>
      </c>
      <c r="L331" s="45">
        <v>14468.78</v>
      </c>
      <c r="M331" s="45"/>
      <c r="N331" s="45"/>
      <c r="O331" s="45"/>
      <c r="P331" s="24">
        <f t="shared" si="51"/>
        <v>14468.78</v>
      </c>
      <c r="Q331" s="50"/>
    </row>
    <row r="332" spans="1:17" s="39" customFormat="1" ht="12.75">
      <c r="A332" s="36"/>
      <c r="B332" s="62"/>
      <c r="C332" s="63"/>
      <c r="D332" s="120" t="s">
        <v>40</v>
      </c>
      <c r="E332" s="121">
        <v>0</v>
      </c>
      <c r="F332" s="110" t="s">
        <v>41</v>
      </c>
      <c r="G332" s="45"/>
      <c r="H332" s="45"/>
      <c r="I332" s="45"/>
      <c r="J332" s="45"/>
      <c r="K332" s="45">
        <f t="shared" si="46"/>
        <v>0</v>
      </c>
      <c r="L332" s="45">
        <v>17.6</v>
      </c>
      <c r="M332" s="45"/>
      <c r="N332" s="45"/>
      <c r="O332" s="45"/>
      <c r="P332" s="24">
        <f t="shared" si="51"/>
        <v>17.6</v>
      </c>
      <c r="Q332" s="53"/>
    </row>
    <row r="333" spans="1:17" s="39" customFormat="1" ht="12.75" customHeight="1">
      <c r="A333" s="38"/>
      <c r="B333" s="62"/>
      <c r="C333" s="63"/>
      <c r="D333" s="120" t="s">
        <v>23</v>
      </c>
      <c r="E333" s="121">
        <v>0</v>
      </c>
      <c r="F333" s="109" t="s">
        <v>24</v>
      </c>
      <c r="G333" s="45"/>
      <c r="H333" s="45"/>
      <c r="I333" s="45"/>
      <c r="J333" s="45"/>
      <c r="K333" s="45">
        <f t="shared" si="46"/>
        <v>0</v>
      </c>
      <c r="L333" s="45">
        <v>580.2</v>
      </c>
      <c r="M333" s="45">
        <v>831.99</v>
      </c>
      <c r="N333" s="45"/>
      <c r="O333" s="45"/>
      <c r="P333" s="24">
        <f t="shared" si="51"/>
        <v>1412.19</v>
      </c>
      <c r="Q333" s="30"/>
    </row>
    <row r="334" spans="1:17" s="39" customFormat="1" ht="19.5">
      <c r="A334" s="38"/>
      <c r="B334" s="42"/>
      <c r="C334" s="63"/>
      <c r="D334" s="120" t="s">
        <v>25</v>
      </c>
      <c r="E334" s="121">
        <v>0</v>
      </c>
      <c r="F334" s="109" t="s">
        <v>26</v>
      </c>
      <c r="G334" s="45"/>
      <c r="H334" s="45"/>
      <c r="I334" s="45"/>
      <c r="J334" s="45"/>
      <c r="K334" s="45">
        <f t="shared" si="46"/>
        <v>0</v>
      </c>
      <c r="L334" s="45">
        <v>6619.52</v>
      </c>
      <c r="M334" s="45">
        <v>3913.25</v>
      </c>
      <c r="N334" s="45"/>
      <c r="O334" s="45"/>
      <c r="P334" s="24">
        <f t="shared" si="51"/>
        <v>10532.77</v>
      </c>
      <c r="Q334" s="30"/>
    </row>
    <row r="335" spans="1:17" ht="58.5">
      <c r="A335" s="15"/>
      <c r="B335" s="43"/>
      <c r="C335" s="102"/>
      <c r="D335" s="111" t="s">
        <v>61</v>
      </c>
      <c r="E335" s="111" t="s">
        <v>7</v>
      </c>
      <c r="F335" s="109" t="s">
        <v>62</v>
      </c>
      <c r="G335" s="73"/>
      <c r="H335" s="73"/>
      <c r="I335" s="73"/>
      <c r="J335" s="73">
        <v>7920</v>
      </c>
      <c r="K335" s="73">
        <f t="shared" si="46"/>
        <v>7920</v>
      </c>
      <c r="L335" s="24"/>
      <c r="M335" s="24"/>
      <c r="N335" s="24"/>
      <c r="O335" s="24">
        <v>7920</v>
      </c>
      <c r="P335" s="24">
        <f t="shared" si="51"/>
        <v>7920</v>
      </c>
      <c r="Q335" s="30">
        <f t="shared" si="49"/>
        <v>1</v>
      </c>
    </row>
    <row r="336" spans="1:17" ht="69.75" customHeight="1">
      <c r="A336" s="15"/>
      <c r="B336" s="43"/>
      <c r="C336" s="103"/>
      <c r="D336" s="111">
        <v>212</v>
      </c>
      <c r="E336" s="111">
        <v>0</v>
      </c>
      <c r="F336" s="109" t="s">
        <v>403</v>
      </c>
      <c r="G336" s="73"/>
      <c r="H336" s="73">
        <v>68056</v>
      </c>
      <c r="I336" s="73"/>
      <c r="J336" s="73"/>
      <c r="K336" s="73">
        <f t="shared" si="46"/>
        <v>68056</v>
      </c>
      <c r="L336" s="24"/>
      <c r="M336" s="24">
        <v>66138</v>
      </c>
      <c r="N336" s="24"/>
      <c r="O336" s="24"/>
      <c r="P336" s="24">
        <f t="shared" si="51"/>
        <v>66138</v>
      </c>
      <c r="Q336" s="30">
        <f>P336/K336</f>
        <v>0.9718173269072529</v>
      </c>
    </row>
    <row r="337" spans="1:17" ht="48.75">
      <c r="A337" s="15"/>
      <c r="B337" s="43"/>
      <c r="C337" s="103"/>
      <c r="D337" s="111">
        <v>213</v>
      </c>
      <c r="E337" s="111">
        <v>0</v>
      </c>
      <c r="F337" s="109" t="s">
        <v>405</v>
      </c>
      <c r="G337" s="73">
        <v>172345</v>
      </c>
      <c r="H337" s="73"/>
      <c r="I337" s="73"/>
      <c r="J337" s="73"/>
      <c r="K337" s="73">
        <f t="shared" si="46"/>
        <v>172345</v>
      </c>
      <c r="L337" s="24">
        <v>171619.91</v>
      </c>
      <c r="M337" s="24"/>
      <c r="N337" s="24"/>
      <c r="O337" s="24"/>
      <c r="P337" s="24">
        <f t="shared" si="51"/>
        <v>171619.91</v>
      </c>
      <c r="Q337" s="30">
        <f>P337/K337</f>
        <v>0.9957927993269314</v>
      </c>
    </row>
    <row r="338" spans="1:17" ht="72.75" customHeight="1">
      <c r="A338" s="15"/>
      <c r="B338" s="37"/>
      <c r="C338" s="15"/>
      <c r="D338" s="111" t="s">
        <v>231</v>
      </c>
      <c r="E338" s="111" t="s">
        <v>7</v>
      </c>
      <c r="F338" s="109" t="s">
        <v>232</v>
      </c>
      <c r="G338" s="73"/>
      <c r="H338" s="73">
        <v>430000</v>
      </c>
      <c r="I338" s="73"/>
      <c r="J338" s="73"/>
      <c r="K338" s="73">
        <f t="shared" si="46"/>
        <v>430000</v>
      </c>
      <c r="L338" s="24"/>
      <c r="M338" s="24">
        <f>503657.86-37425.27</f>
        <v>466232.58999999997</v>
      </c>
      <c r="N338" s="24"/>
      <c r="O338" s="24"/>
      <c r="P338" s="24">
        <f t="shared" si="51"/>
        <v>466232.58999999997</v>
      </c>
      <c r="Q338" s="30">
        <f t="shared" si="49"/>
        <v>1.0842618372093022</v>
      </c>
    </row>
    <row r="339" spans="1:17" s="39" customFormat="1" ht="106.5" customHeight="1">
      <c r="A339" s="38"/>
      <c r="B339" s="44"/>
      <c r="C339" s="104"/>
      <c r="D339" s="121">
        <v>291</v>
      </c>
      <c r="E339" s="121">
        <v>0</v>
      </c>
      <c r="F339" s="109" t="s">
        <v>346</v>
      </c>
      <c r="G339" s="45"/>
      <c r="H339" s="45"/>
      <c r="I339" s="45"/>
      <c r="J339" s="45"/>
      <c r="K339" s="45">
        <f t="shared" si="46"/>
        <v>0</v>
      </c>
      <c r="L339" s="41"/>
      <c r="M339" s="45">
        <v>809.03</v>
      </c>
      <c r="N339" s="41"/>
      <c r="O339" s="41"/>
      <c r="P339" s="24">
        <f t="shared" si="51"/>
        <v>809.03</v>
      </c>
      <c r="Q339" s="30"/>
    </row>
    <row r="340" spans="1:17" ht="12.75">
      <c r="A340" s="15"/>
      <c r="B340" s="16" t="s">
        <v>243</v>
      </c>
      <c r="C340" s="17"/>
      <c r="D340" s="123"/>
      <c r="E340" s="123"/>
      <c r="F340" s="107"/>
      <c r="G340" s="26">
        <f>SUM(G335:G338)</f>
        <v>172345</v>
      </c>
      <c r="H340" s="26">
        <f>SUM(H335:H338)</f>
        <v>498056</v>
      </c>
      <c r="I340" s="26">
        <f>SUM(I335:I338)</f>
        <v>0</v>
      </c>
      <c r="J340" s="26">
        <f>SUM(J335:J338)</f>
        <v>7920</v>
      </c>
      <c r="K340" s="26">
        <f t="shared" si="46"/>
        <v>678321</v>
      </c>
      <c r="L340" s="26">
        <f>SUM(L331:L339)</f>
        <v>193306.01</v>
      </c>
      <c r="M340" s="26">
        <f>SUM(M331:M339)</f>
        <v>537924.86</v>
      </c>
      <c r="N340" s="26">
        <f>SUM(N331:N339)</f>
        <v>0</v>
      </c>
      <c r="O340" s="26">
        <f>SUM(O331:O339)</f>
        <v>7920</v>
      </c>
      <c r="P340" s="26">
        <f t="shared" si="51"/>
        <v>739150.87</v>
      </c>
      <c r="Q340" s="27">
        <f t="shared" si="49"/>
        <v>1.0896771145224753</v>
      </c>
    </row>
    <row r="341" spans="1:17" ht="101.25" customHeight="1">
      <c r="A341" s="15"/>
      <c r="B341" s="13" t="s">
        <v>244</v>
      </c>
      <c r="C341" s="14" t="s">
        <v>245</v>
      </c>
      <c r="D341" s="111" t="s">
        <v>27</v>
      </c>
      <c r="E341" s="111" t="s">
        <v>28</v>
      </c>
      <c r="F341" s="106" t="s">
        <v>29</v>
      </c>
      <c r="G341" s="24">
        <v>180000</v>
      </c>
      <c r="H341" s="24"/>
      <c r="I341" s="24"/>
      <c r="J341" s="24"/>
      <c r="K341" s="24">
        <f t="shared" si="46"/>
        <v>180000</v>
      </c>
      <c r="L341" s="24">
        <v>180000</v>
      </c>
      <c r="M341" s="24"/>
      <c r="N341" s="24"/>
      <c r="O341" s="24"/>
      <c r="P341" s="24">
        <f t="shared" si="51"/>
        <v>180000</v>
      </c>
      <c r="Q341" s="30">
        <f t="shared" si="49"/>
        <v>1</v>
      </c>
    </row>
    <row r="342" spans="1:17" ht="53.25" customHeight="1">
      <c r="A342" s="15"/>
      <c r="B342" s="20"/>
      <c r="C342" s="15"/>
      <c r="D342" s="111" t="s">
        <v>61</v>
      </c>
      <c r="E342" s="111" t="s">
        <v>7</v>
      </c>
      <c r="F342" s="106" t="s">
        <v>62</v>
      </c>
      <c r="G342" s="24"/>
      <c r="H342" s="24"/>
      <c r="I342" s="24"/>
      <c r="J342" s="24">
        <v>390790</v>
      </c>
      <c r="K342" s="24">
        <f t="shared" si="46"/>
        <v>390790</v>
      </c>
      <c r="L342" s="24"/>
      <c r="M342" s="24"/>
      <c r="N342" s="24"/>
      <c r="O342" s="24">
        <v>385712.89</v>
      </c>
      <c r="P342" s="24">
        <f t="shared" si="51"/>
        <v>385712.89</v>
      </c>
      <c r="Q342" s="30">
        <f t="shared" si="49"/>
        <v>0.9870080861843957</v>
      </c>
    </row>
    <row r="343" spans="1:17" ht="12.75">
      <c r="A343" s="15"/>
      <c r="B343" s="16" t="s">
        <v>246</v>
      </c>
      <c r="C343" s="17"/>
      <c r="D343" s="123"/>
      <c r="E343" s="123"/>
      <c r="F343" s="107"/>
      <c r="G343" s="26">
        <f>SUM(G341:G342)</f>
        <v>180000</v>
      </c>
      <c r="H343" s="26">
        <f aca="true" t="shared" si="52" ref="H343:O343">SUM(H341:H342)</f>
        <v>0</v>
      </c>
      <c r="I343" s="26">
        <f t="shared" si="52"/>
        <v>0</v>
      </c>
      <c r="J343" s="26">
        <f t="shared" si="52"/>
        <v>390790</v>
      </c>
      <c r="K343" s="26">
        <f t="shared" si="46"/>
        <v>570790</v>
      </c>
      <c r="L343" s="26">
        <f t="shared" si="52"/>
        <v>180000</v>
      </c>
      <c r="M343" s="26">
        <f t="shared" si="52"/>
        <v>0</v>
      </c>
      <c r="N343" s="26">
        <f t="shared" si="52"/>
        <v>0</v>
      </c>
      <c r="O343" s="26">
        <f t="shared" si="52"/>
        <v>385712.89</v>
      </c>
      <c r="P343" s="26">
        <f t="shared" si="51"/>
        <v>565712.89</v>
      </c>
      <c r="Q343" s="27">
        <f t="shared" si="49"/>
        <v>0.9911051174687714</v>
      </c>
    </row>
    <row r="344" spans="1:17" ht="48.75" customHeight="1">
      <c r="A344" s="15"/>
      <c r="B344" s="13">
        <v>85206</v>
      </c>
      <c r="C344" s="14" t="s">
        <v>407</v>
      </c>
      <c r="D344" s="111">
        <v>203</v>
      </c>
      <c r="E344" s="111">
        <v>0</v>
      </c>
      <c r="F344" s="106" t="s">
        <v>408</v>
      </c>
      <c r="G344" s="24">
        <v>270000</v>
      </c>
      <c r="H344" s="24"/>
      <c r="I344" s="24"/>
      <c r="J344" s="24"/>
      <c r="K344" s="24">
        <f>SUM(G344:J344)</f>
        <v>270000</v>
      </c>
      <c r="L344" s="24">
        <v>269999.38</v>
      </c>
      <c r="M344" s="24"/>
      <c r="N344" s="24"/>
      <c r="O344" s="24"/>
      <c r="P344" s="24">
        <f t="shared" si="51"/>
        <v>269999.38</v>
      </c>
      <c r="Q344" s="30">
        <f>P344/K344</f>
        <v>0.9999977037037037</v>
      </c>
    </row>
    <row r="345" spans="1:17" ht="12.75">
      <c r="A345" s="15"/>
      <c r="B345" s="16" t="s">
        <v>406</v>
      </c>
      <c r="C345" s="17"/>
      <c r="D345" s="123"/>
      <c r="E345" s="123"/>
      <c r="F345" s="107"/>
      <c r="G345" s="26">
        <f>SUM(G344:G344)</f>
        <v>270000</v>
      </c>
      <c r="H345" s="26">
        <f>SUM(H344:H344)</f>
        <v>0</v>
      </c>
      <c r="I345" s="26">
        <f>SUM(I344:I344)</f>
        <v>0</v>
      </c>
      <c r="J345" s="26">
        <f>SUM(J344:J344)</f>
        <v>0</v>
      </c>
      <c r="K345" s="26">
        <f>SUM(G345:J345)</f>
        <v>270000</v>
      </c>
      <c r="L345" s="26">
        <f>SUM(L344:L344)</f>
        <v>269999.38</v>
      </c>
      <c r="M345" s="26">
        <f>SUM(M344:M344)</f>
        <v>0</v>
      </c>
      <c r="N345" s="26">
        <f>SUM(N344:N344)</f>
        <v>0</v>
      </c>
      <c r="O345" s="26">
        <f>SUM(O344:O344)</f>
        <v>0</v>
      </c>
      <c r="P345" s="26">
        <f t="shared" si="51"/>
        <v>269999.38</v>
      </c>
      <c r="Q345" s="27">
        <f>P345/K345</f>
        <v>0.9999977037037037</v>
      </c>
    </row>
    <row r="346" spans="1:17" ht="63.75" customHeight="1">
      <c r="A346" s="15"/>
      <c r="B346" s="13" t="s">
        <v>247</v>
      </c>
      <c r="C346" s="133" t="s">
        <v>248</v>
      </c>
      <c r="D346" s="111" t="s">
        <v>6</v>
      </c>
      <c r="E346" s="111" t="s">
        <v>7</v>
      </c>
      <c r="F346" s="106" t="s">
        <v>8</v>
      </c>
      <c r="G346" s="24"/>
      <c r="H346" s="24"/>
      <c r="I346" s="24">
        <v>42012000</v>
      </c>
      <c r="J346" s="24"/>
      <c r="K346" s="24">
        <f t="shared" si="46"/>
        <v>42012000</v>
      </c>
      <c r="L346" s="24"/>
      <c r="M346" s="24"/>
      <c r="N346" s="24">
        <v>41495979.5</v>
      </c>
      <c r="O346" s="24"/>
      <c r="P346" s="24">
        <f t="shared" si="51"/>
        <v>41495979.5</v>
      </c>
      <c r="Q346" s="30">
        <f t="shared" si="49"/>
        <v>0.9877173069599162</v>
      </c>
    </row>
    <row r="347" spans="1:17" ht="64.5" customHeight="1">
      <c r="A347" s="15"/>
      <c r="B347" s="20"/>
      <c r="C347" s="135"/>
      <c r="D347" s="111" t="s">
        <v>63</v>
      </c>
      <c r="E347" s="111" t="s">
        <v>7</v>
      </c>
      <c r="F347" s="106" t="s">
        <v>64</v>
      </c>
      <c r="G347" s="24">
        <v>370000</v>
      </c>
      <c r="H347" s="24"/>
      <c r="I347" s="24"/>
      <c r="J347" s="24"/>
      <c r="K347" s="24">
        <f t="shared" si="46"/>
        <v>370000</v>
      </c>
      <c r="L347" s="24">
        <v>502865.28</v>
      </c>
      <c r="M347" s="24"/>
      <c r="N347" s="24"/>
      <c r="O347" s="24"/>
      <c r="P347" s="24">
        <f t="shared" si="51"/>
        <v>502865.28</v>
      </c>
      <c r="Q347" s="30">
        <f t="shared" si="49"/>
        <v>1.3590953513513515</v>
      </c>
    </row>
    <row r="348" spans="1:17" ht="12.75">
      <c r="A348" s="15"/>
      <c r="B348" s="16" t="s">
        <v>249</v>
      </c>
      <c r="C348" s="17"/>
      <c r="D348" s="123"/>
      <c r="E348" s="123"/>
      <c r="F348" s="107"/>
      <c r="G348" s="26">
        <f>SUM(G346:G347)</f>
        <v>370000</v>
      </c>
      <c r="H348" s="26">
        <f aca="true" t="shared" si="53" ref="H348:O348">SUM(H346:H347)</f>
        <v>0</v>
      </c>
      <c r="I348" s="26">
        <f t="shared" si="53"/>
        <v>42012000</v>
      </c>
      <c r="J348" s="26">
        <f t="shared" si="53"/>
        <v>0</v>
      </c>
      <c r="K348" s="26">
        <f t="shared" si="46"/>
        <v>42382000</v>
      </c>
      <c r="L348" s="26">
        <f t="shared" si="53"/>
        <v>502865.28</v>
      </c>
      <c r="M348" s="26">
        <f t="shared" si="53"/>
        <v>0</v>
      </c>
      <c r="N348" s="26">
        <f t="shared" si="53"/>
        <v>41495979.5</v>
      </c>
      <c r="O348" s="26">
        <f t="shared" si="53"/>
        <v>0</v>
      </c>
      <c r="P348" s="26">
        <f t="shared" si="51"/>
        <v>41998844.78</v>
      </c>
      <c r="Q348" s="27">
        <f t="shared" si="49"/>
        <v>0.9909594823274032</v>
      </c>
    </row>
    <row r="349" spans="1:17" s="39" customFormat="1" ht="19.5">
      <c r="A349" s="38"/>
      <c r="B349" s="13">
        <v>85213</v>
      </c>
      <c r="C349" s="133" t="s">
        <v>250</v>
      </c>
      <c r="D349" s="120" t="s">
        <v>25</v>
      </c>
      <c r="E349" s="121">
        <v>0</v>
      </c>
      <c r="F349" s="106" t="s">
        <v>26</v>
      </c>
      <c r="G349" s="49"/>
      <c r="H349" s="49"/>
      <c r="I349" s="49"/>
      <c r="J349" s="49"/>
      <c r="K349" s="45">
        <f t="shared" si="46"/>
        <v>0</v>
      </c>
      <c r="L349" s="45">
        <v>4.23</v>
      </c>
      <c r="M349" s="45"/>
      <c r="N349" s="45"/>
      <c r="O349" s="45"/>
      <c r="P349" s="24">
        <f t="shared" si="51"/>
        <v>4.23</v>
      </c>
      <c r="Q349" s="50"/>
    </row>
    <row r="350" spans="1:17" ht="66.75" customHeight="1">
      <c r="A350" s="15"/>
      <c r="B350" s="37"/>
      <c r="C350" s="134"/>
      <c r="D350" s="111" t="s">
        <v>6</v>
      </c>
      <c r="E350" s="111" t="s">
        <v>7</v>
      </c>
      <c r="F350" s="106" t="s">
        <v>8</v>
      </c>
      <c r="G350" s="24"/>
      <c r="H350" s="24"/>
      <c r="I350" s="24">
        <v>195400</v>
      </c>
      <c r="J350" s="24"/>
      <c r="K350" s="24">
        <f t="shared" si="46"/>
        <v>195400</v>
      </c>
      <c r="L350" s="24"/>
      <c r="M350" s="24"/>
      <c r="N350" s="24">
        <v>192478.44</v>
      </c>
      <c r="O350" s="24"/>
      <c r="P350" s="24">
        <f t="shared" si="51"/>
        <v>192478.44</v>
      </c>
      <c r="Q350" s="30">
        <f t="shared" si="49"/>
        <v>0.9850483111566019</v>
      </c>
    </row>
    <row r="351" spans="1:17" ht="48.75">
      <c r="A351" s="15"/>
      <c r="B351" s="20"/>
      <c r="C351" s="81"/>
      <c r="D351" s="111" t="s">
        <v>200</v>
      </c>
      <c r="E351" s="111" t="s">
        <v>7</v>
      </c>
      <c r="F351" s="106" t="s">
        <v>201</v>
      </c>
      <c r="G351" s="24">
        <v>667277</v>
      </c>
      <c r="H351" s="24"/>
      <c r="I351" s="24"/>
      <c r="J351" s="24"/>
      <c r="K351" s="24">
        <f t="shared" si="46"/>
        <v>667277</v>
      </c>
      <c r="L351" s="24">
        <v>666277.28</v>
      </c>
      <c r="M351" s="24"/>
      <c r="N351" s="24"/>
      <c r="O351" s="24"/>
      <c r="P351" s="24">
        <f t="shared" si="51"/>
        <v>666277.28</v>
      </c>
      <c r="Q351" s="30">
        <f t="shared" si="49"/>
        <v>0.9985017916097813</v>
      </c>
    </row>
    <row r="352" spans="1:17" ht="12.75">
      <c r="A352" s="15"/>
      <c r="B352" s="16" t="s">
        <v>251</v>
      </c>
      <c r="C352" s="17"/>
      <c r="D352" s="123"/>
      <c r="E352" s="123"/>
      <c r="F352" s="107"/>
      <c r="G352" s="26">
        <f>SUM(G350:G351)</f>
        <v>667277</v>
      </c>
      <c r="H352" s="26">
        <f>SUM(H350:H351)</f>
        <v>0</v>
      </c>
      <c r="I352" s="26">
        <f>SUM(I350:I351)</f>
        <v>195400</v>
      </c>
      <c r="J352" s="26">
        <f>SUM(J350:J351)</f>
        <v>0</v>
      </c>
      <c r="K352" s="26">
        <f t="shared" si="46"/>
        <v>862677</v>
      </c>
      <c r="L352" s="26">
        <f>SUM(L349:L351)</f>
        <v>666281.51</v>
      </c>
      <c r="M352" s="26">
        <f>SUM(M349:M351)</f>
        <v>0</v>
      </c>
      <c r="N352" s="26">
        <f>SUM(N349:N351)</f>
        <v>192478.44</v>
      </c>
      <c r="O352" s="26">
        <f>SUM(O349:O351)</f>
        <v>0</v>
      </c>
      <c r="P352" s="26">
        <f t="shared" si="51"/>
        <v>858759.95</v>
      </c>
      <c r="Q352" s="27">
        <f t="shared" si="49"/>
        <v>0.9954594245586702</v>
      </c>
    </row>
    <row r="353" spans="1:17" s="39" customFormat="1" ht="12.75">
      <c r="A353" s="38"/>
      <c r="B353" s="13">
        <v>85214</v>
      </c>
      <c r="C353" s="133" t="s">
        <v>252</v>
      </c>
      <c r="D353" s="120" t="s">
        <v>23</v>
      </c>
      <c r="E353" s="121">
        <v>0</v>
      </c>
      <c r="F353" s="106" t="s">
        <v>24</v>
      </c>
      <c r="G353" s="49"/>
      <c r="H353" s="49"/>
      <c r="I353" s="49"/>
      <c r="J353" s="49"/>
      <c r="K353" s="45">
        <f t="shared" si="46"/>
        <v>0</v>
      </c>
      <c r="L353" s="45">
        <v>2.37</v>
      </c>
      <c r="M353" s="45"/>
      <c r="N353" s="45"/>
      <c r="O353" s="45"/>
      <c r="P353" s="24">
        <f t="shared" si="51"/>
        <v>2.37</v>
      </c>
      <c r="Q353" s="50"/>
    </row>
    <row r="354" spans="1:17" s="39" customFormat="1" ht="29.25">
      <c r="A354" s="38"/>
      <c r="B354" s="37"/>
      <c r="C354" s="134"/>
      <c r="D354" s="120" t="s">
        <v>373</v>
      </c>
      <c r="E354" s="121"/>
      <c r="F354" s="106" t="s">
        <v>374</v>
      </c>
      <c r="G354" s="49"/>
      <c r="H354" s="49"/>
      <c r="I354" s="49"/>
      <c r="J354" s="49"/>
      <c r="K354" s="45"/>
      <c r="L354" s="45">
        <v>400</v>
      </c>
      <c r="M354" s="45"/>
      <c r="N354" s="45"/>
      <c r="O354" s="45"/>
      <c r="P354" s="24">
        <f t="shared" si="51"/>
        <v>400</v>
      </c>
      <c r="Q354" s="50"/>
    </row>
    <row r="355" spans="1:17" s="39" customFormat="1" ht="19.5">
      <c r="A355" s="38"/>
      <c r="B355" s="37"/>
      <c r="C355" s="134"/>
      <c r="D355" s="120" t="s">
        <v>25</v>
      </c>
      <c r="E355" s="121">
        <v>0</v>
      </c>
      <c r="F355" s="106" t="s">
        <v>26</v>
      </c>
      <c r="G355" s="49"/>
      <c r="H355" s="49"/>
      <c r="I355" s="49"/>
      <c r="J355" s="49"/>
      <c r="K355" s="45">
        <f t="shared" si="46"/>
        <v>0</v>
      </c>
      <c r="L355" s="45">
        <v>17176</v>
      </c>
      <c r="M355" s="45"/>
      <c r="N355" s="45"/>
      <c r="O355" s="45"/>
      <c r="P355" s="24">
        <f t="shared" si="51"/>
        <v>17176</v>
      </c>
      <c r="Q355" s="50"/>
    </row>
    <row r="356" spans="1:17" ht="52.5" customHeight="1">
      <c r="A356" s="15"/>
      <c r="B356" s="37"/>
      <c r="C356" s="134"/>
      <c r="D356" s="111" t="s">
        <v>200</v>
      </c>
      <c r="E356" s="111" t="s">
        <v>7</v>
      </c>
      <c r="F356" s="106" t="s">
        <v>201</v>
      </c>
      <c r="G356" s="24">
        <v>75000</v>
      </c>
      <c r="H356" s="24"/>
      <c r="I356" s="24"/>
      <c r="J356" s="24"/>
      <c r="K356" s="73">
        <f t="shared" si="46"/>
        <v>75000</v>
      </c>
      <c r="L356" s="24">
        <v>57999.2</v>
      </c>
      <c r="M356" s="24"/>
      <c r="N356" s="24"/>
      <c r="O356" s="24"/>
      <c r="P356" s="24">
        <f t="shared" si="51"/>
        <v>57999.2</v>
      </c>
      <c r="Q356" s="30">
        <f t="shared" si="49"/>
        <v>0.7733226666666666</v>
      </c>
    </row>
    <row r="357" spans="1:17" s="39" customFormat="1" ht="106.5" customHeight="1">
      <c r="A357" s="38"/>
      <c r="B357" s="44"/>
      <c r="C357" s="104"/>
      <c r="D357" s="121">
        <v>291</v>
      </c>
      <c r="E357" s="121">
        <v>0</v>
      </c>
      <c r="F357" s="106" t="s">
        <v>346</v>
      </c>
      <c r="G357" s="41"/>
      <c r="H357" s="41"/>
      <c r="I357" s="41"/>
      <c r="J357" s="41"/>
      <c r="K357" s="45">
        <f t="shared" si="46"/>
        <v>0</v>
      </c>
      <c r="L357" s="45">
        <v>31071.19</v>
      </c>
      <c r="M357" s="45"/>
      <c r="N357" s="41"/>
      <c r="O357" s="41"/>
      <c r="P357" s="24">
        <f t="shared" si="51"/>
        <v>31071.19</v>
      </c>
      <c r="Q357" s="30"/>
    </row>
    <row r="358" spans="1:17" ht="12.75">
      <c r="A358" s="15"/>
      <c r="B358" s="16" t="s">
        <v>253</v>
      </c>
      <c r="C358" s="17"/>
      <c r="D358" s="123"/>
      <c r="E358" s="123"/>
      <c r="F358" s="107"/>
      <c r="G358" s="26">
        <f>SUM(G356)</f>
        <v>75000</v>
      </c>
      <c r="H358" s="26">
        <f>SUM(H356)</f>
        <v>0</v>
      </c>
      <c r="I358" s="26">
        <f>SUM(I356)</f>
        <v>0</v>
      </c>
      <c r="J358" s="26">
        <f>SUM(J356)</f>
        <v>0</v>
      </c>
      <c r="K358" s="26">
        <f t="shared" si="46"/>
        <v>75000</v>
      </c>
      <c r="L358" s="26">
        <f>SUM(L353:L357)</f>
        <v>106648.76</v>
      </c>
      <c r="M358" s="26">
        <f>SUM(M353:M357)</f>
        <v>0</v>
      </c>
      <c r="N358" s="26">
        <f>SUM(N353:N357)</f>
        <v>0</v>
      </c>
      <c r="O358" s="26">
        <f>SUM(O353:O357)</f>
        <v>0</v>
      </c>
      <c r="P358" s="26">
        <f t="shared" si="51"/>
        <v>106648.76</v>
      </c>
      <c r="Q358" s="27">
        <f t="shared" si="49"/>
        <v>1.4219834666666666</v>
      </c>
    </row>
    <row r="359" spans="1:17" s="39" customFormat="1" ht="19.5">
      <c r="A359" s="38"/>
      <c r="B359" s="13">
        <v>85215</v>
      </c>
      <c r="C359" s="14" t="s">
        <v>254</v>
      </c>
      <c r="D359" s="120" t="s">
        <v>25</v>
      </c>
      <c r="E359" s="121">
        <v>0</v>
      </c>
      <c r="F359" s="106" t="s">
        <v>26</v>
      </c>
      <c r="G359" s="49"/>
      <c r="H359" s="49"/>
      <c r="I359" s="49"/>
      <c r="J359" s="49"/>
      <c r="K359" s="45">
        <f t="shared" si="46"/>
        <v>0</v>
      </c>
      <c r="L359" s="45">
        <v>3945.57</v>
      </c>
      <c r="M359" s="45"/>
      <c r="N359" s="45"/>
      <c r="O359" s="45"/>
      <c r="P359" s="24">
        <f t="shared" si="51"/>
        <v>3945.57</v>
      </c>
      <c r="Q359" s="50"/>
    </row>
    <row r="360" spans="1:17" ht="72" customHeight="1">
      <c r="A360" s="15"/>
      <c r="B360" s="37"/>
      <c r="C360" s="63"/>
      <c r="D360" s="111" t="s">
        <v>6</v>
      </c>
      <c r="E360" s="111" t="s">
        <v>7</v>
      </c>
      <c r="F360" s="106" t="s">
        <v>8</v>
      </c>
      <c r="G360" s="24"/>
      <c r="H360" s="24"/>
      <c r="I360" s="24">
        <v>182045</v>
      </c>
      <c r="J360" s="24"/>
      <c r="K360" s="24">
        <f t="shared" si="46"/>
        <v>182045</v>
      </c>
      <c r="L360" s="24"/>
      <c r="M360" s="24"/>
      <c r="N360" s="24">
        <v>79373.6</v>
      </c>
      <c r="O360" s="24"/>
      <c r="P360" s="24">
        <f t="shared" si="51"/>
        <v>79373.6</v>
      </c>
      <c r="Q360" s="30">
        <f t="shared" si="49"/>
        <v>0.43601087643165154</v>
      </c>
    </row>
    <row r="361" spans="1:17" ht="12.75">
      <c r="A361" s="15"/>
      <c r="B361" s="16" t="s">
        <v>255</v>
      </c>
      <c r="C361" s="17"/>
      <c r="D361" s="123"/>
      <c r="E361" s="123"/>
      <c r="F361" s="107"/>
      <c r="G361" s="26">
        <f>SUM(G360)</f>
        <v>0</v>
      </c>
      <c r="H361" s="26">
        <f>SUM(H360)</f>
        <v>0</v>
      </c>
      <c r="I361" s="26">
        <f>SUM(I360)</f>
        <v>182045</v>
      </c>
      <c r="J361" s="26">
        <f>SUM(J360)</f>
        <v>0</v>
      </c>
      <c r="K361" s="26">
        <f t="shared" si="46"/>
        <v>182045</v>
      </c>
      <c r="L361" s="26">
        <f>SUM(L359:L360)</f>
        <v>3945.57</v>
      </c>
      <c r="M361" s="26">
        <f>SUM(M359:M360)</f>
        <v>0</v>
      </c>
      <c r="N361" s="26">
        <f>SUM(N359:N360)</f>
        <v>79373.6</v>
      </c>
      <c r="O361" s="26">
        <f>SUM(O359:O360)</f>
        <v>0</v>
      </c>
      <c r="P361" s="26">
        <f t="shared" si="51"/>
        <v>83319.17000000001</v>
      </c>
      <c r="Q361" s="27">
        <f t="shared" si="49"/>
        <v>0.45768447361916015</v>
      </c>
    </row>
    <row r="362" spans="1:17" s="39" customFormat="1" ht="19.5">
      <c r="A362" s="38"/>
      <c r="B362" s="13">
        <v>85216</v>
      </c>
      <c r="C362" s="14" t="s">
        <v>256</v>
      </c>
      <c r="D362" s="120" t="s">
        <v>25</v>
      </c>
      <c r="E362" s="121">
        <v>0</v>
      </c>
      <c r="F362" s="106" t="s">
        <v>26</v>
      </c>
      <c r="G362" s="49"/>
      <c r="H362" s="49"/>
      <c r="I362" s="49"/>
      <c r="J362" s="49"/>
      <c r="K362" s="45">
        <f t="shared" si="46"/>
        <v>0</v>
      </c>
      <c r="L362" s="45">
        <v>573.3</v>
      </c>
      <c r="M362" s="45"/>
      <c r="N362" s="45"/>
      <c r="O362" s="45"/>
      <c r="P362" s="24">
        <f t="shared" si="51"/>
        <v>573.3</v>
      </c>
      <c r="Q362" s="50"/>
    </row>
    <row r="363" spans="1:17" ht="48.75">
      <c r="A363" s="15"/>
      <c r="B363" s="37"/>
      <c r="C363" s="63"/>
      <c r="D363" s="111" t="s">
        <v>200</v>
      </c>
      <c r="E363" s="111" t="s">
        <v>7</v>
      </c>
      <c r="F363" s="106" t="s">
        <v>201</v>
      </c>
      <c r="G363" s="24">
        <v>7767605</v>
      </c>
      <c r="H363" s="24"/>
      <c r="I363" s="24"/>
      <c r="J363" s="24"/>
      <c r="K363" s="24">
        <f aca="true" t="shared" si="54" ref="K363:K429">SUM(G363:J363)</f>
        <v>7767605</v>
      </c>
      <c r="L363" s="24">
        <v>7714311.02</v>
      </c>
      <c r="M363" s="24"/>
      <c r="N363" s="24"/>
      <c r="O363" s="24"/>
      <c r="P363" s="24">
        <f t="shared" si="51"/>
        <v>7714311.02</v>
      </c>
      <c r="Q363" s="30">
        <f t="shared" si="49"/>
        <v>0.9931389430847731</v>
      </c>
    </row>
    <row r="364" spans="1:17" ht="12.75">
      <c r="A364" s="15"/>
      <c r="B364" s="16" t="s">
        <v>257</v>
      </c>
      <c r="C364" s="17"/>
      <c r="D364" s="123"/>
      <c r="E364" s="123"/>
      <c r="F364" s="107"/>
      <c r="G364" s="26">
        <f>SUM(G363)</f>
        <v>7767605</v>
      </c>
      <c r="H364" s="26">
        <f>SUM(H363)</f>
        <v>0</v>
      </c>
      <c r="I364" s="26">
        <f>SUM(I363)</f>
        <v>0</v>
      </c>
      <c r="J364" s="26">
        <f>SUM(J363)</f>
        <v>0</v>
      </c>
      <c r="K364" s="26">
        <f t="shared" si="54"/>
        <v>7767605</v>
      </c>
      <c r="L364" s="26">
        <f>SUM(L362:L363)</f>
        <v>7714884.319999999</v>
      </c>
      <c r="M364" s="26">
        <f>SUM(M362:M363)</f>
        <v>0</v>
      </c>
      <c r="N364" s="26">
        <f>SUM(N362:N363)</f>
        <v>0</v>
      </c>
      <c r="O364" s="26">
        <f>SUM(O362:O363)</f>
        <v>0</v>
      </c>
      <c r="P364" s="26">
        <f t="shared" si="51"/>
        <v>7714884.319999999</v>
      </c>
      <c r="Q364" s="27">
        <f t="shared" si="49"/>
        <v>0.9932127496184473</v>
      </c>
    </row>
    <row r="365" spans="1:17" s="39" customFormat="1" ht="12.75">
      <c r="A365" s="38"/>
      <c r="B365" s="13">
        <v>85219</v>
      </c>
      <c r="C365" s="133" t="s">
        <v>258</v>
      </c>
      <c r="D365" s="120" t="s">
        <v>23</v>
      </c>
      <c r="E365" s="121">
        <v>0</v>
      </c>
      <c r="F365" s="106" t="s">
        <v>24</v>
      </c>
      <c r="G365" s="49"/>
      <c r="H365" s="49"/>
      <c r="I365" s="49"/>
      <c r="J365" s="49"/>
      <c r="K365" s="45">
        <f t="shared" si="54"/>
        <v>0</v>
      </c>
      <c r="L365" s="45">
        <v>60.93</v>
      </c>
      <c r="M365" s="45"/>
      <c r="N365" s="45"/>
      <c r="O365" s="45"/>
      <c r="P365" s="24">
        <f t="shared" si="51"/>
        <v>60.93</v>
      </c>
      <c r="Q365" s="50"/>
    </row>
    <row r="366" spans="1:17" s="39" customFormat="1" ht="29.25">
      <c r="A366" s="38"/>
      <c r="B366" s="37"/>
      <c r="C366" s="134"/>
      <c r="D366" s="120" t="s">
        <v>373</v>
      </c>
      <c r="E366" s="121">
        <v>0</v>
      </c>
      <c r="F366" s="117" t="s">
        <v>374</v>
      </c>
      <c r="G366" s="45">
        <v>1700</v>
      </c>
      <c r="H366" s="45"/>
      <c r="I366" s="45"/>
      <c r="J366" s="45"/>
      <c r="K366" s="45">
        <f t="shared" si="54"/>
        <v>1700</v>
      </c>
      <c r="L366" s="45">
        <v>3700</v>
      </c>
      <c r="M366" s="45"/>
      <c r="N366" s="45"/>
      <c r="O366" s="45"/>
      <c r="P366" s="24">
        <f t="shared" si="51"/>
        <v>3700</v>
      </c>
      <c r="Q366" s="30">
        <f t="shared" si="49"/>
        <v>2.176470588235294</v>
      </c>
    </row>
    <row r="367" spans="1:17" ht="19.5" customHeight="1">
      <c r="A367" s="15"/>
      <c r="B367" s="37"/>
      <c r="C367" s="63"/>
      <c r="D367" s="111" t="s">
        <v>25</v>
      </c>
      <c r="E367" s="111" t="s">
        <v>7</v>
      </c>
      <c r="F367" s="106" t="s">
        <v>26</v>
      </c>
      <c r="G367" s="24">
        <v>5540</v>
      </c>
      <c r="H367" s="24"/>
      <c r="I367" s="24"/>
      <c r="J367" s="24"/>
      <c r="K367" s="24">
        <f t="shared" si="54"/>
        <v>5540</v>
      </c>
      <c r="L367" s="73">
        <v>30666.8</v>
      </c>
      <c r="M367" s="73"/>
      <c r="N367" s="73"/>
      <c r="O367" s="73"/>
      <c r="P367" s="24">
        <f t="shared" si="51"/>
        <v>30666.8</v>
      </c>
      <c r="Q367" s="30">
        <f t="shared" si="49"/>
        <v>5.535523465703971</v>
      </c>
    </row>
    <row r="368" spans="1:17" ht="71.25" customHeight="1">
      <c r="A368" s="15"/>
      <c r="B368" s="20"/>
      <c r="C368" s="65"/>
      <c r="D368" s="111" t="s">
        <v>6</v>
      </c>
      <c r="E368" s="111" t="s">
        <v>7</v>
      </c>
      <c r="F368" s="106" t="s">
        <v>8</v>
      </c>
      <c r="G368" s="24"/>
      <c r="H368" s="24"/>
      <c r="I368" s="24">
        <v>165265</v>
      </c>
      <c r="J368" s="24"/>
      <c r="K368" s="24">
        <f t="shared" si="54"/>
        <v>165265</v>
      </c>
      <c r="L368" s="24"/>
      <c r="M368" s="24"/>
      <c r="N368" s="24">
        <v>160847.86</v>
      </c>
      <c r="O368" s="24"/>
      <c r="P368" s="24">
        <f t="shared" si="51"/>
        <v>160847.86</v>
      </c>
      <c r="Q368" s="30">
        <f t="shared" si="49"/>
        <v>0.9732723807218708</v>
      </c>
    </row>
    <row r="369" spans="1:17" ht="48.75">
      <c r="A369" s="15"/>
      <c r="B369" s="20"/>
      <c r="C369" s="15"/>
      <c r="D369" s="111" t="s">
        <v>200</v>
      </c>
      <c r="E369" s="111" t="s">
        <v>7</v>
      </c>
      <c r="F369" s="106" t="s">
        <v>201</v>
      </c>
      <c r="G369" s="24">
        <v>1438700</v>
      </c>
      <c r="H369" s="24"/>
      <c r="I369" s="24"/>
      <c r="J369" s="24"/>
      <c r="K369" s="24">
        <f t="shared" si="54"/>
        <v>1438700</v>
      </c>
      <c r="L369" s="24">
        <v>1438700</v>
      </c>
      <c r="M369" s="24"/>
      <c r="N369" s="24"/>
      <c r="O369" s="24"/>
      <c r="P369" s="24">
        <f t="shared" si="51"/>
        <v>1438700</v>
      </c>
      <c r="Q369" s="30">
        <f t="shared" si="49"/>
        <v>1</v>
      </c>
    </row>
    <row r="370" spans="1:17" s="39" customFormat="1" ht="12.75" hidden="1">
      <c r="A370" s="38"/>
      <c r="B370" s="44"/>
      <c r="C370" s="104"/>
      <c r="D370" s="121">
        <v>298</v>
      </c>
      <c r="E370" s="121">
        <v>0</v>
      </c>
      <c r="F370" s="106" t="s">
        <v>347</v>
      </c>
      <c r="G370" s="41"/>
      <c r="H370" s="41"/>
      <c r="I370" s="41"/>
      <c r="J370" s="41"/>
      <c r="K370" s="45">
        <f t="shared" si="54"/>
        <v>0</v>
      </c>
      <c r="L370" s="45"/>
      <c r="M370" s="45"/>
      <c r="N370" s="41"/>
      <c r="O370" s="41"/>
      <c r="P370" s="24">
        <f t="shared" si="51"/>
        <v>0</v>
      </c>
      <c r="Q370" s="30"/>
    </row>
    <row r="371" spans="1:17" ht="12.75">
      <c r="A371" s="15"/>
      <c r="B371" s="16" t="s">
        <v>259</v>
      </c>
      <c r="C371" s="17"/>
      <c r="D371" s="123"/>
      <c r="E371" s="123"/>
      <c r="F371" s="107"/>
      <c r="G371" s="26">
        <f>SUM(G365:G370)</f>
        <v>1445940</v>
      </c>
      <c r="H371" s="26">
        <f aca="true" t="shared" si="55" ref="H371:O371">SUM(H365:H370)</f>
        <v>0</v>
      </c>
      <c r="I371" s="26">
        <f t="shared" si="55"/>
        <v>165265</v>
      </c>
      <c r="J371" s="26">
        <f t="shared" si="55"/>
        <v>0</v>
      </c>
      <c r="K371" s="26">
        <f t="shared" si="55"/>
        <v>1611205</v>
      </c>
      <c r="L371" s="26">
        <f t="shared" si="55"/>
        <v>1473127.73</v>
      </c>
      <c r="M371" s="26">
        <f t="shared" si="55"/>
        <v>0</v>
      </c>
      <c r="N371" s="26">
        <f t="shared" si="55"/>
        <v>160847.86</v>
      </c>
      <c r="O371" s="26">
        <f t="shared" si="55"/>
        <v>0</v>
      </c>
      <c r="P371" s="26">
        <f t="shared" si="51"/>
        <v>1633975.5899999999</v>
      </c>
      <c r="Q371" s="27">
        <f t="shared" si="49"/>
        <v>1.0141326460630398</v>
      </c>
    </row>
    <row r="372" spans="1:17" ht="12.75">
      <c r="A372" s="15"/>
      <c r="B372" s="13" t="s">
        <v>260</v>
      </c>
      <c r="C372" s="133" t="s">
        <v>261</v>
      </c>
      <c r="D372" s="111" t="s">
        <v>21</v>
      </c>
      <c r="E372" s="111" t="s">
        <v>7</v>
      </c>
      <c r="F372" s="106" t="s">
        <v>22</v>
      </c>
      <c r="G372" s="24">
        <v>678800</v>
      </c>
      <c r="H372" s="24"/>
      <c r="I372" s="24"/>
      <c r="J372" s="24"/>
      <c r="K372" s="24">
        <f t="shared" si="54"/>
        <v>678800</v>
      </c>
      <c r="L372" s="24">
        <v>783914.13</v>
      </c>
      <c r="M372" s="24"/>
      <c r="N372" s="24"/>
      <c r="O372" s="24"/>
      <c r="P372" s="24">
        <f t="shared" si="51"/>
        <v>783914.13</v>
      </c>
      <c r="Q372" s="30">
        <f t="shared" si="49"/>
        <v>1.1548528727165586</v>
      </c>
    </row>
    <row r="373" spans="1:17" ht="19.5">
      <c r="A373" s="15"/>
      <c r="B373" s="37"/>
      <c r="C373" s="134"/>
      <c r="D373" s="111" t="s">
        <v>25</v>
      </c>
      <c r="E373" s="111" t="s">
        <v>7</v>
      </c>
      <c r="F373" s="106" t="s">
        <v>26</v>
      </c>
      <c r="G373" s="24"/>
      <c r="H373" s="24"/>
      <c r="I373" s="24"/>
      <c r="J373" s="24"/>
      <c r="K373" s="24">
        <f t="shared" si="54"/>
        <v>0</v>
      </c>
      <c r="L373" s="24">
        <v>286.02</v>
      </c>
      <c r="M373" s="24"/>
      <c r="N373" s="24"/>
      <c r="O373" s="24"/>
      <c r="P373" s="24">
        <f t="shared" si="51"/>
        <v>286.02</v>
      </c>
      <c r="Q373" s="30"/>
    </row>
    <row r="374" spans="1:17" ht="70.5" customHeight="1">
      <c r="A374" s="15"/>
      <c r="B374" s="20"/>
      <c r="C374" s="137"/>
      <c r="D374" s="111" t="s">
        <v>6</v>
      </c>
      <c r="E374" s="111" t="s">
        <v>7</v>
      </c>
      <c r="F374" s="106" t="s">
        <v>8</v>
      </c>
      <c r="G374" s="24"/>
      <c r="H374" s="24"/>
      <c r="I374" s="24">
        <v>1537371</v>
      </c>
      <c r="J374" s="24"/>
      <c r="K374" s="24">
        <f t="shared" si="54"/>
        <v>1537371</v>
      </c>
      <c r="L374" s="24"/>
      <c r="M374" s="24"/>
      <c r="N374" s="24">
        <v>1532524</v>
      </c>
      <c r="O374" s="24"/>
      <c r="P374" s="24">
        <f t="shared" si="51"/>
        <v>1532524</v>
      </c>
      <c r="Q374" s="30">
        <f t="shared" si="49"/>
        <v>0.996847215148458</v>
      </c>
    </row>
    <row r="375" spans="1:17" ht="68.25">
      <c r="A375" s="15"/>
      <c r="B375" s="20"/>
      <c r="C375" s="15"/>
      <c r="D375" s="111" t="s">
        <v>63</v>
      </c>
      <c r="E375" s="111" t="s">
        <v>7</v>
      </c>
      <c r="F375" s="106" t="s">
        <v>64</v>
      </c>
      <c r="G375" s="24">
        <v>6617</v>
      </c>
      <c r="H375" s="24"/>
      <c r="I375" s="24"/>
      <c r="J375" s="24"/>
      <c r="K375" s="24">
        <f t="shared" si="54"/>
        <v>6617</v>
      </c>
      <c r="L375" s="24">
        <v>10141.51</v>
      </c>
      <c r="M375" s="24"/>
      <c r="N375" s="24"/>
      <c r="O375" s="24"/>
      <c r="P375" s="24">
        <f t="shared" si="51"/>
        <v>10141.51</v>
      </c>
      <c r="Q375" s="30">
        <f t="shared" si="49"/>
        <v>1.5326447030376305</v>
      </c>
    </row>
    <row r="376" spans="1:17" ht="12.75">
      <c r="A376" s="15"/>
      <c r="B376" s="16" t="s">
        <v>262</v>
      </c>
      <c r="C376" s="17"/>
      <c r="D376" s="123"/>
      <c r="E376" s="123"/>
      <c r="F376" s="107"/>
      <c r="G376" s="26">
        <f>SUM(G372:G375)</f>
        <v>685417</v>
      </c>
      <c r="H376" s="26">
        <f aca="true" t="shared" si="56" ref="H376:O376">SUM(H372:H375)</f>
        <v>0</v>
      </c>
      <c r="I376" s="26">
        <f t="shared" si="56"/>
        <v>1537371</v>
      </c>
      <c r="J376" s="26">
        <f t="shared" si="56"/>
        <v>0</v>
      </c>
      <c r="K376" s="26">
        <f t="shared" si="54"/>
        <v>2222788</v>
      </c>
      <c r="L376" s="26">
        <f t="shared" si="56"/>
        <v>794341.66</v>
      </c>
      <c r="M376" s="26">
        <f t="shared" si="56"/>
        <v>0</v>
      </c>
      <c r="N376" s="26">
        <f t="shared" si="56"/>
        <v>1532524</v>
      </c>
      <c r="O376" s="26">
        <f t="shared" si="56"/>
        <v>0</v>
      </c>
      <c r="P376" s="26">
        <f t="shared" si="51"/>
        <v>2326865.66</v>
      </c>
      <c r="Q376" s="27">
        <f t="shared" si="49"/>
        <v>1.0468230258576168</v>
      </c>
    </row>
    <row r="377" spans="1:17" s="39" customFormat="1" ht="105" customHeight="1">
      <c r="A377" s="38"/>
      <c r="B377" s="13">
        <v>85295</v>
      </c>
      <c r="C377" s="14" t="s">
        <v>5</v>
      </c>
      <c r="D377" s="120" t="s">
        <v>353</v>
      </c>
      <c r="E377" s="121">
        <v>0</v>
      </c>
      <c r="F377" s="106" t="s">
        <v>354</v>
      </c>
      <c r="G377" s="49"/>
      <c r="H377" s="49"/>
      <c r="I377" s="49"/>
      <c r="J377" s="49"/>
      <c r="K377" s="45">
        <f t="shared" si="54"/>
        <v>0</v>
      </c>
      <c r="L377" s="45">
        <v>8.85</v>
      </c>
      <c r="M377" s="45"/>
      <c r="N377" s="45"/>
      <c r="O377" s="45"/>
      <c r="P377" s="24">
        <f t="shared" si="51"/>
        <v>8.85</v>
      </c>
      <c r="Q377" s="50"/>
    </row>
    <row r="378" spans="1:17" ht="19.5">
      <c r="A378" s="15"/>
      <c r="B378" s="37"/>
      <c r="C378" s="63"/>
      <c r="D378" s="111" t="s">
        <v>25</v>
      </c>
      <c r="E378" s="111" t="s">
        <v>7</v>
      </c>
      <c r="F378" s="106" t="s">
        <v>26</v>
      </c>
      <c r="G378" s="24">
        <v>172192</v>
      </c>
      <c r="H378" s="24"/>
      <c r="I378" s="24"/>
      <c r="J378" s="24"/>
      <c r="K378" s="24">
        <f t="shared" si="54"/>
        <v>172192</v>
      </c>
      <c r="L378" s="73">
        <v>173094.95</v>
      </c>
      <c r="M378" s="73"/>
      <c r="N378" s="73"/>
      <c r="O378" s="73"/>
      <c r="P378" s="24">
        <f t="shared" si="51"/>
        <v>173094.95</v>
      </c>
      <c r="Q378" s="30">
        <f t="shared" si="49"/>
        <v>1.0052438556959673</v>
      </c>
    </row>
    <row r="379" spans="1:17" ht="72.75" customHeight="1">
      <c r="A379" s="15"/>
      <c r="B379" s="20"/>
      <c r="C379" s="15"/>
      <c r="D379" s="111" t="s">
        <v>6</v>
      </c>
      <c r="E379" s="111" t="s">
        <v>7</v>
      </c>
      <c r="F379" s="106" t="s">
        <v>8</v>
      </c>
      <c r="G379" s="24"/>
      <c r="H379" s="24"/>
      <c r="I379" s="24">
        <v>1380338</v>
      </c>
      <c r="J379" s="24"/>
      <c r="K379" s="24">
        <f t="shared" si="54"/>
        <v>1380338</v>
      </c>
      <c r="L379" s="24"/>
      <c r="M379" s="24"/>
      <c r="N379" s="24">
        <v>1362299.11</v>
      </c>
      <c r="O379" s="24"/>
      <c r="P379" s="24">
        <f t="shared" si="51"/>
        <v>1362299.11</v>
      </c>
      <c r="Q379" s="30">
        <f t="shared" si="49"/>
        <v>0.9869315414050762</v>
      </c>
    </row>
    <row r="380" spans="1:17" ht="48.75">
      <c r="A380" s="15"/>
      <c r="B380" s="20"/>
      <c r="C380" s="15"/>
      <c r="D380" s="111" t="s">
        <v>200</v>
      </c>
      <c r="E380" s="111" t="s">
        <v>7</v>
      </c>
      <c r="F380" s="106" t="s">
        <v>201</v>
      </c>
      <c r="G380" s="24">
        <v>1518750</v>
      </c>
      <c r="H380" s="24"/>
      <c r="I380" s="24"/>
      <c r="J380" s="24"/>
      <c r="K380" s="24">
        <f t="shared" si="54"/>
        <v>1518750</v>
      </c>
      <c r="L380" s="24">
        <v>1518750</v>
      </c>
      <c r="M380" s="24"/>
      <c r="N380" s="24"/>
      <c r="O380" s="24"/>
      <c r="P380" s="24">
        <f t="shared" si="51"/>
        <v>1518750</v>
      </c>
      <c r="Q380" s="30">
        <f t="shared" si="49"/>
        <v>1</v>
      </c>
    </row>
    <row r="381" spans="1:17" s="39" customFormat="1" ht="98.25" customHeight="1">
      <c r="A381" s="38"/>
      <c r="B381" s="44"/>
      <c r="C381" s="104"/>
      <c r="D381" s="121">
        <v>291</v>
      </c>
      <c r="E381" s="121">
        <v>0</v>
      </c>
      <c r="F381" s="106" t="s">
        <v>346</v>
      </c>
      <c r="G381" s="41"/>
      <c r="H381" s="41"/>
      <c r="I381" s="41"/>
      <c r="J381" s="41"/>
      <c r="K381" s="45">
        <f t="shared" si="54"/>
        <v>0</v>
      </c>
      <c r="L381" s="45">
        <v>2934</v>
      </c>
      <c r="M381" s="45"/>
      <c r="N381" s="41"/>
      <c r="O381" s="41"/>
      <c r="P381" s="24">
        <f t="shared" si="51"/>
        <v>2934</v>
      </c>
      <c r="Q381" s="30"/>
    </row>
    <row r="382" spans="1:17" ht="12.75">
      <c r="A382" s="15"/>
      <c r="B382" s="16" t="s">
        <v>263</v>
      </c>
      <c r="C382" s="17"/>
      <c r="D382" s="123"/>
      <c r="E382" s="123"/>
      <c r="F382" s="107"/>
      <c r="G382" s="26">
        <f>SUM(G378:G380)</f>
        <v>1690942</v>
      </c>
      <c r="H382" s="26">
        <f>SUM(H378:H380)</f>
        <v>0</v>
      </c>
      <c r="I382" s="26">
        <f>SUM(I378:I380)</f>
        <v>1380338</v>
      </c>
      <c r="J382" s="26">
        <f>SUM(J378:J380)</f>
        <v>0</v>
      </c>
      <c r="K382" s="26">
        <f t="shared" si="54"/>
        <v>3071280</v>
      </c>
      <c r="L382" s="26">
        <f>SUM(L377:L381)</f>
        <v>1694787.8</v>
      </c>
      <c r="M382" s="26">
        <f>SUM(M377:M381)</f>
        <v>0</v>
      </c>
      <c r="N382" s="26">
        <f>SUM(N377:N381)</f>
        <v>1362299.11</v>
      </c>
      <c r="O382" s="26">
        <f>SUM(O377:O381)</f>
        <v>0</v>
      </c>
      <c r="P382" s="26">
        <f t="shared" si="51"/>
        <v>3057086.91</v>
      </c>
      <c r="Q382" s="27">
        <f t="shared" si="49"/>
        <v>0.995378770414941</v>
      </c>
    </row>
    <row r="383" spans="1:17" ht="12.75">
      <c r="A383" s="18" t="s">
        <v>264</v>
      </c>
      <c r="B383" s="19"/>
      <c r="C383" s="19"/>
      <c r="D383" s="124"/>
      <c r="E383" s="124"/>
      <c r="F383" s="108"/>
      <c r="G383" s="28">
        <f aca="true" t="shared" si="57" ref="G383:O383">SUM(G382,G376,G371,G364,G361,G358,G352,G348,G345,G343,G340,G330,G319,G313)</f>
        <v>15779109</v>
      </c>
      <c r="H383" s="28">
        <f t="shared" si="57"/>
        <v>580056</v>
      </c>
      <c r="I383" s="28">
        <f t="shared" si="57"/>
        <v>48131697</v>
      </c>
      <c r="J383" s="28">
        <f t="shared" si="57"/>
        <v>398710</v>
      </c>
      <c r="K383" s="28">
        <f t="shared" si="57"/>
        <v>64889572</v>
      </c>
      <c r="L383" s="28">
        <f t="shared" si="57"/>
        <v>16159460.81</v>
      </c>
      <c r="M383" s="28">
        <f t="shared" si="57"/>
        <v>695386.4199999999</v>
      </c>
      <c r="N383" s="28">
        <f t="shared" si="57"/>
        <v>47465451.62</v>
      </c>
      <c r="O383" s="28">
        <f t="shared" si="57"/>
        <v>393632.89</v>
      </c>
      <c r="P383" s="28">
        <f t="shared" si="51"/>
        <v>64713931.739999995</v>
      </c>
      <c r="Q383" s="29">
        <f t="shared" si="49"/>
        <v>0.997293243666332</v>
      </c>
    </row>
    <row r="384" spans="1:17" ht="12.75">
      <c r="A384" s="149" t="s">
        <v>340</v>
      </c>
      <c r="B384" s="13" t="s">
        <v>265</v>
      </c>
      <c r="C384" s="14" t="s">
        <v>266</v>
      </c>
      <c r="D384" s="111" t="s">
        <v>21</v>
      </c>
      <c r="E384" s="111" t="s">
        <v>7</v>
      </c>
      <c r="F384" s="106" t="s">
        <v>22</v>
      </c>
      <c r="G384" s="24">
        <v>969175</v>
      </c>
      <c r="H384" s="24"/>
      <c r="I384" s="24"/>
      <c r="J384" s="24"/>
      <c r="K384" s="24">
        <f t="shared" si="54"/>
        <v>969175</v>
      </c>
      <c r="L384" s="24">
        <v>938843.5</v>
      </c>
      <c r="M384" s="24"/>
      <c r="N384" s="24"/>
      <c r="O384" s="24"/>
      <c r="P384" s="24">
        <f t="shared" si="51"/>
        <v>938843.5</v>
      </c>
      <c r="Q384" s="30">
        <f t="shared" si="49"/>
        <v>0.968703794464364</v>
      </c>
    </row>
    <row r="385" spans="1:17" ht="12.75">
      <c r="A385" s="156"/>
      <c r="B385" s="20"/>
      <c r="C385" s="15"/>
      <c r="D385" s="111" t="s">
        <v>23</v>
      </c>
      <c r="E385" s="111" t="s">
        <v>7</v>
      </c>
      <c r="F385" s="106" t="s">
        <v>24</v>
      </c>
      <c r="G385" s="24">
        <v>600</v>
      </c>
      <c r="H385" s="24"/>
      <c r="I385" s="24"/>
      <c r="J385" s="24"/>
      <c r="K385" s="24">
        <f t="shared" si="54"/>
        <v>600</v>
      </c>
      <c r="L385" s="24">
        <v>603.12</v>
      </c>
      <c r="M385" s="24"/>
      <c r="N385" s="24"/>
      <c r="O385" s="24"/>
      <c r="P385" s="24">
        <f t="shared" si="51"/>
        <v>603.12</v>
      </c>
      <c r="Q385" s="30">
        <f t="shared" si="49"/>
        <v>1.0052</v>
      </c>
    </row>
    <row r="386" spans="1:17" ht="48.75">
      <c r="A386" s="150"/>
      <c r="B386" s="20"/>
      <c r="C386" s="15"/>
      <c r="D386" s="111" t="s">
        <v>200</v>
      </c>
      <c r="E386" s="111" t="s">
        <v>7</v>
      </c>
      <c r="F386" s="106" t="s">
        <v>201</v>
      </c>
      <c r="G386" s="24">
        <v>553767</v>
      </c>
      <c r="H386" s="24"/>
      <c r="I386" s="24"/>
      <c r="J386" s="24"/>
      <c r="K386" s="24">
        <f t="shared" si="54"/>
        <v>553767</v>
      </c>
      <c r="L386" s="24">
        <v>492764.65</v>
      </c>
      <c r="M386" s="24"/>
      <c r="N386" s="24"/>
      <c r="O386" s="24"/>
      <c r="P386" s="24">
        <f t="shared" si="51"/>
        <v>492764.65</v>
      </c>
      <c r="Q386" s="30">
        <f t="shared" si="49"/>
        <v>0.8898411245162677</v>
      </c>
    </row>
    <row r="387" spans="1:17" ht="12.75">
      <c r="A387" s="15"/>
      <c r="B387" s="16" t="s">
        <v>267</v>
      </c>
      <c r="C387" s="17"/>
      <c r="D387" s="123"/>
      <c r="E387" s="123"/>
      <c r="F387" s="107"/>
      <c r="G387" s="26">
        <f>SUM(G384:G386)</f>
        <v>1523542</v>
      </c>
      <c r="H387" s="26">
        <f aca="true" t="shared" si="58" ref="H387:O387">SUM(H384:H386)</f>
        <v>0</v>
      </c>
      <c r="I387" s="26">
        <f t="shared" si="58"/>
        <v>0</v>
      </c>
      <c r="J387" s="26">
        <f t="shared" si="58"/>
        <v>0</v>
      </c>
      <c r="K387" s="26">
        <f t="shared" si="54"/>
        <v>1523542</v>
      </c>
      <c r="L387" s="26">
        <f t="shared" si="58"/>
        <v>1432211.27</v>
      </c>
      <c r="M387" s="26">
        <f t="shared" si="58"/>
        <v>0</v>
      </c>
      <c r="N387" s="26">
        <f t="shared" si="58"/>
        <v>0</v>
      </c>
      <c r="O387" s="26">
        <f t="shared" si="58"/>
        <v>0</v>
      </c>
      <c r="P387" s="26">
        <f t="shared" si="51"/>
        <v>1432211.27</v>
      </c>
      <c r="Q387" s="27">
        <f t="shared" si="49"/>
        <v>0.940053684112417</v>
      </c>
    </row>
    <row r="388" spans="1:17" s="54" customFormat="1" ht="12.75">
      <c r="A388" s="38"/>
      <c r="B388" s="13">
        <v>85311</v>
      </c>
      <c r="C388" s="133" t="s">
        <v>268</v>
      </c>
      <c r="D388" s="111" t="s">
        <v>40</v>
      </c>
      <c r="E388" s="111" t="s">
        <v>7</v>
      </c>
      <c r="F388" s="106" t="s">
        <v>41</v>
      </c>
      <c r="G388" s="74"/>
      <c r="H388" s="74"/>
      <c r="I388" s="74"/>
      <c r="J388" s="74"/>
      <c r="K388" s="74">
        <f t="shared" si="54"/>
        <v>0</v>
      </c>
      <c r="L388" s="74">
        <v>4932</v>
      </c>
      <c r="M388" s="74"/>
      <c r="N388" s="74"/>
      <c r="O388" s="74"/>
      <c r="P388" s="24">
        <f t="shared" si="51"/>
        <v>4932</v>
      </c>
      <c r="Q388" s="75"/>
    </row>
    <row r="389" spans="1:17" s="54" customFormat="1" ht="12.75">
      <c r="A389" s="38"/>
      <c r="B389" s="62"/>
      <c r="C389" s="134"/>
      <c r="D389" s="111" t="s">
        <v>23</v>
      </c>
      <c r="E389" s="111" t="s">
        <v>7</v>
      </c>
      <c r="F389" s="106" t="s">
        <v>24</v>
      </c>
      <c r="G389" s="74"/>
      <c r="H389" s="74"/>
      <c r="I389" s="74"/>
      <c r="J389" s="74"/>
      <c r="K389" s="74">
        <f t="shared" si="54"/>
        <v>0</v>
      </c>
      <c r="L389" s="74">
        <v>0.63</v>
      </c>
      <c r="M389" s="74"/>
      <c r="N389" s="74"/>
      <c r="O389" s="74"/>
      <c r="P389" s="24">
        <f aca="true" t="shared" si="59" ref="P389:P454">SUM(L389:O389)</f>
        <v>0.63</v>
      </c>
      <c r="Q389" s="75"/>
    </row>
    <row r="390" spans="1:17" ht="63.75" customHeight="1">
      <c r="A390" s="15"/>
      <c r="B390" s="62"/>
      <c r="C390" s="134"/>
      <c r="D390" s="111" t="s">
        <v>231</v>
      </c>
      <c r="E390" s="111" t="s">
        <v>7</v>
      </c>
      <c r="F390" s="106" t="s">
        <v>232</v>
      </c>
      <c r="G390" s="24"/>
      <c r="H390" s="24">
        <v>4932</v>
      </c>
      <c r="I390" s="24"/>
      <c r="J390" s="24"/>
      <c r="K390" s="24">
        <f t="shared" si="54"/>
        <v>4932</v>
      </c>
      <c r="L390" s="24"/>
      <c r="M390" s="24">
        <v>685</v>
      </c>
      <c r="N390" s="24"/>
      <c r="O390" s="24"/>
      <c r="P390" s="24">
        <f t="shared" si="59"/>
        <v>685</v>
      </c>
      <c r="Q390" s="30">
        <f t="shared" si="49"/>
        <v>0.1388888888888889</v>
      </c>
    </row>
    <row r="391" spans="1:17" s="54" customFormat="1" ht="97.5" customHeight="1">
      <c r="A391" s="38"/>
      <c r="B391" s="76"/>
      <c r="C391" s="105"/>
      <c r="D391" s="121">
        <v>291</v>
      </c>
      <c r="E391" s="121">
        <v>0</v>
      </c>
      <c r="F391" s="106" t="s">
        <v>346</v>
      </c>
      <c r="G391" s="74"/>
      <c r="H391" s="74"/>
      <c r="I391" s="74"/>
      <c r="J391" s="74"/>
      <c r="K391" s="74">
        <f t="shared" si="54"/>
        <v>0</v>
      </c>
      <c r="L391" s="74">
        <v>400</v>
      </c>
      <c r="M391" s="74"/>
      <c r="N391" s="74"/>
      <c r="O391" s="74"/>
      <c r="P391" s="24">
        <f t="shared" si="59"/>
        <v>400</v>
      </c>
      <c r="Q391" s="75"/>
    </row>
    <row r="392" spans="1:17" ht="12.75">
      <c r="A392" s="15"/>
      <c r="B392" s="16" t="s">
        <v>269</v>
      </c>
      <c r="C392" s="17"/>
      <c r="D392" s="123"/>
      <c r="E392" s="123"/>
      <c r="F392" s="107"/>
      <c r="G392" s="26">
        <f>SUM(G390)</f>
        <v>0</v>
      </c>
      <c r="H392" s="26">
        <f>SUM(H390)</f>
        <v>4932</v>
      </c>
      <c r="I392" s="26">
        <f>SUM(I390)</f>
        <v>0</v>
      </c>
      <c r="J392" s="26">
        <f>SUM(J390)</f>
        <v>0</v>
      </c>
      <c r="K392" s="26">
        <f t="shared" si="54"/>
        <v>4932</v>
      </c>
      <c r="L392" s="26">
        <f>SUM(L388:L391)</f>
        <v>5332.63</v>
      </c>
      <c r="M392" s="26">
        <f>SUM(M388:M391)</f>
        <v>685</v>
      </c>
      <c r="N392" s="26">
        <f>SUM(N388:N391)</f>
        <v>0</v>
      </c>
      <c r="O392" s="26">
        <f>SUM(O388:O391)</f>
        <v>0</v>
      </c>
      <c r="P392" s="26">
        <f t="shared" si="59"/>
        <v>6017.63</v>
      </c>
      <c r="Q392" s="27">
        <f t="shared" si="49"/>
        <v>1.2201196269261962</v>
      </c>
    </row>
    <row r="393" spans="1:17" ht="54.75" customHeight="1">
      <c r="A393" s="15"/>
      <c r="B393" s="13" t="s">
        <v>270</v>
      </c>
      <c r="C393" s="14" t="s">
        <v>271</v>
      </c>
      <c r="D393" s="111" t="s">
        <v>61</v>
      </c>
      <c r="E393" s="111" t="s">
        <v>7</v>
      </c>
      <c r="F393" s="106" t="s">
        <v>62</v>
      </c>
      <c r="G393" s="24"/>
      <c r="H393" s="24"/>
      <c r="I393" s="24"/>
      <c r="J393" s="24">
        <v>464700</v>
      </c>
      <c r="K393" s="24">
        <f t="shared" si="54"/>
        <v>464700</v>
      </c>
      <c r="L393" s="24"/>
      <c r="M393" s="24"/>
      <c r="N393" s="24"/>
      <c r="O393" s="24">
        <v>456144.6</v>
      </c>
      <c r="P393" s="24">
        <f t="shared" si="59"/>
        <v>456144.6</v>
      </c>
      <c r="Q393" s="30">
        <f t="shared" si="49"/>
        <v>0.9815894125242092</v>
      </c>
    </row>
    <row r="394" spans="1:17" ht="62.25" customHeight="1">
      <c r="A394" s="15"/>
      <c r="B394" s="20"/>
      <c r="C394" s="15"/>
      <c r="D394" s="111" t="s">
        <v>231</v>
      </c>
      <c r="E394" s="111" t="s">
        <v>7</v>
      </c>
      <c r="F394" s="106" t="s">
        <v>232</v>
      </c>
      <c r="G394" s="24"/>
      <c r="H394" s="24">
        <v>26739</v>
      </c>
      <c r="I394" s="24"/>
      <c r="J394" s="24"/>
      <c r="K394" s="24">
        <f t="shared" si="54"/>
        <v>26739</v>
      </c>
      <c r="L394" s="24"/>
      <c r="M394" s="24">
        <v>41750.29</v>
      </c>
      <c r="N394" s="24"/>
      <c r="O394" s="24"/>
      <c r="P394" s="24">
        <f t="shared" si="59"/>
        <v>41750.29</v>
      </c>
      <c r="Q394" s="30">
        <f t="shared" si="49"/>
        <v>1.561400575937769</v>
      </c>
    </row>
    <row r="395" spans="1:17" ht="68.25">
      <c r="A395" s="15"/>
      <c r="B395" s="37"/>
      <c r="C395" s="83"/>
      <c r="D395" s="111" t="s">
        <v>63</v>
      </c>
      <c r="E395" s="111" t="s">
        <v>7</v>
      </c>
      <c r="F395" s="106" t="s">
        <v>64</v>
      </c>
      <c r="G395" s="24"/>
      <c r="H395" s="24"/>
      <c r="I395" s="24"/>
      <c r="J395" s="24"/>
      <c r="K395" s="24"/>
      <c r="L395" s="24">
        <v>1386.6</v>
      </c>
      <c r="M395" s="24"/>
      <c r="N395" s="24"/>
      <c r="O395" s="24"/>
      <c r="P395" s="24">
        <f t="shared" si="59"/>
        <v>1386.6</v>
      </c>
      <c r="Q395" s="30"/>
    </row>
    <row r="396" spans="1:17" ht="12.75">
      <c r="A396" s="15"/>
      <c r="B396" s="16" t="s">
        <v>272</v>
      </c>
      <c r="C396" s="17"/>
      <c r="D396" s="123"/>
      <c r="E396" s="123"/>
      <c r="F396" s="107"/>
      <c r="G396" s="26">
        <f>SUM(G393:G394)</f>
        <v>0</v>
      </c>
      <c r="H396" s="26">
        <f>SUM(H393:H394)</f>
        <v>26739</v>
      </c>
      <c r="I396" s="26">
        <f>SUM(I393:I394)</f>
        <v>0</v>
      </c>
      <c r="J396" s="26">
        <f>SUM(J393:J394)</f>
        <v>464700</v>
      </c>
      <c r="K396" s="26">
        <f t="shared" si="54"/>
        <v>491439</v>
      </c>
      <c r="L396" s="26">
        <f>SUM(L393:L395)</f>
        <v>1386.6</v>
      </c>
      <c r="M396" s="26">
        <f>SUM(M393:M395)</f>
        <v>41750.29</v>
      </c>
      <c r="N396" s="26">
        <f>SUM(N393:N395)</f>
        <v>0</v>
      </c>
      <c r="O396" s="26">
        <f>SUM(O393:O395)</f>
        <v>456144.6</v>
      </c>
      <c r="P396" s="26">
        <f t="shared" si="59"/>
        <v>499281.49</v>
      </c>
      <c r="Q396" s="27">
        <f t="shared" si="49"/>
        <v>1.0159582165843573</v>
      </c>
    </row>
    <row r="397" spans="1:17" ht="19.5">
      <c r="A397" s="15"/>
      <c r="B397" s="13">
        <v>85333</v>
      </c>
      <c r="C397" s="14" t="s">
        <v>273</v>
      </c>
      <c r="D397" s="111" t="s">
        <v>25</v>
      </c>
      <c r="E397" s="111" t="s">
        <v>7</v>
      </c>
      <c r="F397" s="106" t="s">
        <v>26</v>
      </c>
      <c r="G397" s="24"/>
      <c r="H397" s="24"/>
      <c r="I397" s="24"/>
      <c r="J397" s="24"/>
      <c r="K397" s="24">
        <f t="shared" si="54"/>
        <v>0</v>
      </c>
      <c r="L397" s="24">
        <v>826</v>
      </c>
      <c r="M397" s="24"/>
      <c r="N397" s="24"/>
      <c r="O397" s="24"/>
      <c r="P397" s="24">
        <f t="shared" si="59"/>
        <v>826</v>
      </c>
      <c r="Q397" s="30"/>
    </row>
    <row r="398" spans="1:17" ht="54.75" customHeight="1">
      <c r="A398" s="15"/>
      <c r="B398" s="37"/>
      <c r="C398" s="63"/>
      <c r="D398" s="111" t="s">
        <v>27</v>
      </c>
      <c r="E398" s="111" t="s">
        <v>28</v>
      </c>
      <c r="F398" s="130" t="s">
        <v>29</v>
      </c>
      <c r="G398" s="24">
        <v>631619</v>
      </c>
      <c r="H398" s="24"/>
      <c r="I398" s="24"/>
      <c r="J398" s="24"/>
      <c r="K398" s="24">
        <f t="shared" si="54"/>
        <v>631619</v>
      </c>
      <c r="L398" s="24">
        <f>548888.87+61.07</f>
        <v>548949.94</v>
      </c>
      <c r="M398" s="24"/>
      <c r="N398" s="24"/>
      <c r="O398" s="24"/>
      <c r="P398" s="24">
        <f t="shared" si="59"/>
        <v>548949.94</v>
      </c>
      <c r="Q398" s="30">
        <f t="shared" si="49"/>
        <v>0.8691156219176434</v>
      </c>
    </row>
    <row r="399" spans="1:17" ht="28.5" customHeight="1">
      <c r="A399" s="15"/>
      <c r="B399" s="20"/>
      <c r="C399" s="15"/>
      <c r="D399" s="111"/>
      <c r="E399" s="111" t="s">
        <v>85</v>
      </c>
      <c r="F399" s="131"/>
      <c r="G399" s="24">
        <v>111463</v>
      </c>
      <c r="H399" s="24"/>
      <c r="I399" s="24"/>
      <c r="J399" s="24"/>
      <c r="K399" s="24">
        <f t="shared" si="54"/>
        <v>111463</v>
      </c>
      <c r="L399" s="24">
        <f>92726.25+10.77</f>
        <v>92737.02</v>
      </c>
      <c r="M399" s="24"/>
      <c r="N399" s="24"/>
      <c r="O399" s="24"/>
      <c r="P399" s="24">
        <f t="shared" si="59"/>
        <v>92737.02</v>
      </c>
      <c r="Q399" s="30">
        <f t="shared" si="49"/>
        <v>0.8319982415689512</v>
      </c>
    </row>
    <row r="400" spans="1:17" ht="69" customHeight="1">
      <c r="A400" s="15"/>
      <c r="B400" s="20"/>
      <c r="C400" s="15"/>
      <c r="D400" s="111" t="s">
        <v>231</v>
      </c>
      <c r="E400" s="111" t="s">
        <v>7</v>
      </c>
      <c r="F400" s="106" t="s">
        <v>232</v>
      </c>
      <c r="G400" s="24"/>
      <c r="H400" s="24">
        <v>475000</v>
      </c>
      <c r="I400" s="24"/>
      <c r="J400" s="24"/>
      <c r="K400" s="24">
        <f t="shared" si="54"/>
        <v>475000</v>
      </c>
      <c r="L400" s="24"/>
      <c r="M400" s="24">
        <v>485868.96</v>
      </c>
      <c r="N400" s="24"/>
      <c r="O400" s="24"/>
      <c r="P400" s="24">
        <f t="shared" si="59"/>
        <v>485868.96</v>
      </c>
      <c r="Q400" s="30">
        <f t="shared" si="49"/>
        <v>1.0228820210526317</v>
      </c>
    </row>
    <row r="401" spans="1:17" ht="64.5" customHeight="1">
      <c r="A401" s="15"/>
      <c r="B401" s="20"/>
      <c r="C401" s="15"/>
      <c r="D401" s="111" t="s">
        <v>274</v>
      </c>
      <c r="E401" s="111" t="s">
        <v>7</v>
      </c>
      <c r="F401" s="106" t="s">
        <v>275</v>
      </c>
      <c r="G401" s="24">
        <v>471385</v>
      </c>
      <c r="H401" s="24"/>
      <c r="I401" s="24"/>
      <c r="J401" s="24"/>
      <c r="K401" s="24">
        <f t="shared" si="54"/>
        <v>471385</v>
      </c>
      <c r="L401" s="24">
        <v>471400</v>
      </c>
      <c r="M401" s="24"/>
      <c r="N401" s="24"/>
      <c r="O401" s="24"/>
      <c r="P401" s="24">
        <f t="shared" si="59"/>
        <v>471400</v>
      </c>
      <c r="Q401" s="30">
        <f t="shared" si="49"/>
        <v>1.0000318211228614</v>
      </c>
    </row>
    <row r="402" spans="1:17" ht="12.75">
      <c r="A402" s="15"/>
      <c r="B402" s="16" t="s">
        <v>276</v>
      </c>
      <c r="C402" s="17"/>
      <c r="D402" s="123"/>
      <c r="E402" s="123"/>
      <c r="F402" s="107"/>
      <c r="G402" s="26">
        <f>SUM(G398:G401)</f>
        <v>1214467</v>
      </c>
      <c r="H402" s="26">
        <f>SUM(H398:H401)</f>
        <v>475000</v>
      </c>
      <c r="I402" s="26">
        <f>SUM(I398:I401)</f>
        <v>0</v>
      </c>
      <c r="J402" s="26">
        <f>SUM(J398:J401)</f>
        <v>0</v>
      </c>
      <c r="K402" s="26">
        <f t="shared" si="54"/>
        <v>1689467</v>
      </c>
      <c r="L402" s="26">
        <f>SUM(L397:L401)</f>
        <v>1113912.96</v>
      </c>
      <c r="M402" s="26">
        <f>SUM(M397:M401)</f>
        <v>485868.96</v>
      </c>
      <c r="N402" s="26">
        <f>SUM(N397:N401)</f>
        <v>0</v>
      </c>
      <c r="O402" s="26">
        <f>SUM(O397:O401)</f>
        <v>0</v>
      </c>
      <c r="P402" s="26">
        <f t="shared" si="59"/>
        <v>1599781.92</v>
      </c>
      <c r="Q402" s="27">
        <f t="shared" si="49"/>
        <v>0.946915163184602</v>
      </c>
    </row>
    <row r="403" spans="1:17" ht="12.75">
      <c r="A403" s="15"/>
      <c r="B403" s="13" t="s">
        <v>277</v>
      </c>
      <c r="C403" s="133" t="s">
        <v>5</v>
      </c>
      <c r="D403" s="111" t="s">
        <v>21</v>
      </c>
      <c r="E403" s="111" t="s">
        <v>7</v>
      </c>
      <c r="F403" s="106" t="s">
        <v>22</v>
      </c>
      <c r="G403" s="24">
        <v>255800</v>
      </c>
      <c r="H403" s="24"/>
      <c r="I403" s="24"/>
      <c r="J403" s="24"/>
      <c r="K403" s="24">
        <f t="shared" si="54"/>
        <v>255800</v>
      </c>
      <c r="L403" s="24">
        <v>207393.67</v>
      </c>
      <c r="M403" s="24"/>
      <c r="N403" s="24"/>
      <c r="O403" s="24"/>
      <c r="P403" s="24">
        <f t="shared" si="59"/>
        <v>207393.67</v>
      </c>
      <c r="Q403" s="30">
        <f t="shared" si="49"/>
        <v>0.8107649335418297</v>
      </c>
    </row>
    <row r="404" spans="1:17" ht="92.25" customHeight="1">
      <c r="A404" s="15"/>
      <c r="B404" s="37"/>
      <c r="C404" s="134"/>
      <c r="D404" s="120" t="s">
        <v>353</v>
      </c>
      <c r="E404" s="121">
        <v>0</v>
      </c>
      <c r="F404" s="106" t="s">
        <v>354</v>
      </c>
      <c r="G404" s="24"/>
      <c r="H404" s="24"/>
      <c r="I404" s="24"/>
      <c r="J404" s="24"/>
      <c r="K404" s="24">
        <f t="shared" si="54"/>
        <v>0</v>
      </c>
      <c r="L404" s="24">
        <v>7350.37</v>
      </c>
      <c r="M404" s="24"/>
      <c r="N404" s="24"/>
      <c r="O404" s="24"/>
      <c r="P404" s="24">
        <f t="shared" si="59"/>
        <v>7350.37</v>
      </c>
      <c r="Q404" s="30"/>
    </row>
    <row r="405" spans="1:17" ht="12.75">
      <c r="A405" s="15"/>
      <c r="B405" s="37"/>
      <c r="C405" s="134"/>
      <c r="D405" s="132" t="s">
        <v>23</v>
      </c>
      <c r="E405" s="111" t="s">
        <v>7</v>
      </c>
      <c r="F405" s="130" t="s">
        <v>24</v>
      </c>
      <c r="G405" s="24">
        <v>5049</v>
      </c>
      <c r="H405" s="24"/>
      <c r="I405" s="24"/>
      <c r="J405" s="24"/>
      <c r="K405" s="24">
        <f t="shared" si="54"/>
        <v>5049</v>
      </c>
      <c r="L405" s="24">
        <v>193.56</v>
      </c>
      <c r="M405" s="24"/>
      <c r="N405" s="24"/>
      <c r="O405" s="24"/>
      <c r="P405" s="24">
        <f t="shared" si="59"/>
        <v>193.56</v>
      </c>
      <c r="Q405" s="30">
        <f t="shared" si="49"/>
        <v>0.03833630421865716</v>
      </c>
    </row>
    <row r="406" spans="1:17" ht="12.75">
      <c r="A406" s="15"/>
      <c r="B406" s="37"/>
      <c r="C406" s="134"/>
      <c r="D406" s="132"/>
      <c r="E406" s="111">
        <v>7</v>
      </c>
      <c r="F406" s="131"/>
      <c r="G406" s="24"/>
      <c r="H406" s="24"/>
      <c r="I406" s="24"/>
      <c r="J406" s="24"/>
      <c r="K406" s="24">
        <f t="shared" si="54"/>
        <v>0</v>
      </c>
      <c r="L406" s="24">
        <v>758.03</v>
      </c>
      <c r="M406" s="24"/>
      <c r="N406" s="24"/>
      <c r="O406" s="24"/>
      <c r="P406" s="24">
        <f t="shared" si="59"/>
        <v>758.03</v>
      </c>
      <c r="Q406" s="30"/>
    </row>
    <row r="407" spans="1:17" ht="19.5">
      <c r="A407" s="15"/>
      <c r="B407" s="37"/>
      <c r="C407" s="134"/>
      <c r="D407" s="111" t="s">
        <v>25</v>
      </c>
      <c r="E407" s="111" t="s">
        <v>7</v>
      </c>
      <c r="F407" s="106" t="s">
        <v>26</v>
      </c>
      <c r="G407" s="24">
        <v>3183</v>
      </c>
      <c r="H407" s="24"/>
      <c r="I407" s="24"/>
      <c r="J407" s="24"/>
      <c r="K407" s="24">
        <f t="shared" si="54"/>
        <v>3183</v>
      </c>
      <c r="L407" s="24">
        <v>59233.57</v>
      </c>
      <c r="M407" s="24"/>
      <c r="N407" s="24"/>
      <c r="O407" s="24"/>
      <c r="P407" s="24">
        <f t="shared" si="59"/>
        <v>59233.57</v>
      </c>
      <c r="Q407" s="30">
        <f t="shared" si="49"/>
        <v>18.609352811812755</v>
      </c>
    </row>
    <row r="408" spans="1:17" ht="57.75" customHeight="1">
      <c r="A408" s="15"/>
      <c r="B408" s="20"/>
      <c r="C408" s="137"/>
      <c r="D408" s="132" t="s">
        <v>27</v>
      </c>
      <c r="E408" s="111" t="s">
        <v>28</v>
      </c>
      <c r="F408" s="130" t="s">
        <v>29</v>
      </c>
      <c r="G408" s="24">
        <v>606291</v>
      </c>
      <c r="H408" s="24"/>
      <c r="I408" s="24"/>
      <c r="J408" s="24"/>
      <c r="K408" s="24">
        <f t="shared" si="54"/>
        <v>606291</v>
      </c>
      <c r="L408" s="24">
        <v>489716.1</v>
      </c>
      <c r="M408" s="24"/>
      <c r="N408" s="24"/>
      <c r="O408" s="24"/>
      <c r="P408" s="24">
        <f t="shared" si="59"/>
        <v>489716.1</v>
      </c>
      <c r="Q408" s="30">
        <f t="shared" si="49"/>
        <v>0.807724508528083</v>
      </c>
    </row>
    <row r="409" spans="1:17" ht="42" customHeight="1">
      <c r="A409" s="15"/>
      <c r="B409" s="20"/>
      <c r="C409" s="15"/>
      <c r="D409" s="132"/>
      <c r="E409" s="111" t="s">
        <v>85</v>
      </c>
      <c r="F409" s="131"/>
      <c r="G409" s="24">
        <v>89006</v>
      </c>
      <c r="H409" s="24"/>
      <c r="I409" s="24"/>
      <c r="J409" s="24"/>
      <c r="K409" s="24">
        <f t="shared" si="54"/>
        <v>89006</v>
      </c>
      <c r="L409" s="24">
        <v>81100.86</v>
      </c>
      <c r="M409" s="24"/>
      <c r="N409" s="24"/>
      <c r="O409" s="24"/>
      <c r="P409" s="24">
        <f t="shared" si="59"/>
        <v>81100.86</v>
      </c>
      <c r="Q409" s="30">
        <f t="shared" si="49"/>
        <v>0.9111841898298991</v>
      </c>
    </row>
    <row r="410" spans="1:17" s="54" customFormat="1" ht="109.5" customHeight="1">
      <c r="A410" s="38"/>
      <c r="B410" s="76"/>
      <c r="C410" s="105"/>
      <c r="D410" s="121">
        <v>291</v>
      </c>
      <c r="E410" s="121">
        <v>0</v>
      </c>
      <c r="F410" s="106" t="s">
        <v>346</v>
      </c>
      <c r="G410" s="74"/>
      <c r="H410" s="74"/>
      <c r="I410" s="74"/>
      <c r="J410" s="74"/>
      <c r="K410" s="74">
        <f t="shared" si="54"/>
        <v>0</v>
      </c>
      <c r="L410" s="74">
        <v>382.48</v>
      </c>
      <c r="M410" s="74"/>
      <c r="N410" s="74"/>
      <c r="O410" s="74"/>
      <c r="P410" s="24">
        <f t="shared" si="59"/>
        <v>382.48</v>
      </c>
      <c r="Q410" s="75"/>
    </row>
    <row r="411" spans="1:17" ht="12.75">
      <c r="A411" s="15"/>
      <c r="B411" s="16" t="s">
        <v>278</v>
      </c>
      <c r="C411" s="17"/>
      <c r="D411" s="123"/>
      <c r="E411" s="123"/>
      <c r="F411" s="107"/>
      <c r="G411" s="26">
        <f>SUM(G403:G409)</f>
        <v>959329</v>
      </c>
      <c r="H411" s="26">
        <f>SUM(H403:H409)</f>
        <v>0</v>
      </c>
      <c r="I411" s="26">
        <f>SUM(I403:I409)</f>
        <v>0</v>
      </c>
      <c r="J411" s="26">
        <f>SUM(J403:J409)</f>
        <v>0</v>
      </c>
      <c r="K411" s="26">
        <f t="shared" si="54"/>
        <v>959329</v>
      </c>
      <c r="L411" s="26">
        <f>SUM(L403:L410)</f>
        <v>846128.64</v>
      </c>
      <c r="M411" s="26">
        <f>SUM(M403:M410)</f>
        <v>0</v>
      </c>
      <c r="N411" s="26">
        <f>SUM(N403:N410)</f>
        <v>0</v>
      </c>
      <c r="O411" s="26">
        <f>SUM(O403:O410)</f>
        <v>0</v>
      </c>
      <c r="P411" s="26">
        <f t="shared" si="59"/>
        <v>846128.64</v>
      </c>
      <c r="Q411" s="27">
        <f t="shared" si="49"/>
        <v>0.882000481586609</v>
      </c>
    </row>
    <row r="412" spans="1:17" ht="12.75">
      <c r="A412" s="18" t="s">
        <v>279</v>
      </c>
      <c r="B412" s="19"/>
      <c r="C412" s="19"/>
      <c r="D412" s="124"/>
      <c r="E412" s="124"/>
      <c r="F412" s="108"/>
      <c r="G412" s="28">
        <f aca="true" t="shared" si="60" ref="G412:O412">SUM(G411,G402,G396,G392,G387)</f>
        <v>3697338</v>
      </c>
      <c r="H412" s="28">
        <f t="shared" si="60"/>
        <v>506671</v>
      </c>
      <c r="I412" s="28">
        <f t="shared" si="60"/>
        <v>0</v>
      </c>
      <c r="J412" s="28">
        <f t="shared" si="60"/>
        <v>464700</v>
      </c>
      <c r="K412" s="28">
        <f t="shared" si="54"/>
        <v>4668709</v>
      </c>
      <c r="L412" s="28">
        <f t="shared" si="60"/>
        <v>3398972.1</v>
      </c>
      <c r="M412" s="28">
        <f t="shared" si="60"/>
        <v>528304.25</v>
      </c>
      <c r="N412" s="28">
        <f t="shared" si="60"/>
        <v>0</v>
      </c>
      <c r="O412" s="28">
        <f t="shared" si="60"/>
        <v>456144.6</v>
      </c>
      <c r="P412" s="28">
        <f t="shared" si="59"/>
        <v>4383420.95</v>
      </c>
      <c r="Q412" s="29">
        <f t="shared" si="49"/>
        <v>0.9388935892127781</v>
      </c>
    </row>
    <row r="413" spans="1:17" s="39" customFormat="1" ht="12.75">
      <c r="A413" s="149" t="s">
        <v>341</v>
      </c>
      <c r="B413" s="40">
        <v>85403</v>
      </c>
      <c r="C413" s="133" t="s">
        <v>280</v>
      </c>
      <c r="D413" s="111" t="s">
        <v>40</v>
      </c>
      <c r="E413" s="111" t="s">
        <v>7</v>
      </c>
      <c r="F413" s="106" t="s">
        <v>41</v>
      </c>
      <c r="G413" s="52"/>
      <c r="H413" s="52"/>
      <c r="I413" s="52"/>
      <c r="J413" s="52"/>
      <c r="K413" s="45">
        <f t="shared" si="54"/>
        <v>0</v>
      </c>
      <c r="L413" s="45">
        <v>90</v>
      </c>
      <c r="M413" s="45"/>
      <c r="N413" s="45"/>
      <c r="O413" s="45"/>
      <c r="P413" s="24">
        <f t="shared" si="59"/>
        <v>90</v>
      </c>
      <c r="Q413" s="53"/>
    </row>
    <row r="414" spans="1:17" ht="87.75" customHeight="1">
      <c r="A414" s="150"/>
      <c r="B414" s="37"/>
      <c r="C414" s="134"/>
      <c r="D414" s="111" t="s">
        <v>19</v>
      </c>
      <c r="E414" s="111" t="s">
        <v>7</v>
      </c>
      <c r="F414" s="106" t="s">
        <v>20</v>
      </c>
      <c r="G414" s="24">
        <v>24000</v>
      </c>
      <c r="H414" s="24"/>
      <c r="I414" s="24"/>
      <c r="J414" s="24"/>
      <c r="K414" s="24">
        <f t="shared" si="54"/>
        <v>24000</v>
      </c>
      <c r="L414" s="24">
        <v>21969.43</v>
      </c>
      <c r="M414" s="24"/>
      <c r="N414" s="24"/>
      <c r="O414" s="24"/>
      <c r="P414" s="24">
        <f t="shared" si="59"/>
        <v>21969.43</v>
      </c>
      <c r="Q414" s="30">
        <f t="shared" si="49"/>
        <v>0.9153929166666667</v>
      </c>
    </row>
    <row r="415" spans="1:17" ht="12.75">
      <c r="A415" s="15"/>
      <c r="B415" s="20"/>
      <c r="C415" s="134"/>
      <c r="D415" s="111" t="s">
        <v>21</v>
      </c>
      <c r="E415" s="111" t="s">
        <v>7</v>
      </c>
      <c r="F415" s="106" t="s">
        <v>22</v>
      </c>
      <c r="G415" s="24">
        <v>64313</v>
      </c>
      <c r="H415" s="24"/>
      <c r="I415" s="24"/>
      <c r="J415" s="24"/>
      <c r="K415" s="24">
        <f t="shared" si="54"/>
        <v>64313</v>
      </c>
      <c r="L415" s="24">
        <v>69607.98</v>
      </c>
      <c r="M415" s="24"/>
      <c r="N415" s="24"/>
      <c r="O415" s="24"/>
      <c r="P415" s="24">
        <f t="shared" si="59"/>
        <v>69607.98</v>
      </c>
      <c r="Q415" s="30">
        <f t="shared" si="49"/>
        <v>1.0823314104457884</v>
      </c>
    </row>
    <row r="416" spans="1:17" ht="12.75">
      <c r="A416" s="15"/>
      <c r="B416" s="62"/>
      <c r="C416" s="63"/>
      <c r="D416" s="125" t="s">
        <v>23</v>
      </c>
      <c r="E416" s="111">
        <v>0</v>
      </c>
      <c r="F416" s="106" t="s">
        <v>24</v>
      </c>
      <c r="G416" s="24"/>
      <c r="H416" s="24"/>
      <c r="I416" s="24"/>
      <c r="J416" s="24"/>
      <c r="K416" s="24">
        <f t="shared" si="54"/>
        <v>0</v>
      </c>
      <c r="L416" s="24">
        <v>62.43</v>
      </c>
      <c r="M416" s="24"/>
      <c r="N416" s="24"/>
      <c r="O416" s="24"/>
      <c r="P416" s="24">
        <f t="shared" si="59"/>
        <v>62.43</v>
      </c>
      <c r="Q416" s="30"/>
    </row>
    <row r="417" spans="1:17" ht="19.5">
      <c r="A417" s="15"/>
      <c r="B417" s="62"/>
      <c r="C417" s="63"/>
      <c r="D417" s="111" t="s">
        <v>25</v>
      </c>
      <c r="E417" s="111" t="s">
        <v>7</v>
      </c>
      <c r="F417" s="106" t="s">
        <v>26</v>
      </c>
      <c r="G417" s="24"/>
      <c r="H417" s="24"/>
      <c r="I417" s="24"/>
      <c r="J417" s="24"/>
      <c r="K417" s="24">
        <f t="shared" si="54"/>
        <v>0</v>
      </c>
      <c r="L417" s="24">
        <v>475.53</v>
      </c>
      <c r="M417" s="24"/>
      <c r="N417" s="24"/>
      <c r="O417" s="24"/>
      <c r="P417" s="24">
        <f t="shared" si="59"/>
        <v>475.53</v>
      </c>
      <c r="Q417" s="30"/>
    </row>
    <row r="418" spans="1:17" ht="58.5">
      <c r="A418" s="15"/>
      <c r="B418" s="71"/>
      <c r="C418" s="81"/>
      <c r="D418" s="111">
        <v>240</v>
      </c>
      <c r="E418" s="111">
        <v>0</v>
      </c>
      <c r="F418" s="106" t="s">
        <v>361</v>
      </c>
      <c r="G418" s="24"/>
      <c r="H418" s="24"/>
      <c r="I418" s="24"/>
      <c r="J418" s="24"/>
      <c r="K418" s="24"/>
      <c r="L418" s="24">
        <v>19.69</v>
      </c>
      <c r="M418" s="24"/>
      <c r="N418" s="24"/>
      <c r="O418" s="24"/>
      <c r="P418" s="24">
        <f t="shared" si="59"/>
        <v>19.69</v>
      </c>
      <c r="Q418" s="30"/>
    </row>
    <row r="419" spans="1:17" ht="12.75">
      <c r="A419" s="15"/>
      <c r="B419" s="16" t="s">
        <v>281</v>
      </c>
      <c r="C419" s="17"/>
      <c r="D419" s="123"/>
      <c r="E419" s="123"/>
      <c r="F419" s="107"/>
      <c r="G419" s="26">
        <f>SUM(G414:G415)</f>
        <v>88313</v>
      </c>
      <c r="H419" s="26">
        <f>SUM(H414:H415)</f>
        <v>0</v>
      </c>
      <c r="I419" s="26">
        <f>SUM(I414:I415)</f>
        <v>0</v>
      </c>
      <c r="J419" s="26">
        <f>SUM(J414:J415)</f>
        <v>0</v>
      </c>
      <c r="K419" s="26">
        <f t="shared" si="54"/>
        <v>88313</v>
      </c>
      <c r="L419" s="26">
        <f>SUM(L413:L418)</f>
        <v>92225.06</v>
      </c>
      <c r="M419" s="26">
        <f>SUM(M413:M417)</f>
        <v>0</v>
      </c>
      <c r="N419" s="26">
        <f>SUM(N413:N417)</f>
        <v>0</v>
      </c>
      <c r="O419" s="26">
        <f>SUM(O413:O417)</f>
        <v>0</v>
      </c>
      <c r="P419" s="26">
        <f t="shared" si="59"/>
        <v>92225.06</v>
      </c>
      <c r="Q419" s="27">
        <f t="shared" si="49"/>
        <v>1.0442976685199234</v>
      </c>
    </row>
    <row r="420" spans="1:17" ht="95.25" customHeight="1">
      <c r="A420" s="15"/>
      <c r="B420" s="13">
        <v>85404</v>
      </c>
      <c r="C420" s="14" t="s">
        <v>376</v>
      </c>
      <c r="D420" s="121">
        <v>291</v>
      </c>
      <c r="E420" s="121">
        <v>0</v>
      </c>
      <c r="F420" s="106" t="s">
        <v>346</v>
      </c>
      <c r="G420" s="24"/>
      <c r="H420" s="24"/>
      <c r="I420" s="24"/>
      <c r="J420" s="24"/>
      <c r="K420" s="24">
        <f t="shared" si="54"/>
        <v>0</v>
      </c>
      <c r="L420" s="24">
        <v>1391.59</v>
      </c>
      <c r="M420" s="24"/>
      <c r="N420" s="24"/>
      <c r="O420" s="24"/>
      <c r="P420" s="24">
        <f t="shared" si="59"/>
        <v>1391.59</v>
      </c>
      <c r="Q420" s="30"/>
    </row>
    <row r="421" spans="1:17" ht="12.75">
      <c r="A421" s="15"/>
      <c r="B421" s="16" t="s">
        <v>375</v>
      </c>
      <c r="C421" s="17"/>
      <c r="D421" s="123"/>
      <c r="E421" s="123"/>
      <c r="F421" s="107"/>
      <c r="G421" s="26">
        <f aca="true" t="shared" si="61" ref="G421:O421">SUM(G420)</f>
        <v>0</v>
      </c>
      <c r="H421" s="26">
        <f t="shared" si="61"/>
        <v>0</v>
      </c>
      <c r="I421" s="26">
        <f t="shared" si="61"/>
        <v>0</v>
      </c>
      <c r="J421" s="26">
        <f t="shared" si="61"/>
        <v>0</v>
      </c>
      <c r="K421" s="26">
        <f t="shared" si="54"/>
        <v>0</v>
      </c>
      <c r="L421" s="26">
        <f t="shared" si="61"/>
        <v>1391.59</v>
      </c>
      <c r="M421" s="26">
        <f t="shared" si="61"/>
        <v>0</v>
      </c>
      <c r="N421" s="26">
        <f t="shared" si="61"/>
        <v>0</v>
      </c>
      <c r="O421" s="26">
        <f t="shared" si="61"/>
        <v>0</v>
      </c>
      <c r="P421" s="26">
        <f t="shared" si="59"/>
        <v>1391.59</v>
      </c>
      <c r="Q421" s="27"/>
    </row>
    <row r="422" spans="1:17" ht="57" customHeight="1">
      <c r="A422" s="15"/>
      <c r="B422" s="13" t="s">
        <v>282</v>
      </c>
      <c r="C422" s="14" t="s">
        <v>283</v>
      </c>
      <c r="D422" s="111" t="s">
        <v>25</v>
      </c>
      <c r="E422" s="111" t="s">
        <v>7</v>
      </c>
      <c r="F422" s="106" t="s">
        <v>26</v>
      </c>
      <c r="G422" s="24">
        <v>500</v>
      </c>
      <c r="H422" s="24"/>
      <c r="I422" s="24"/>
      <c r="J422" s="24"/>
      <c r="K422" s="24">
        <f t="shared" si="54"/>
        <v>500</v>
      </c>
      <c r="L422" s="24">
        <v>327</v>
      </c>
      <c r="M422" s="24"/>
      <c r="N422" s="24"/>
      <c r="O422" s="24"/>
      <c r="P422" s="24">
        <f t="shared" si="59"/>
        <v>327</v>
      </c>
      <c r="Q422" s="30">
        <f t="shared" si="49"/>
        <v>0.654</v>
      </c>
    </row>
    <row r="423" spans="1:17" ht="12.75">
      <c r="A423" s="15"/>
      <c r="B423" s="16" t="s">
        <v>284</v>
      </c>
      <c r="C423" s="17"/>
      <c r="D423" s="123"/>
      <c r="E423" s="123"/>
      <c r="F423" s="107"/>
      <c r="G423" s="26">
        <f>SUM(G422)</f>
        <v>500</v>
      </c>
      <c r="H423" s="26">
        <f aca="true" t="shared" si="62" ref="H423:O423">SUM(H422)</f>
        <v>0</v>
      </c>
      <c r="I423" s="26">
        <f t="shared" si="62"/>
        <v>0</v>
      </c>
      <c r="J423" s="26">
        <f t="shared" si="62"/>
        <v>0</v>
      </c>
      <c r="K423" s="26">
        <f t="shared" si="54"/>
        <v>500</v>
      </c>
      <c r="L423" s="26">
        <f t="shared" si="62"/>
        <v>327</v>
      </c>
      <c r="M423" s="26">
        <f t="shared" si="62"/>
        <v>0</v>
      </c>
      <c r="N423" s="26">
        <f t="shared" si="62"/>
        <v>0</v>
      </c>
      <c r="O423" s="26">
        <f t="shared" si="62"/>
        <v>0</v>
      </c>
      <c r="P423" s="26">
        <f t="shared" si="59"/>
        <v>327</v>
      </c>
      <c r="Q423" s="27">
        <f t="shared" si="49"/>
        <v>0.654</v>
      </c>
    </row>
    <row r="424" spans="1:17" ht="78.75" customHeight="1">
      <c r="A424" s="15"/>
      <c r="B424" s="13" t="s">
        <v>285</v>
      </c>
      <c r="C424" s="14" t="s">
        <v>286</v>
      </c>
      <c r="D424" s="111" t="s">
        <v>19</v>
      </c>
      <c r="E424" s="111" t="s">
        <v>7</v>
      </c>
      <c r="F424" s="106" t="s">
        <v>20</v>
      </c>
      <c r="G424" s="24">
        <v>5000</v>
      </c>
      <c r="H424" s="24"/>
      <c r="I424" s="24"/>
      <c r="J424" s="24"/>
      <c r="K424" s="24">
        <f t="shared" si="54"/>
        <v>5000</v>
      </c>
      <c r="L424" s="24">
        <v>8854.91</v>
      </c>
      <c r="M424" s="24"/>
      <c r="N424" s="24"/>
      <c r="O424" s="24"/>
      <c r="P424" s="24">
        <f t="shared" si="59"/>
        <v>8854.91</v>
      </c>
      <c r="Q424" s="30">
        <f aca="true" t="shared" si="63" ref="Q424:Q509">P424/K424</f>
        <v>1.770982</v>
      </c>
    </row>
    <row r="425" spans="1:17" ht="19.5">
      <c r="A425" s="15"/>
      <c r="B425" s="62"/>
      <c r="C425" s="63"/>
      <c r="D425" s="111" t="s">
        <v>25</v>
      </c>
      <c r="E425" s="111" t="s">
        <v>7</v>
      </c>
      <c r="F425" s="106" t="s">
        <v>26</v>
      </c>
      <c r="G425" s="24">
        <v>3658</v>
      </c>
      <c r="H425" s="24"/>
      <c r="I425" s="24"/>
      <c r="J425" s="24"/>
      <c r="K425" s="24">
        <f t="shared" si="54"/>
        <v>3658</v>
      </c>
      <c r="L425" s="24">
        <v>13220.49</v>
      </c>
      <c r="M425" s="24"/>
      <c r="N425" s="24"/>
      <c r="O425" s="24"/>
      <c r="P425" s="24">
        <f t="shared" si="59"/>
        <v>13220.49</v>
      </c>
      <c r="Q425" s="30">
        <f t="shared" si="63"/>
        <v>3.614130672498633</v>
      </c>
    </row>
    <row r="426" spans="1:17" ht="56.25" customHeight="1">
      <c r="A426" s="15"/>
      <c r="B426" s="71"/>
      <c r="C426" s="81"/>
      <c r="D426" s="111">
        <v>240</v>
      </c>
      <c r="E426" s="111">
        <v>0</v>
      </c>
      <c r="F426" s="106" t="s">
        <v>361</v>
      </c>
      <c r="G426" s="24"/>
      <c r="H426" s="24"/>
      <c r="I426" s="24"/>
      <c r="J426" s="24"/>
      <c r="K426" s="24"/>
      <c r="L426" s="24">
        <v>41151.85</v>
      </c>
      <c r="M426" s="24"/>
      <c r="N426" s="24"/>
      <c r="O426" s="24"/>
      <c r="P426" s="24">
        <f t="shared" si="59"/>
        <v>41151.85</v>
      </c>
      <c r="Q426" s="30"/>
    </row>
    <row r="427" spans="1:17" ht="12.75">
      <c r="A427" s="15"/>
      <c r="B427" s="16" t="s">
        <v>287</v>
      </c>
      <c r="C427" s="17"/>
      <c r="D427" s="123"/>
      <c r="E427" s="123"/>
      <c r="F427" s="107"/>
      <c r="G427" s="26">
        <f>SUM(G424:G425)</f>
        <v>8658</v>
      </c>
      <c r="H427" s="26">
        <f>SUM(H424:H425)</f>
        <v>0</v>
      </c>
      <c r="I427" s="26">
        <f>SUM(I424:I425)</f>
        <v>0</v>
      </c>
      <c r="J427" s="26">
        <f>SUM(J424:J425)</f>
        <v>0</v>
      </c>
      <c r="K427" s="26">
        <f>SUM(K424:K425)</f>
        <v>8658</v>
      </c>
      <c r="L427" s="26">
        <f>SUM(L424:L426)</f>
        <v>63227.25</v>
      </c>
      <c r="M427" s="26">
        <f>SUM(M424:M426)</f>
        <v>0</v>
      </c>
      <c r="N427" s="26">
        <f>SUM(N424:N426)</f>
        <v>0</v>
      </c>
      <c r="O427" s="26">
        <f>SUM(O424:O426)</f>
        <v>0</v>
      </c>
      <c r="P427" s="26">
        <f t="shared" si="59"/>
        <v>63227.25</v>
      </c>
      <c r="Q427" s="27">
        <f t="shared" si="63"/>
        <v>7.3027546777546775</v>
      </c>
    </row>
    <row r="428" spans="1:17" ht="81" customHeight="1">
      <c r="A428" s="15"/>
      <c r="B428" s="13" t="s">
        <v>288</v>
      </c>
      <c r="C428" s="14" t="s">
        <v>289</v>
      </c>
      <c r="D428" s="111" t="s">
        <v>19</v>
      </c>
      <c r="E428" s="111" t="s">
        <v>7</v>
      </c>
      <c r="F428" s="106" t="s">
        <v>20</v>
      </c>
      <c r="G428" s="24">
        <v>70880</v>
      </c>
      <c r="H428" s="24"/>
      <c r="I428" s="24"/>
      <c r="J428" s="24"/>
      <c r="K428" s="24">
        <f t="shared" si="54"/>
        <v>70880</v>
      </c>
      <c r="L428" s="24">
        <v>44623.81</v>
      </c>
      <c r="M428" s="24"/>
      <c r="N428" s="24"/>
      <c r="O428" s="24"/>
      <c r="P428" s="24">
        <f t="shared" si="59"/>
        <v>44623.81</v>
      </c>
      <c r="Q428" s="30">
        <f t="shared" si="63"/>
        <v>0.6295684255079006</v>
      </c>
    </row>
    <row r="429" spans="1:17" ht="12.75" hidden="1">
      <c r="A429" s="15"/>
      <c r="B429" s="62"/>
      <c r="C429" s="63"/>
      <c r="D429" s="111" t="s">
        <v>21</v>
      </c>
      <c r="E429" s="111" t="s">
        <v>7</v>
      </c>
      <c r="F429" s="106" t="s">
        <v>22</v>
      </c>
      <c r="G429" s="24"/>
      <c r="H429" s="24"/>
      <c r="I429" s="24"/>
      <c r="J429" s="24"/>
      <c r="K429" s="24">
        <f t="shared" si="54"/>
        <v>0</v>
      </c>
      <c r="L429" s="24"/>
      <c r="M429" s="24"/>
      <c r="N429" s="24"/>
      <c r="O429" s="24"/>
      <c r="P429" s="24">
        <f t="shared" si="59"/>
        <v>0</v>
      </c>
      <c r="Q429" s="30"/>
    </row>
    <row r="430" spans="1:17" ht="12.75" hidden="1">
      <c r="A430" s="15"/>
      <c r="B430" s="62"/>
      <c r="C430" s="63"/>
      <c r="D430" s="125" t="s">
        <v>23</v>
      </c>
      <c r="E430" s="111">
        <v>0</v>
      </c>
      <c r="F430" s="106" t="s">
        <v>24</v>
      </c>
      <c r="G430" s="24"/>
      <c r="H430" s="24"/>
      <c r="I430" s="24"/>
      <c r="J430" s="24"/>
      <c r="K430" s="24">
        <f aca="true" t="shared" si="64" ref="K430:K506">SUM(G430:J430)</f>
        <v>0</v>
      </c>
      <c r="L430" s="24"/>
      <c r="M430" s="24"/>
      <c r="N430" s="24"/>
      <c r="O430" s="24"/>
      <c r="P430" s="24">
        <f t="shared" si="59"/>
        <v>0</v>
      </c>
      <c r="Q430" s="30"/>
    </row>
    <row r="431" spans="1:17" ht="58.5">
      <c r="A431" s="15"/>
      <c r="B431" s="71"/>
      <c r="C431" s="81"/>
      <c r="D431" s="111">
        <v>240</v>
      </c>
      <c r="E431" s="111">
        <v>0</v>
      </c>
      <c r="F431" s="106" t="s">
        <v>361</v>
      </c>
      <c r="G431" s="24"/>
      <c r="H431" s="24"/>
      <c r="I431" s="24"/>
      <c r="J431" s="24"/>
      <c r="K431" s="24"/>
      <c r="L431" s="24">
        <v>201360.23</v>
      </c>
      <c r="M431" s="24"/>
      <c r="N431" s="24"/>
      <c r="O431" s="24"/>
      <c r="P431" s="24">
        <f t="shared" si="59"/>
        <v>201360.23</v>
      </c>
      <c r="Q431" s="30"/>
    </row>
    <row r="432" spans="1:17" ht="12.75">
      <c r="A432" s="15"/>
      <c r="B432" s="16" t="s">
        <v>290</v>
      </c>
      <c r="C432" s="17"/>
      <c r="D432" s="123"/>
      <c r="E432" s="123"/>
      <c r="F432" s="107"/>
      <c r="G432" s="26">
        <f>SUM(G428)</f>
        <v>70880</v>
      </c>
      <c r="H432" s="26">
        <f>SUM(H428)</f>
        <v>0</v>
      </c>
      <c r="I432" s="26">
        <f>SUM(I428)</f>
        <v>0</v>
      </c>
      <c r="J432" s="26">
        <f>SUM(J428)</f>
        <v>0</v>
      </c>
      <c r="K432" s="26">
        <f t="shared" si="64"/>
        <v>70880</v>
      </c>
      <c r="L432" s="26">
        <f>SUM(L428:L431)</f>
        <v>245984.04</v>
      </c>
      <c r="M432" s="26">
        <f>SUM(M428:M431)</f>
        <v>0</v>
      </c>
      <c r="N432" s="26">
        <f>SUM(N428:N431)</f>
        <v>0</v>
      </c>
      <c r="O432" s="26">
        <f>SUM(O428:O431)</f>
        <v>0</v>
      </c>
      <c r="P432" s="26">
        <f t="shared" si="59"/>
        <v>245984.04</v>
      </c>
      <c r="Q432" s="27">
        <f t="shared" si="63"/>
        <v>3.470429458239278</v>
      </c>
    </row>
    <row r="433" spans="1:17" ht="97.5">
      <c r="A433" s="15"/>
      <c r="B433" s="13">
        <v>85412</v>
      </c>
      <c r="C433" s="14" t="s">
        <v>0</v>
      </c>
      <c r="D433" s="111">
        <v>240</v>
      </c>
      <c r="E433" s="111" t="s">
        <v>7</v>
      </c>
      <c r="F433" s="106" t="s">
        <v>361</v>
      </c>
      <c r="G433" s="24"/>
      <c r="H433" s="24"/>
      <c r="I433" s="24"/>
      <c r="J433" s="24"/>
      <c r="K433" s="24">
        <f t="shared" si="64"/>
        <v>0</v>
      </c>
      <c r="L433" s="24">
        <v>19.58</v>
      </c>
      <c r="M433" s="24"/>
      <c r="N433" s="24"/>
      <c r="O433" s="24"/>
      <c r="P433" s="24">
        <f>SUM(L433:O433)</f>
        <v>19.58</v>
      </c>
      <c r="Q433" s="30" t="e">
        <f t="shared" si="63"/>
        <v>#DIV/0!</v>
      </c>
    </row>
    <row r="434" spans="1:17" ht="12.75">
      <c r="A434" s="15"/>
      <c r="B434" s="16" t="s">
        <v>421</v>
      </c>
      <c r="C434" s="17"/>
      <c r="D434" s="123"/>
      <c r="E434" s="123"/>
      <c r="F434" s="107"/>
      <c r="G434" s="26">
        <f>SUM(G433)</f>
        <v>0</v>
      </c>
      <c r="H434" s="26">
        <f>SUM(H433)</f>
        <v>0</v>
      </c>
      <c r="I434" s="26">
        <f>SUM(I433)</f>
        <v>0</v>
      </c>
      <c r="J434" s="26">
        <f>SUM(J433)</f>
        <v>0</v>
      </c>
      <c r="K434" s="26">
        <f t="shared" si="64"/>
        <v>0</v>
      </c>
      <c r="L434" s="26">
        <f>SUM(L433)</f>
        <v>19.58</v>
      </c>
      <c r="M434" s="26">
        <f>SUM(M433)</f>
        <v>0</v>
      </c>
      <c r="N434" s="26">
        <f>SUM(N433)</f>
        <v>0</v>
      </c>
      <c r="O434" s="26">
        <f>SUM(O433)</f>
        <v>0</v>
      </c>
      <c r="P434" s="26">
        <f>SUM(L434:O434)</f>
        <v>19.58</v>
      </c>
      <c r="Q434" s="27" t="e">
        <f t="shared" si="63"/>
        <v>#DIV/0!</v>
      </c>
    </row>
    <row r="435" spans="1:17" ht="48.75">
      <c r="A435" s="15"/>
      <c r="B435" s="40" t="s">
        <v>291</v>
      </c>
      <c r="C435" s="14" t="s">
        <v>292</v>
      </c>
      <c r="D435" s="111" t="s">
        <v>200</v>
      </c>
      <c r="E435" s="111" t="s">
        <v>7</v>
      </c>
      <c r="F435" s="106" t="s">
        <v>201</v>
      </c>
      <c r="G435" s="24">
        <v>131959</v>
      </c>
      <c r="H435" s="24"/>
      <c r="I435" s="24"/>
      <c r="J435" s="24"/>
      <c r="K435" s="24">
        <f t="shared" si="64"/>
        <v>131959</v>
      </c>
      <c r="L435" s="24">
        <v>131959</v>
      </c>
      <c r="M435" s="24"/>
      <c r="N435" s="24"/>
      <c r="O435" s="24"/>
      <c r="P435" s="24">
        <f t="shared" si="59"/>
        <v>131959</v>
      </c>
      <c r="Q435" s="30">
        <f t="shared" si="63"/>
        <v>1</v>
      </c>
    </row>
    <row r="436" spans="1:17" ht="99.75" customHeight="1">
      <c r="A436" s="15"/>
      <c r="B436" s="37"/>
      <c r="C436" s="81"/>
      <c r="D436" s="121">
        <v>204</v>
      </c>
      <c r="E436" s="121">
        <v>0</v>
      </c>
      <c r="F436" s="106" t="s">
        <v>1</v>
      </c>
      <c r="G436" s="24">
        <v>370814</v>
      </c>
      <c r="H436" s="24"/>
      <c r="I436" s="24"/>
      <c r="J436" s="24"/>
      <c r="K436" s="24">
        <f t="shared" si="64"/>
        <v>370814</v>
      </c>
      <c r="L436" s="24">
        <v>346873.7</v>
      </c>
      <c r="M436" s="24"/>
      <c r="N436" s="24"/>
      <c r="O436" s="24"/>
      <c r="P436" s="24">
        <f t="shared" si="59"/>
        <v>346873.7</v>
      </c>
      <c r="Q436" s="30">
        <f t="shared" si="63"/>
        <v>0.9354385217386615</v>
      </c>
    </row>
    <row r="437" spans="1:17" ht="12.75">
      <c r="A437" s="15"/>
      <c r="B437" s="16" t="s">
        <v>293</v>
      </c>
      <c r="C437" s="17"/>
      <c r="D437" s="123"/>
      <c r="E437" s="123"/>
      <c r="F437" s="112"/>
      <c r="G437" s="26">
        <f>SUM(G435:G436)</f>
        <v>502773</v>
      </c>
      <c r="H437" s="26">
        <f aca="true" t="shared" si="65" ref="H437:O437">SUM(H435:H436)</f>
        <v>0</v>
      </c>
      <c r="I437" s="26">
        <f t="shared" si="65"/>
        <v>0</v>
      </c>
      <c r="J437" s="26">
        <f t="shared" si="65"/>
        <v>0</v>
      </c>
      <c r="K437" s="26">
        <f t="shared" si="65"/>
        <v>502773</v>
      </c>
      <c r="L437" s="26">
        <f t="shared" si="65"/>
        <v>478832.7</v>
      </c>
      <c r="M437" s="26">
        <f t="shared" si="65"/>
        <v>0</v>
      </c>
      <c r="N437" s="26">
        <f t="shared" si="65"/>
        <v>0</v>
      </c>
      <c r="O437" s="26">
        <f t="shared" si="65"/>
        <v>0</v>
      </c>
      <c r="P437" s="26">
        <f t="shared" si="59"/>
        <v>478832.7</v>
      </c>
      <c r="Q437" s="27">
        <f t="shared" si="63"/>
        <v>0.9523834812131916</v>
      </c>
    </row>
    <row r="438" spans="1:17" ht="12.75">
      <c r="A438" s="15"/>
      <c r="B438" s="40">
        <v>85417</v>
      </c>
      <c r="C438" s="133" t="s">
        <v>294</v>
      </c>
      <c r="D438" s="125" t="s">
        <v>23</v>
      </c>
      <c r="E438" s="111">
        <v>0</v>
      </c>
      <c r="F438" s="113" t="s">
        <v>24</v>
      </c>
      <c r="G438" s="24"/>
      <c r="H438" s="24"/>
      <c r="I438" s="24"/>
      <c r="J438" s="24"/>
      <c r="K438" s="24">
        <f t="shared" si="64"/>
        <v>0</v>
      </c>
      <c r="L438" s="24">
        <v>11.48</v>
      </c>
      <c r="M438" s="24"/>
      <c r="N438" s="24"/>
      <c r="O438" s="24"/>
      <c r="P438" s="24">
        <f t="shared" si="59"/>
        <v>11.48</v>
      </c>
      <c r="Q438" s="30"/>
    </row>
    <row r="439" spans="1:17" ht="19.5">
      <c r="A439" s="15"/>
      <c r="B439" s="37"/>
      <c r="C439" s="134"/>
      <c r="D439" s="125" t="s">
        <v>25</v>
      </c>
      <c r="E439" s="111">
        <v>0</v>
      </c>
      <c r="F439" s="106" t="s">
        <v>26</v>
      </c>
      <c r="G439" s="24">
        <v>5000</v>
      </c>
      <c r="H439" s="24"/>
      <c r="I439" s="24"/>
      <c r="J439" s="24"/>
      <c r="K439" s="24">
        <f t="shared" si="64"/>
        <v>5000</v>
      </c>
      <c r="L439" s="24"/>
      <c r="M439" s="24"/>
      <c r="N439" s="24"/>
      <c r="O439" s="24"/>
      <c r="P439" s="24">
        <f t="shared" si="59"/>
        <v>0</v>
      </c>
      <c r="Q439" s="30">
        <f t="shared" si="63"/>
        <v>0</v>
      </c>
    </row>
    <row r="440" spans="1:17" ht="58.5" customHeight="1">
      <c r="A440" s="15"/>
      <c r="B440" s="37"/>
      <c r="C440" s="135"/>
      <c r="D440" s="111">
        <v>240</v>
      </c>
      <c r="E440" s="111" t="s">
        <v>7</v>
      </c>
      <c r="F440" s="106" t="s">
        <v>361</v>
      </c>
      <c r="G440" s="24"/>
      <c r="H440" s="24"/>
      <c r="I440" s="24"/>
      <c r="J440" s="24"/>
      <c r="K440" s="24">
        <f t="shared" si="64"/>
        <v>0</v>
      </c>
      <c r="L440" s="24">
        <v>141972.07</v>
      </c>
      <c r="M440" s="24"/>
      <c r="N440" s="24"/>
      <c r="O440" s="24"/>
      <c r="P440" s="24">
        <f t="shared" si="59"/>
        <v>141972.07</v>
      </c>
      <c r="Q440" s="30"/>
    </row>
    <row r="441" spans="1:17" ht="12.75">
      <c r="A441" s="15"/>
      <c r="B441" s="16" t="s">
        <v>295</v>
      </c>
      <c r="C441" s="17"/>
      <c r="D441" s="123"/>
      <c r="E441" s="123"/>
      <c r="F441" s="107"/>
      <c r="G441" s="26">
        <f>SUM(G438:G440)</f>
        <v>5000</v>
      </c>
      <c r="H441" s="26">
        <f aca="true" t="shared" si="66" ref="H441:P441">SUM(H438:H440)</f>
        <v>0</v>
      </c>
      <c r="I441" s="26">
        <f t="shared" si="66"/>
        <v>0</v>
      </c>
      <c r="J441" s="26">
        <f t="shared" si="66"/>
        <v>0</v>
      </c>
      <c r="K441" s="26">
        <f t="shared" si="66"/>
        <v>5000</v>
      </c>
      <c r="L441" s="26">
        <f t="shared" si="66"/>
        <v>141983.55000000002</v>
      </c>
      <c r="M441" s="26">
        <f t="shared" si="66"/>
        <v>0</v>
      </c>
      <c r="N441" s="26">
        <f t="shared" si="66"/>
        <v>0</v>
      </c>
      <c r="O441" s="26">
        <f t="shared" si="66"/>
        <v>0</v>
      </c>
      <c r="P441" s="26">
        <f t="shared" si="66"/>
        <v>141983.55000000002</v>
      </c>
      <c r="Q441" s="27">
        <f t="shared" si="63"/>
        <v>28.396710000000002</v>
      </c>
    </row>
    <row r="442" spans="1:17" ht="107.25">
      <c r="A442" s="15"/>
      <c r="B442" s="40">
        <v>85419</v>
      </c>
      <c r="C442" s="133" t="s">
        <v>418</v>
      </c>
      <c r="D442" s="120" t="s">
        <v>353</v>
      </c>
      <c r="E442" s="121">
        <v>0</v>
      </c>
      <c r="F442" s="106" t="s">
        <v>354</v>
      </c>
      <c r="G442" s="24"/>
      <c r="H442" s="24"/>
      <c r="I442" s="24"/>
      <c r="J442" s="24"/>
      <c r="K442" s="24">
        <f>SUM(G442:J442)</f>
        <v>0</v>
      </c>
      <c r="L442" s="24">
        <v>380.54</v>
      </c>
      <c r="M442" s="24"/>
      <c r="N442" s="24"/>
      <c r="O442" s="24"/>
      <c r="P442" s="24">
        <f t="shared" si="59"/>
        <v>380.54</v>
      </c>
      <c r="Q442" s="30"/>
    </row>
    <row r="443" spans="1:17" ht="97.5" customHeight="1">
      <c r="A443" s="15"/>
      <c r="B443" s="37"/>
      <c r="C443" s="134"/>
      <c r="D443" s="125">
        <v>291</v>
      </c>
      <c r="E443" s="111">
        <v>0</v>
      </c>
      <c r="F443" s="106" t="s">
        <v>346</v>
      </c>
      <c r="G443" s="24"/>
      <c r="H443" s="24"/>
      <c r="I443" s="24"/>
      <c r="J443" s="24"/>
      <c r="K443" s="24">
        <f>SUM(G443:J443)</f>
        <v>0</v>
      </c>
      <c r="L443" s="24">
        <v>4785.6</v>
      </c>
      <c r="M443" s="24"/>
      <c r="N443" s="24"/>
      <c r="O443" s="24"/>
      <c r="P443" s="24">
        <f t="shared" si="59"/>
        <v>4785.6</v>
      </c>
      <c r="Q443" s="30"/>
    </row>
    <row r="444" spans="1:17" ht="12.75">
      <c r="A444" s="15"/>
      <c r="B444" s="16" t="s">
        <v>417</v>
      </c>
      <c r="C444" s="17"/>
      <c r="D444" s="123"/>
      <c r="E444" s="123"/>
      <c r="F444" s="107"/>
      <c r="G444" s="26">
        <f aca="true" t="shared" si="67" ref="G444:O444">SUM(G442:G443)</f>
        <v>0</v>
      </c>
      <c r="H444" s="26">
        <f t="shared" si="67"/>
        <v>0</v>
      </c>
      <c r="I444" s="26">
        <f t="shared" si="67"/>
        <v>0</v>
      </c>
      <c r="J444" s="26">
        <f t="shared" si="67"/>
        <v>0</v>
      </c>
      <c r="K444" s="26">
        <f t="shared" si="67"/>
        <v>0</v>
      </c>
      <c r="L444" s="26">
        <f t="shared" si="67"/>
        <v>5166.14</v>
      </c>
      <c r="M444" s="26">
        <f t="shared" si="67"/>
        <v>0</v>
      </c>
      <c r="N444" s="26">
        <f t="shared" si="67"/>
        <v>0</v>
      </c>
      <c r="O444" s="26">
        <f t="shared" si="67"/>
        <v>0</v>
      </c>
      <c r="P444" s="26">
        <f t="shared" si="59"/>
        <v>5166.14</v>
      </c>
      <c r="Q444" s="27" t="e">
        <f>P444/K444</f>
        <v>#DIV/0!</v>
      </c>
    </row>
    <row r="445" spans="1:17" ht="12.75">
      <c r="A445" s="18" t="s">
        <v>296</v>
      </c>
      <c r="B445" s="19"/>
      <c r="C445" s="19"/>
      <c r="D445" s="124"/>
      <c r="E445" s="124"/>
      <c r="F445" s="108"/>
      <c r="G445" s="28">
        <f aca="true" t="shared" si="68" ref="G445:P445">SUM(G444,G441,G437,G434,G432,G427,G423,G421,G419)</f>
        <v>676124</v>
      </c>
      <c r="H445" s="28">
        <f t="shared" si="68"/>
        <v>0</v>
      </c>
      <c r="I445" s="28">
        <f t="shared" si="68"/>
        <v>0</v>
      </c>
      <c r="J445" s="28">
        <f t="shared" si="68"/>
        <v>0</v>
      </c>
      <c r="K445" s="28">
        <f t="shared" si="68"/>
        <v>676124</v>
      </c>
      <c r="L445" s="28">
        <f t="shared" si="68"/>
        <v>1029156.9099999999</v>
      </c>
      <c r="M445" s="28">
        <f t="shared" si="68"/>
        <v>0</v>
      </c>
      <c r="N445" s="28">
        <f t="shared" si="68"/>
        <v>0</v>
      </c>
      <c r="O445" s="28">
        <f t="shared" si="68"/>
        <v>0</v>
      </c>
      <c r="P445" s="28">
        <f t="shared" si="68"/>
        <v>1029156.9099999999</v>
      </c>
      <c r="Q445" s="29">
        <f t="shared" si="63"/>
        <v>1.5221422549709815</v>
      </c>
    </row>
    <row r="446" spans="1:17" ht="19.5">
      <c r="A446" s="149" t="s">
        <v>2</v>
      </c>
      <c r="B446" s="13">
        <v>90001</v>
      </c>
      <c r="C446" s="133" t="s">
        <v>297</v>
      </c>
      <c r="D446" s="125" t="s">
        <v>25</v>
      </c>
      <c r="E446" s="111">
        <v>0</v>
      </c>
      <c r="F446" s="106" t="s">
        <v>26</v>
      </c>
      <c r="G446" s="24">
        <v>5464</v>
      </c>
      <c r="H446" s="24"/>
      <c r="I446" s="24"/>
      <c r="J446" s="24"/>
      <c r="K446" s="24">
        <f>SUM(G446:J446)</f>
        <v>5464</v>
      </c>
      <c r="L446" s="24">
        <v>5464.8</v>
      </c>
      <c r="M446" s="24"/>
      <c r="N446" s="24"/>
      <c r="O446" s="24"/>
      <c r="P446" s="24">
        <f t="shared" si="59"/>
        <v>5464.8</v>
      </c>
      <c r="Q446" s="30">
        <f>P446/K446</f>
        <v>1.0001464128843338</v>
      </c>
    </row>
    <row r="447" spans="1:17" ht="93" customHeight="1">
      <c r="A447" s="150"/>
      <c r="B447" s="37"/>
      <c r="C447" s="135"/>
      <c r="D447" s="111" t="s">
        <v>44</v>
      </c>
      <c r="E447" s="111" t="s">
        <v>28</v>
      </c>
      <c r="F447" s="106" t="s">
        <v>45</v>
      </c>
      <c r="G447" s="24">
        <v>4884669</v>
      </c>
      <c r="H447" s="24"/>
      <c r="I447" s="24"/>
      <c r="J447" s="24"/>
      <c r="K447" s="24">
        <f t="shared" si="64"/>
        <v>4884669</v>
      </c>
      <c r="L447" s="24">
        <v>8419539.75</v>
      </c>
      <c r="M447" s="24"/>
      <c r="N447" s="24"/>
      <c r="O447" s="24"/>
      <c r="P447" s="24">
        <f t="shared" si="59"/>
        <v>8419539.75</v>
      </c>
      <c r="Q447" s="30">
        <f t="shared" si="63"/>
        <v>1.723666383535916</v>
      </c>
    </row>
    <row r="448" spans="1:17" ht="12.75">
      <c r="A448" s="15"/>
      <c r="B448" s="16" t="s">
        <v>298</v>
      </c>
      <c r="C448" s="17"/>
      <c r="D448" s="123"/>
      <c r="E448" s="123"/>
      <c r="F448" s="107"/>
      <c r="G448" s="26">
        <f>SUM(G446:G447)</f>
        <v>4890133</v>
      </c>
      <c r="H448" s="26">
        <f aca="true" t="shared" si="69" ref="H448:O448">SUM(H446:H447)</f>
        <v>0</v>
      </c>
      <c r="I448" s="26">
        <f t="shared" si="69"/>
        <v>0</v>
      </c>
      <c r="J448" s="26">
        <f t="shared" si="69"/>
        <v>0</v>
      </c>
      <c r="K448" s="26">
        <f t="shared" si="69"/>
        <v>4890133</v>
      </c>
      <c r="L448" s="26">
        <f t="shared" si="69"/>
        <v>8425004.55</v>
      </c>
      <c r="M448" s="26">
        <f t="shared" si="69"/>
        <v>0</v>
      </c>
      <c r="N448" s="26">
        <f t="shared" si="69"/>
        <v>0</v>
      </c>
      <c r="O448" s="26">
        <f t="shared" si="69"/>
        <v>0</v>
      </c>
      <c r="P448" s="26">
        <f t="shared" si="59"/>
        <v>8425004.55</v>
      </c>
      <c r="Q448" s="27">
        <f t="shared" si="63"/>
        <v>1.7228579570330707</v>
      </c>
    </row>
    <row r="449" spans="1:17" s="39" customFormat="1" ht="19.5">
      <c r="A449" s="38"/>
      <c r="B449" s="13">
        <v>90002</v>
      </c>
      <c r="C449" s="14" t="s">
        <v>299</v>
      </c>
      <c r="D449" s="111" t="s">
        <v>25</v>
      </c>
      <c r="E449" s="111" t="s">
        <v>7</v>
      </c>
      <c r="F449" s="106" t="s">
        <v>26</v>
      </c>
      <c r="G449" s="45">
        <v>20134</v>
      </c>
      <c r="H449" s="45"/>
      <c r="I449" s="45"/>
      <c r="J449" s="45"/>
      <c r="K449" s="45">
        <f t="shared" si="64"/>
        <v>20134</v>
      </c>
      <c r="L449" s="45">
        <v>22417.75</v>
      </c>
      <c r="M449" s="45"/>
      <c r="N449" s="45"/>
      <c r="O449" s="45"/>
      <c r="P449" s="24">
        <f t="shared" si="59"/>
        <v>22417.75</v>
      </c>
      <c r="Q449" s="30">
        <f t="shared" si="63"/>
        <v>1.113427535512069</v>
      </c>
    </row>
    <row r="450" spans="1:17" ht="61.5" customHeight="1">
      <c r="A450" s="15"/>
      <c r="B450" s="37"/>
      <c r="C450" s="63"/>
      <c r="D450" s="111" t="s">
        <v>300</v>
      </c>
      <c r="E450" s="111" t="s">
        <v>7</v>
      </c>
      <c r="F450" s="106" t="s">
        <v>301</v>
      </c>
      <c r="G450" s="24">
        <v>534800</v>
      </c>
      <c r="H450" s="24"/>
      <c r="I450" s="24"/>
      <c r="J450" s="24"/>
      <c r="K450" s="24">
        <f t="shared" si="64"/>
        <v>534800</v>
      </c>
      <c r="L450" s="24"/>
      <c r="M450" s="24">
        <v>470861.5</v>
      </c>
      <c r="N450" s="24"/>
      <c r="O450" s="24"/>
      <c r="P450" s="24">
        <f t="shared" si="59"/>
        <v>470861.5</v>
      </c>
      <c r="Q450" s="30">
        <f t="shared" si="63"/>
        <v>0.8804440912490651</v>
      </c>
    </row>
    <row r="451" spans="1:17" ht="48.75" hidden="1">
      <c r="A451" s="15"/>
      <c r="B451" s="20"/>
      <c r="C451" s="15"/>
      <c r="D451" s="111" t="s">
        <v>302</v>
      </c>
      <c r="E451" s="111" t="s">
        <v>7</v>
      </c>
      <c r="F451" s="106" t="s">
        <v>303</v>
      </c>
      <c r="G451" s="24"/>
      <c r="H451" s="24">
        <v>0</v>
      </c>
      <c r="I451" s="24"/>
      <c r="J451" s="24"/>
      <c r="K451" s="24">
        <f t="shared" si="64"/>
        <v>0</v>
      </c>
      <c r="L451" s="24"/>
      <c r="M451" s="24"/>
      <c r="N451" s="24"/>
      <c r="O451" s="24"/>
      <c r="P451" s="24">
        <f t="shared" si="59"/>
        <v>0</v>
      </c>
      <c r="Q451" s="30"/>
    </row>
    <row r="452" spans="1:17" ht="12.75">
      <c r="A452" s="15"/>
      <c r="B452" s="16" t="s">
        <v>304</v>
      </c>
      <c r="C452" s="17"/>
      <c r="D452" s="123"/>
      <c r="E452" s="123"/>
      <c r="F452" s="107"/>
      <c r="G452" s="26">
        <f>SUM(G449:G451)</f>
        <v>554934</v>
      </c>
      <c r="H452" s="26">
        <f aca="true" t="shared" si="70" ref="H452:O452">SUM(H449:H451)</f>
        <v>0</v>
      </c>
      <c r="I452" s="26">
        <f t="shared" si="70"/>
        <v>0</v>
      </c>
      <c r="J452" s="26">
        <f t="shared" si="70"/>
        <v>0</v>
      </c>
      <c r="K452" s="26">
        <f t="shared" si="70"/>
        <v>554934</v>
      </c>
      <c r="L452" s="26">
        <f t="shared" si="70"/>
        <v>22417.75</v>
      </c>
      <c r="M452" s="26">
        <f t="shared" si="70"/>
        <v>470861.5</v>
      </c>
      <c r="N452" s="26">
        <f t="shared" si="70"/>
        <v>0</v>
      </c>
      <c r="O452" s="26">
        <f t="shared" si="70"/>
        <v>0</v>
      </c>
      <c r="P452" s="26">
        <f t="shared" si="59"/>
        <v>493279.25</v>
      </c>
      <c r="Q452" s="27">
        <f t="shared" si="63"/>
        <v>0.8888971481293271</v>
      </c>
    </row>
    <row r="453" spans="1:17" s="39" customFormat="1" ht="19.5">
      <c r="A453" s="38"/>
      <c r="B453" s="13">
        <v>90003</v>
      </c>
      <c r="C453" s="14" t="s">
        <v>377</v>
      </c>
      <c r="D453" s="120" t="s">
        <v>40</v>
      </c>
      <c r="E453" s="121">
        <v>0</v>
      </c>
      <c r="F453" s="118" t="s">
        <v>41</v>
      </c>
      <c r="G453" s="45">
        <v>66</v>
      </c>
      <c r="H453" s="45"/>
      <c r="I453" s="45"/>
      <c r="J453" s="45"/>
      <c r="K453" s="45">
        <f t="shared" si="64"/>
        <v>66</v>
      </c>
      <c r="L453" s="45">
        <v>66</v>
      </c>
      <c r="M453" s="45"/>
      <c r="N453" s="45"/>
      <c r="O453" s="45"/>
      <c r="P453" s="24">
        <f t="shared" si="59"/>
        <v>66</v>
      </c>
      <c r="Q453" s="89">
        <f t="shared" si="63"/>
        <v>1</v>
      </c>
    </row>
    <row r="454" spans="1:17" ht="12.75" hidden="1">
      <c r="A454" s="15"/>
      <c r="B454" s="37"/>
      <c r="C454" s="63"/>
      <c r="D454" s="125" t="s">
        <v>23</v>
      </c>
      <c r="E454" s="111">
        <v>0</v>
      </c>
      <c r="F454" s="106" t="s">
        <v>24</v>
      </c>
      <c r="G454" s="24"/>
      <c r="H454" s="24"/>
      <c r="I454" s="24"/>
      <c r="J454" s="24"/>
      <c r="K454" s="24">
        <f t="shared" si="64"/>
        <v>0</v>
      </c>
      <c r="L454" s="24"/>
      <c r="M454" s="24"/>
      <c r="N454" s="24"/>
      <c r="O454" s="24"/>
      <c r="P454" s="24">
        <f t="shared" si="59"/>
        <v>0</v>
      </c>
      <c r="Q454" s="30" t="e">
        <f t="shared" si="63"/>
        <v>#DIV/0!</v>
      </c>
    </row>
    <row r="455" spans="1:17" ht="19.5">
      <c r="A455" s="15"/>
      <c r="B455" s="20"/>
      <c r="C455" s="15"/>
      <c r="D455" s="111" t="s">
        <v>25</v>
      </c>
      <c r="E455" s="111" t="s">
        <v>7</v>
      </c>
      <c r="F455" s="106" t="s">
        <v>26</v>
      </c>
      <c r="G455" s="24">
        <v>126619</v>
      </c>
      <c r="H455" s="24">
        <v>0</v>
      </c>
      <c r="I455" s="24"/>
      <c r="J455" s="24"/>
      <c r="K455" s="24">
        <f t="shared" si="64"/>
        <v>126619</v>
      </c>
      <c r="L455" s="24">
        <v>127057.89</v>
      </c>
      <c r="M455" s="24"/>
      <c r="N455" s="24"/>
      <c r="O455" s="24"/>
      <c r="P455" s="24">
        <f aca="true" t="shared" si="71" ref="P455:P506">SUM(L455:O455)</f>
        <v>127057.89</v>
      </c>
      <c r="Q455" s="30">
        <f t="shared" si="63"/>
        <v>1.0034662254479976</v>
      </c>
    </row>
    <row r="456" spans="1:17" ht="12.75">
      <c r="A456" s="15"/>
      <c r="B456" s="16" t="s">
        <v>378</v>
      </c>
      <c r="C456" s="17"/>
      <c r="D456" s="123"/>
      <c r="E456" s="123"/>
      <c r="F456" s="107"/>
      <c r="G456" s="26">
        <f>SUM(G453:G455)</f>
        <v>126685</v>
      </c>
      <c r="H456" s="26">
        <f aca="true" t="shared" si="72" ref="H456:O456">SUM(H453:H455)</f>
        <v>0</v>
      </c>
      <c r="I456" s="26">
        <f t="shared" si="72"/>
        <v>0</v>
      </c>
      <c r="J456" s="26">
        <f t="shared" si="72"/>
        <v>0</v>
      </c>
      <c r="K456" s="26">
        <f t="shared" si="72"/>
        <v>126685</v>
      </c>
      <c r="L456" s="26">
        <f t="shared" si="72"/>
        <v>127123.89</v>
      </c>
      <c r="M456" s="26">
        <f t="shared" si="72"/>
        <v>0</v>
      </c>
      <c r="N456" s="26">
        <f t="shared" si="72"/>
        <v>0</v>
      </c>
      <c r="O456" s="26">
        <f t="shared" si="72"/>
        <v>0</v>
      </c>
      <c r="P456" s="26">
        <f t="shared" si="71"/>
        <v>127123.89</v>
      </c>
      <c r="Q456" s="27">
        <f t="shared" si="63"/>
        <v>1.0034644196234754</v>
      </c>
    </row>
    <row r="457" spans="1:17" s="39" customFormat="1" ht="12.75">
      <c r="A457" s="38"/>
      <c r="B457" s="13">
        <v>90004</v>
      </c>
      <c r="C457" s="133" t="s">
        <v>305</v>
      </c>
      <c r="D457" s="120" t="s">
        <v>40</v>
      </c>
      <c r="E457" s="121">
        <v>0</v>
      </c>
      <c r="F457" s="118" t="s">
        <v>41</v>
      </c>
      <c r="G457" s="45">
        <v>2540</v>
      </c>
      <c r="H457" s="45"/>
      <c r="I457" s="45"/>
      <c r="J457" s="45"/>
      <c r="K457" s="45">
        <f t="shared" si="64"/>
        <v>2540</v>
      </c>
      <c r="L457" s="45">
        <v>2540.22</v>
      </c>
      <c r="M457" s="45"/>
      <c r="N457" s="45"/>
      <c r="O457" s="45"/>
      <c r="P457" s="24">
        <f t="shared" si="71"/>
        <v>2540.22</v>
      </c>
      <c r="Q457" s="89">
        <f t="shared" si="63"/>
        <v>1.0000866141732283</v>
      </c>
    </row>
    <row r="458" spans="1:17" s="39" customFormat="1" ht="19.5">
      <c r="A458" s="38"/>
      <c r="B458" s="37"/>
      <c r="C458" s="134"/>
      <c r="D458" s="111" t="s">
        <v>13</v>
      </c>
      <c r="E458" s="111" t="s">
        <v>7</v>
      </c>
      <c r="F458" s="106" t="s">
        <v>14</v>
      </c>
      <c r="G458" s="45"/>
      <c r="H458" s="45"/>
      <c r="I458" s="45"/>
      <c r="J458" s="45"/>
      <c r="K458" s="45"/>
      <c r="L458" s="45">
        <v>16024.54</v>
      </c>
      <c r="M458" s="45"/>
      <c r="N458" s="45"/>
      <c r="O458" s="45"/>
      <c r="P458" s="24">
        <f t="shared" si="71"/>
        <v>16024.54</v>
      </c>
      <c r="Q458" s="89"/>
    </row>
    <row r="459" spans="1:17" s="39" customFormat="1" ht="12.75">
      <c r="A459" s="38"/>
      <c r="B459" s="37"/>
      <c r="C459" s="134"/>
      <c r="D459" s="125" t="s">
        <v>23</v>
      </c>
      <c r="E459" s="111">
        <v>0</v>
      </c>
      <c r="F459" s="106" t="s">
        <v>24</v>
      </c>
      <c r="G459" s="45">
        <v>3764</v>
      </c>
      <c r="H459" s="45"/>
      <c r="I459" s="45"/>
      <c r="J459" s="45"/>
      <c r="K459" s="45">
        <f t="shared" si="64"/>
        <v>3764</v>
      </c>
      <c r="L459" s="45">
        <v>3938.71</v>
      </c>
      <c r="M459" s="45"/>
      <c r="N459" s="45"/>
      <c r="O459" s="45"/>
      <c r="P459" s="24">
        <f t="shared" si="71"/>
        <v>3938.71</v>
      </c>
      <c r="Q459" s="89">
        <f t="shared" si="63"/>
        <v>1.0464160467587673</v>
      </c>
    </row>
    <row r="460" spans="1:17" s="39" customFormat="1" ht="19.5">
      <c r="A460" s="38"/>
      <c r="B460" s="37"/>
      <c r="C460" s="134"/>
      <c r="D460" s="111" t="s">
        <v>25</v>
      </c>
      <c r="E460" s="111" t="s">
        <v>7</v>
      </c>
      <c r="F460" s="106" t="s">
        <v>26</v>
      </c>
      <c r="G460" s="45">
        <v>9850</v>
      </c>
      <c r="H460" s="45"/>
      <c r="I460" s="45"/>
      <c r="J460" s="45"/>
      <c r="K460" s="45">
        <f t="shared" si="64"/>
        <v>9850</v>
      </c>
      <c r="L460" s="45">
        <v>19764.34</v>
      </c>
      <c r="M460" s="45"/>
      <c r="N460" s="45"/>
      <c r="O460" s="45"/>
      <c r="P460" s="24">
        <f t="shared" si="71"/>
        <v>19764.34</v>
      </c>
      <c r="Q460" s="89">
        <f t="shared" si="63"/>
        <v>2.0065319796954313</v>
      </c>
    </row>
    <row r="461" spans="1:17" ht="99" customHeight="1">
      <c r="A461" s="15"/>
      <c r="B461" s="37"/>
      <c r="C461" s="63"/>
      <c r="D461" s="111" t="s">
        <v>44</v>
      </c>
      <c r="E461" s="111" t="s">
        <v>28</v>
      </c>
      <c r="F461" s="106" t="s">
        <v>45</v>
      </c>
      <c r="G461" s="24">
        <v>1354220</v>
      </c>
      <c r="H461" s="24"/>
      <c r="I461" s="24"/>
      <c r="J461" s="24"/>
      <c r="K461" s="24">
        <f t="shared" si="64"/>
        <v>1354220</v>
      </c>
      <c r="L461" s="24">
        <v>1354219.99</v>
      </c>
      <c r="M461" s="24"/>
      <c r="N461" s="24"/>
      <c r="O461" s="24"/>
      <c r="P461" s="24">
        <f t="shared" si="71"/>
        <v>1354219.99</v>
      </c>
      <c r="Q461" s="30">
        <f t="shared" si="63"/>
        <v>0.9999999926156754</v>
      </c>
    </row>
    <row r="462" spans="1:17" ht="105" customHeight="1">
      <c r="A462" s="15"/>
      <c r="B462" s="20"/>
      <c r="C462" s="15"/>
      <c r="D462" s="111" t="s">
        <v>306</v>
      </c>
      <c r="E462" s="111" t="s">
        <v>85</v>
      </c>
      <c r="F462" s="106" t="s">
        <v>307</v>
      </c>
      <c r="G462" s="24">
        <v>160001</v>
      </c>
      <c r="H462" s="24"/>
      <c r="I462" s="24"/>
      <c r="J462" s="24"/>
      <c r="K462" s="24">
        <f t="shared" si="64"/>
        <v>160001</v>
      </c>
      <c r="L462" s="24">
        <v>160000.5</v>
      </c>
      <c r="M462" s="24"/>
      <c r="N462" s="24"/>
      <c r="O462" s="24"/>
      <c r="P462" s="24">
        <f t="shared" si="71"/>
        <v>160000.5</v>
      </c>
      <c r="Q462" s="30">
        <f t="shared" si="63"/>
        <v>0.9999968750195312</v>
      </c>
    </row>
    <row r="463" spans="1:17" ht="12.75">
      <c r="A463" s="15"/>
      <c r="B463" s="16" t="s">
        <v>308</v>
      </c>
      <c r="C463" s="17"/>
      <c r="D463" s="123"/>
      <c r="E463" s="123"/>
      <c r="F463" s="107"/>
      <c r="G463" s="26">
        <f>SUM(G457:G462)</f>
        <v>1530375</v>
      </c>
      <c r="H463" s="26">
        <f aca="true" t="shared" si="73" ref="H463:O463">SUM(H457:H462)</f>
        <v>0</v>
      </c>
      <c r="I463" s="26">
        <f t="shared" si="73"/>
        <v>0</v>
      </c>
      <c r="J463" s="26">
        <f t="shared" si="73"/>
        <v>0</v>
      </c>
      <c r="K463" s="26">
        <f t="shared" si="73"/>
        <v>1530375</v>
      </c>
      <c r="L463" s="26">
        <f t="shared" si="73"/>
        <v>1556488.3</v>
      </c>
      <c r="M463" s="26">
        <f t="shared" si="73"/>
        <v>0</v>
      </c>
      <c r="N463" s="26">
        <f t="shared" si="73"/>
        <v>0</v>
      </c>
      <c r="O463" s="26">
        <f t="shared" si="73"/>
        <v>0</v>
      </c>
      <c r="P463" s="26">
        <f t="shared" si="71"/>
        <v>1556488.3</v>
      </c>
      <c r="Q463" s="27">
        <f t="shared" si="63"/>
        <v>1.0170633341501267</v>
      </c>
    </row>
    <row r="464" spans="1:17" ht="29.25">
      <c r="A464" s="15"/>
      <c r="B464" s="13">
        <v>90015</v>
      </c>
      <c r="C464" s="14" t="s">
        <v>380</v>
      </c>
      <c r="D464" s="111" t="s">
        <v>25</v>
      </c>
      <c r="E464" s="111" t="s">
        <v>7</v>
      </c>
      <c r="F464" s="106" t="s">
        <v>26</v>
      </c>
      <c r="G464" s="24">
        <v>10406</v>
      </c>
      <c r="H464" s="24"/>
      <c r="I464" s="24"/>
      <c r="J464" s="24"/>
      <c r="K464" s="24">
        <f t="shared" si="64"/>
        <v>10406</v>
      </c>
      <c r="L464" s="24">
        <v>18692.77</v>
      </c>
      <c r="M464" s="24"/>
      <c r="N464" s="24"/>
      <c r="O464" s="24"/>
      <c r="P464" s="24">
        <f t="shared" si="71"/>
        <v>18692.77</v>
      </c>
      <c r="Q464" s="30">
        <f t="shared" si="63"/>
        <v>1.7963453776667309</v>
      </c>
    </row>
    <row r="465" spans="1:17" ht="12.75">
      <c r="A465" s="15"/>
      <c r="B465" s="16" t="s">
        <v>379</v>
      </c>
      <c r="C465" s="17"/>
      <c r="D465" s="123"/>
      <c r="E465" s="123"/>
      <c r="F465" s="107"/>
      <c r="G465" s="26">
        <f aca="true" t="shared" si="74" ref="G465:O465">SUM(G464:G464)</f>
        <v>10406</v>
      </c>
      <c r="H465" s="26">
        <f t="shared" si="74"/>
        <v>0</v>
      </c>
      <c r="I465" s="26">
        <f t="shared" si="74"/>
        <v>0</v>
      </c>
      <c r="J465" s="26">
        <f t="shared" si="74"/>
        <v>0</v>
      </c>
      <c r="K465" s="26">
        <f t="shared" si="64"/>
        <v>10406</v>
      </c>
      <c r="L465" s="26">
        <f t="shared" si="74"/>
        <v>18692.77</v>
      </c>
      <c r="M465" s="26">
        <f t="shared" si="74"/>
        <v>0</v>
      </c>
      <c r="N465" s="26">
        <f t="shared" si="74"/>
        <v>0</v>
      </c>
      <c r="O465" s="26">
        <f t="shared" si="74"/>
        <v>0</v>
      </c>
      <c r="P465" s="26">
        <f t="shared" si="71"/>
        <v>18692.77</v>
      </c>
      <c r="Q465" s="27">
        <f t="shared" si="63"/>
        <v>1.7963453776667309</v>
      </c>
    </row>
    <row r="466" spans="1:17" s="39" customFormat="1" ht="29.25" customHeight="1">
      <c r="A466" s="38"/>
      <c r="B466" s="13">
        <v>90019</v>
      </c>
      <c r="C466" s="133" t="s">
        <v>309</v>
      </c>
      <c r="D466" s="120" t="s">
        <v>36</v>
      </c>
      <c r="E466" s="121">
        <v>0</v>
      </c>
      <c r="F466" s="117" t="s">
        <v>37</v>
      </c>
      <c r="G466" s="45">
        <v>18000</v>
      </c>
      <c r="H466" s="45"/>
      <c r="I466" s="45"/>
      <c r="J466" s="45"/>
      <c r="K466" s="45">
        <f t="shared" si="64"/>
        <v>18000</v>
      </c>
      <c r="L466" s="45">
        <v>17835.3</v>
      </c>
      <c r="M466" s="45"/>
      <c r="N466" s="45"/>
      <c r="O466" s="45"/>
      <c r="P466" s="24">
        <f t="shared" si="71"/>
        <v>17835.3</v>
      </c>
      <c r="Q466" s="89">
        <f t="shared" si="63"/>
        <v>0.99085</v>
      </c>
    </row>
    <row r="467" spans="1:17" ht="48.75" customHeight="1">
      <c r="A467" s="15"/>
      <c r="B467" s="84"/>
      <c r="C467" s="134"/>
      <c r="D467" s="121" t="s">
        <v>38</v>
      </c>
      <c r="E467" s="121" t="s">
        <v>7</v>
      </c>
      <c r="F467" s="119" t="s">
        <v>39</v>
      </c>
      <c r="G467" s="74">
        <v>1273000</v>
      </c>
      <c r="H467" s="24"/>
      <c r="I467" s="24"/>
      <c r="J467" s="24"/>
      <c r="K467" s="24">
        <f t="shared" si="64"/>
        <v>1273000</v>
      </c>
      <c r="L467" s="24">
        <v>1284376.52</v>
      </c>
      <c r="M467" s="24"/>
      <c r="N467" s="24"/>
      <c r="O467" s="24"/>
      <c r="P467" s="24">
        <f t="shared" si="71"/>
        <v>1284376.52</v>
      </c>
      <c r="Q467" s="30">
        <f t="shared" si="63"/>
        <v>1.0089367792615869</v>
      </c>
    </row>
    <row r="468" spans="1:17" ht="12.75">
      <c r="A468" s="15"/>
      <c r="B468" s="20"/>
      <c r="C468" s="63"/>
      <c r="D468" s="111" t="s">
        <v>40</v>
      </c>
      <c r="E468" s="111" t="s">
        <v>7</v>
      </c>
      <c r="F468" s="106" t="s">
        <v>41</v>
      </c>
      <c r="G468" s="24">
        <v>2080000</v>
      </c>
      <c r="H468" s="24"/>
      <c r="I468" s="24"/>
      <c r="J468" s="24"/>
      <c r="K468" s="24">
        <f t="shared" si="64"/>
        <v>2080000</v>
      </c>
      <c r="L468" s="24">
        <v>2238577.81</v>
      </c>
      <c r="M468" s="24"/>
      <c r="N468" s="24"/>
      <c r="O468" s="24"/>
      <c r="P468" s="24">
        <f t="shared" si="71"/>
        <v>2238577.81</v>
      </c>
      <c r="Q468" s="30">
        <f t="shared" si="63"/>
        <v>1.0762393317307692</v>
      </c>
    </row>
    <row r="469" spans="1:17" ht="12.75">
      <c r="A469" s="15"/>
      <c r="B469" s="20"/>
      <c r="C469" s="63"/>
      <c r="D469" s="111" t="s">
        <v>21</v>
      </c>
      <c r="E469" s="111" t="s">
        <v>7</v>
      </c>
      <c r="F469" s="106" t="s">
        <v>22</v>
      </c>
      <c r="G469" s="24"/>
      <c r="H469" s="24"/>
      <c r="I469" s="24"/>
      <c r="J469" s="24"/>
      <c r="K469" s="24">
        <f t="shared" si="64"/>
        <v>0</v>
      </c>
      <c r="L469" s="24">
        <v>83.75</v>
      </c>
      <c r="M469" s="24"/>
      <c r="N469" s="24"/>
      <c r="O469" s="24"/>
      <c r="P469" s="24">
        <f t="shared" si="71"/>
        <v>83.75</v>
      </c>
      <c r="Q469" s="30"/>
    </row>
    <row r="470" spans="1:17" ht="27" customHeight="1">
      <c r="A470" s="15"/>
      <c r="B470" s="20"/>
      <c r="C470" s="63"/>
      <c r="D470" s="125" t="s">
        <v>141</v>
      </c>
      <c r="E470" s="111">
        <v>0</v>
      </c>
      <c r="F470" s="106" t="s">
        <v>142</v>
      </c>
      <c r="G470" s="24">
        <v>17000</v>
      </c>
      <c r="H470" s="24"/>
      <c r="I470" s="24"/>
      <c r="J470" s="24"/>
      <c r="K470" s="24">
        <f t="shared" si="64"/>
        <v>17000</v>
      </c>
      <c r="L470" s="24">
        <v>17052.11</v>
      </c>
      <c r="M470" s="24"/>
      <c r="N470" s="24"/>
      <c r="O470" s="24"/>
      <c r="P470" s="24">
        <f t="shared" si="71"/>
        <v>17052.11</v>
      </c>
      <c r="Q470" s="30">
        <f t="shared" si="63"/>
        <v>1.003065294117647</v>
      </c>
    </row>
    <row r="471" spans="1:17" ht="12.75">
      <c r="A471" s="15"/>
      <c r="B471" s="20"/>
      <c r="C471" s="81"/>
      <c r="D471" s="111" t="s">
        <v>23</v>
      </c>
      <c r="E471" s="111" t="s">
        <v>7</v>
      </c>
      <c r="F471" s="106" t="s">
        <v>24</v>
      </c>
      <c r="G471" s="24">
        <v>12000</v>
      </c>
      <c r="H471" s="24"/>
      <c r="I471" s="24"/>
      <c r="J471" s="24"/>
      <c r="K471" s="24">
        <f t="shared" si="64"/>
        <v>12000</v>
      </c>
      <c r="L471" s="24">
        <v>361.59</v>
      </c>
      <c r="M471" s="24"/>
      <c r="N471" s="24"/>
      <c r="O471" s="24"/>
      <c r="P471" s="24">
        <f t="shared" si="71"/>
        <v>361.59</v>
      </c>
      <c r="Q471" s="30">
        <f t="shared" si="63"/>
        <v>0.0301325</v>
      </c>
    </row>
    <row r="472" spans="1:17" ht="12.75">
      <c r="A472" s="15"/>
      <c r="B472" s="16" t="s">
        <v>310</v>
      </c>
      <c r="C472" s="17"/>
      <c r="D472" s="123"/>
      <c r="E472" s="123"/>
      <c r="F472" s="107"/>
      <c r="G472" s="26">
        <f>SUM(G466:G471)</f>
        <v>3400000</v>
      </c>
      <c r="H472" s="26">
        <f aca="true" t="shared" si="75" ref="H472:O472">SUM(H466:H471)</f>
        <v>0</v>
      </c>
      <c r="I472" s="26">
        <f t="shared" si="75"/>
        <v>0</v>
      </c>
      <c r="J472" s="26">
        <f t="shared" si="75"/>
        <v>0</v>
      </c>
      <c r="K472" s="26">
        <f t="shared" si="75"/>
        <v>3400000</v>
      </c>
      <c r="L472" s="26">
        <f t="shared" si="75"/>
        <v>3558287.0799999996</v>
      </c>
      <c r="M472" s="26">
        <f t="shared" si="75"/>
        <v>0</v>
      </c>
      <c r="N472" s="26">
        <f t="shared" si="75"/>
        <v>0</v>
      </c>
      <c r="O472" s="26">
        <f t="shared" si="75"/>
        <v>0</v>
      </c>
      <c r="P472" s="26">
        <f t="shared" si="71"/>
        <v>3558287.0799999996</v>
      </c>
      <c r="Q472" s="27">
        <f t="shared" si="63"/>
        <v>1.0465550235294117</v>
      </c>
    </row>
    <row r="473" spans="1:17" s="39" customFormat="1" ht="29.25" customHeight="1">
      <c r="A473" s="38"/>
      <c r="B473" s="13">
        <v>90095</v>
      </c>
      <c r="C473" s="14" t="s">
        <v>50</v>
      </c>
      <c r="D473" s="120" t="s">
        <v>36</v>
      </c>
      <c r="E473" s="121">
        <v>0</v>
      </c>
      <c r="F473" s="106" t="s">
        <v>37</v>
      </c>
      <c r="G473" s="45">
        <v>3468</v>
      </c>
      <c r="H473" s="45"/>
      <c r="I473" s="45"/>
      <c r="J473" s="45"/>
      <c r="K473" s="45">
        <f t="shared" si="64"/>
        <v>3468</v>
      </c>
      <c r="L473" s="45">
        <v>4948.39</v>
      </c>
      <c r="M473" s="45"/>
      <c r="N473" s="45"/>
      <c r="O473" s="45"/>
      <c r="P473" s="24">
        <f t="shared" si="71"/>
        <v>4948.39</v>
      </c>
      <c r="Q473" s="30">
        <f t="shared" si="63"/>
        <v>1.4268713956170704</v>
      </c>
    </row>
    <row r="474" spans="1:17" s="39" customFormat="1" ht="12.75">
      <c r="A474" s="38"/>
      <c r="B474" s="37"/>
      <c r="C474" s="63"/>
      <c r="D474" s="111" t="s">
        <v>40</v>
      </c>
      <c r="E474" s="111" t="s">
        <v>7</v>
      </c>
      <c r="F474" s="106" t="s">
        <v>41</v>
      </c>
      <c r="G474" s="45">
        <v>144</v>
      </c>
      <c r="H474" s="45"/>
      <c r="I474" s="45"/>
      <c r="J474" s="45"/>
      <c r="K474" s="45">
        <f t="shared" si="64"/>
        <v>144</v>
      </c>
      <c r="L474" s="45">
        <v>167.6</v>
      </c>
      <c r="M474" s="45"/>
      <c r="N474" s="45"/>
      <c r="O474" s="45"/>
      <c r="P474" s="24">
        <f t="shared" si="71"/>
        <v>167.6</v>
      </c>
      <c r="Q474" s="30">
        <f t="shared" si="63"/>
        <v>1.1638888888888888</v>
      </c>
    </row>
    <row r="475" spans="1:17" ht="12.75">
      <c r="A475" s="15"/>
      <c r="B475" s="37"/>
      <c r="C475" s="63"/>
      <c r="D475" s="111" t="s">
        <v>21</v>
      </c>
      <c r="E475" s="111" t="s">
        <v>7</v>
      </c>
      <c r="F475" s="106" t="s">
        <v>22</v>
      </c>
      <c r="G475" s="24">
        <v>880</v>
      </c>
      <c r="H475" s="24"/>
      <c r="I475" s="24"/>
      <c r="J475" s="24"/>
      <c r="K475" s="24">
        <f t="shared" si="64"/>
        <v>880</v>
      </c>
      <c r="L475" s="24">
        <v>939.78</v>
      </c>
      <c r="M475" s="24"/>
      <c r="N475" s="24"/>
      <c r="O475" s="24"/>
      <c r="P475" s="24">
        <f t="shared" si="71"/>
        <v>939.78</v>
      </c>
      <c r="Q475" s="30">
        <f t="shared" si="63"/>
        <v>1.0679318181818183</v>
      </c>
    </row>
    <row r="476" spans="1:17" ht="19.5">
      <c r="A476" s="15"/>
      <c r="B476" s="37"/>
      <c r="C476" s="63"/>
      <c r="D476" s="125" t="s">
        <v>357</v>
      </c>
      <c r="E476" s="111">
        <v>0</v>
      </c>
      <c r="F476" s="106" t="s">
        <v>358</v>
      </c>
      <c r="G476" s="24">
        <v>96</v>
      </c>
      <c r="H476" s="24"/>
      <c r="I476" s="24"/>
      <c r="J476" s="24"/>
      <c r="K476" s="24">
        <f t="shared" si="64"/>
        <v>96</v>
      </c>
      <c r="L476" s="24">
        <v>96</v>
      </c>
      <c r="M476" s="24"/>
      <c r="N476" s="24"/>
      <c r="O476" s="24"/>
      <c r="P476" s="24">
        <f t="shared" si="71"/>
        <v>96</v>
      </c>
      <c r="Q476" s="30">
        <f t="shared" si="63"/>
        <v>1</v>
      </c>
    </row>
    <row r="477" spans="1:17" ht="12.75">
      <c r="A477" s="15"/>
      <c r="B477" s="37"/>
      <c r="C477" s="63"/>
      <c r="D477" s="125" t="s">
        <v>23</v>
      </c>
      <c r="E477" s="111">
        <v>0</v>
      </c>
      <c r="F477" s="106" t="s">
        <v>24</v>
      </c>
      <c r="G477" s="24"/>
      <c r="H477" s="24"/>
      <c r="I477" s="24"/>
      <c r="J477" s="24"/>
      <c r="K477" s="24">
        <f t="shared" si="64"/>
        <v>0</v>
      </c>
      <c r="L477" s="24">
        <v>125.7</v>
      </c>
      <c r="M477" s="24"/>
      <c r="N477" s="24"/>
      <c r="O477" s="24"/>
      <c r="P477" s="24">
        <f t="shared" si="71"/>
        <v>125.7</v>
      </c>
      <c r="Q477" s="30"/>
    </row>
    <row r="478" spans="1:17" ht="19.5">
      <c r="A478" s="15"/>
      <c r="B478" s="20"/>
      <c r="C478" s="65"/>
      <c r="D478" s="111" t="s">
        <v>25</v>
      </c>
      <c r="E478" s="111" t="s">
        <v>7</v>
      </c>
      <c r="F478" s="106" t="s">
        <v>26</v>
      </c>
      <c r="G478" s="24">
        <v>18041</v>
      </c>
      <c r="H478" s="24"/>
      <c r="I478" s="24"/>
      <c r="J478" s="24"/>
      <c r="K478" s="24">
        <f t="shared" si="64"/>
        <v>18041</v>
      </c>
      <c r="L478" s="24">
        <v>21359.72</v>
      </c>
      <c r="M478" s="24"/>
      <c r="N478" s="24"/>
      <c r="O478" s="24"/>
      <c r="P478" s="24">
        <f t="shared" si="71"/>
        <v>21359.72</v>
      </c>
      <c r="Q478" s="30">
        <f t="shared" si="63"/>
        <v>1.1839543262568595</v>
      </c>
    </row>
    <row r="479" spans="1:17" ht="107.25">
      <c r="A479" s="15"/>
      <c r="B479" s="20"/>
      <c r="C479" s="15"/>
      <c r="D479" s="111" t="s">
        <v>27</v>
      </c>
      <c r="E479" s="111" t="s">
        <v>28</v>
      </c>
      <c r="F479" s="106" t="s">
        <v>29</v>
      </c>
      <c r="G479" s="24">
        <v>125300</v>
      </c>
      <c r="H479" s="24"/>
      <c r="I479" s="24"/>
      <c r="J479" s="24"/>
      <c r="K479" s="24">
        <f t="shared" si="64"/>
        <v>125300</v>
      </c>
      <c r="L479" s="24"/>
      <c r="M479" s="24"/>
      <c r="N479" s="24"/>
      <c r="O479" s="24"/>
      <c r="P479" s="24">
        <f t="shared" si="71"/>
        <v>0</v>
      </c>
      <c r="Q479" s="30">
        <f t="shared" si="63"/>
        <v>0</v>
      </c>
    </row>
    <row r="480" spans="1:17" ht="81" customHeight="1">
      <c r="A480" s="15"/>
      <c r="B480" s="69"/>
      <c r="C480" s="81"/>
      <c r="D480" s="111">
        <v>246</v>
      </c>
      <c r="E480" s="111">
        <v>0</v>
      </c>
      <c r="F480" s="106" t="s">
        <v>394</v>
      </c>
      <c r="G480" s="24">
        <v>5620</v>
      </c>
      <c r="H480" s="24"/>
      <c r="I480" s="24"/>
      <c r="J480" s="24"/>
      <c r="K480" s="24">
        <f t="shared" si="64"/>
        <v>5620</v>
      </c>
      <c r="L480" s="24">
        <v>4981</v>
      </c>
      <c r="M480" s="24"/>
      <c r="N480" s="24"/>
      <c r="O480" s="24"/>
      <c r="P480" s="24">
        <f t="shared" si="71"/>
        <v>4981</v>
      </c>
      <c r="Q480" s="30">
        <f>P480/K480</f>
        <v>0.8862989323843417</v>
      </c>
    </row>
    <row r="481" spans="1:17" ht="12.75">
      <c r="A481" s="15"/>
      <c r="B481" s="16" t="s">
        <v>311</v>
      </c>
      <c r="C481" s="17"/>
      <c r="D481" s="123"/>
      <c r="E481" s="123"/>
      <c r="F481" s="107"/>
      <c r="G481" s="26">
        <f>SUM(G473:G480)</f>
        <v>153549</v>
      </c>
      <c r="H481" s="26">
        <f aca="true" t="shared" si="76" ref="H481:O481">SUM(H473:H480)</f>
        <v>0</v>
      </c>
      <c r="I481" s="26">
        <f t="shared" si="76"/>
        <v>0</v>
      </c>
      <c r="J481" s="26">
        <f t="shared" si="76"/>
        <v>0</v>
      </c>
      <c r="K481" s="26">
        <f t="shared" si="76"/>
        <v>153549</v>
      </c>
      <c r="L481" s="26">
        <f t="shared" si="76"/>
        <v>32618.190000000002</v>
      </c>
      <c r="M481" s="26">
        <f t="shared" si="76"/>
        <v>0</v>
      </c>
      <c r="N481" s="26">
        <f t="shared" si="76"/>
        <v>0</v>
      </c>
      <c r="O481" s="26">
        <f t="shared" si="76"/>
        <v>0</v>
      </c>
      <c r="P481" s="26">
        <f t="shared" si="71"/>
        <v>32618.190000000002</v>
      </c>
      <c r="Q481" s="27">
        <f t="shared" si="63"/>
        <v>0.2124285407264131</v>
      </c>
    </row>
    <row r="482" spans="1:17" ht="12.75">
      <c r="A482" s="18" t="s">
        <v>312</v>
      </c>
      <c r="B482" s="19"/>
      <c r="C482" s="19"/>
      <c r="D482" s="124"/>
      <c r="E482" s="124"/>
      <c r="F482" s="108"/>
      <c r="G482" s="28">
        <f>SUM(G481,G472,G465,G463,G456,G452,G448)</f>
        <v>10666082</v>
      </c>
      <c r="H482" s="28">
        <f aca="true" t="shared" si="77" ref="H482:O482">SUM(H481,H472,H465,H463,H456,H452,H448)</f>
        <v>0</v>
      </c>
      <c r="I482" s="28">
        <f t="shared" si="77"/>
        <v>0</v>
      </c>
      <c r="J482" s="28">
        <f t="shared" si="77"/>
        <v>0</v>
      </c>
      <c r="K482" s="28">
        <f t="shared" si="77"/>
        <v>10666082</v>
      </c>
      <c r="L482" s="28">
        <f t="shared" si="77"/>
        <v>13740632.530000001</v>
      </c>
      <c r="M482" s="28">
        <f t="shared" si="77"/>
        <v>470861.5</v>
      </c>
      <c r="N482" s="28">
        <f t="shared" si="77"/>
        <v>0</v>
      </c>
      <c r="O482" s="28">
        <f t="shared" si="77"/>
        <v>0</v>
      </c>
      <c r="P482" s="28">
        <f t="shared" si="71"/>
        <v>14211494.030000001</v>
      </c>
      <c r="Q482" s="29">
        <f t="shared" si="63"/>
        <v>1.3324005975202518</v>
      </c>
    </row>
    <row r="483" spans="1:17" ht="107.25">
      <c r="A483" s="149" t="s">
        <v>342</v>
      </c>
      <c r="B483" s="13">
        <v>92109</v>
      </c>
      <c r="C483" s="14" t="s">
        <v>384</v>
      </c>
      <c r="D483" s="125" t="s">
        <v>353</v>
      </c>
      <c r="E483" s="111" t="s">
        <v>7</v>
      </c>
      <c r="F483" s="106" t="s">
        <v>354</v>
      </c>
      <c r="G483" s="24">
        <v>13659</v>
      </c>
      <c r="H483" s="24"/>
      <c r="I483" s="24"/>
      <c r="J483" s="24"/>
      <c r="K483" s="24">
        <f t="shared" si="64"/>
        <v>13659</v>
      </c>
      <c r="L483" s="24">
        <v>13658.91</v>
      </c>
      <c r="M483" s="24"/>
      <c r="N483" s="24"/>
      <c r="O483" s="24"/>
      <c r="P483" s="24">
        <f t="shared" si="71"/>
        <v>13658.91</v>
      </c>
      <c r="Q483" s="30">
        <f t="shared" si="63"/>
        <v>0.9999934109378432</v>
      </c>
    </row>
    <row r="484" spans="1:17" ht="19.5">
      <c r="A484" s="156"/>
      <c r="B484" s="37"/>
      <c r="C484" s="63"/>
      <c r="D484" s="111" t="s">
        <v>25</v>
      </c>
      <c r="E484" s="111" t="s">
        <v>7</v>
      </c>
      <c r="F484" s="106" t="s">
        <v>26</v>
      </c>
      <c r="G484" s="24"/>
      <c r="H484" s="24"/>
      <c r="I484" s="24"/>
      <c r="J484" s="24"/>
      <c r="K484" s="24"/>
      <c r="L484" s="24">
        <v>329025</v>
      </c>
      <c r="M484" s="24"/>
      <c r="N484" s="24"/>
      <c r="O484" s="24"/>
      <c r="P484" s="24">
        <f t="shared" si="71"/>
        <v>329025</v>
      </c>
      <c r="Q484" s="30"/>
    </row>
    <row r="485" spans="1:17" ht="103.5" customHeight="1">
      <c r="A485" s="156"/>
      <c r="B485" s="37"/>
      <c r="C485" s="63"/>
      <c r="D485" s="121">
        <v>291</v>
      </c>
      <c r="E485" s="121">
        <v>0</v>
      </c>
      <c r="F485" s="106" t="s">
        <v>346</v>
      </c>
      <c r="G485" s="24">
        <v>100000</v>
      </c>
      <c r="H485" s="24"/>
      <c r="I485" s="24"/>
      <c r="J485" s="24"/>
      <c r="K485" s="24">
        <f t="shared" si="64"/>
        <v>100000</v>
      </c>
      <c r="L485" s="24">
        <f>8840+100000</f>
        <v>108840</v>
      </c>
      <c r="M485" s="24"/>
      <c r="N485" s="24"/>
      <c r="O485" s="24"/>
      <c r="P485" s="24">
        <f t="shared" si="71"/>
        <v>108840</v>
      </c>
      <c r="Q485" s="30">
        <f t="shared" si="63"/>
        <v>1.0884</v>
      </c>
    </row>
    <row r="486" spans="1:17" ht="12.75">
      <c r="A486" s="156"/>
      <c r="B486" s="16" t="s">
        <v>381</v>
      </c>
      <c r="C486" s="17"/>
      <c r="D486" s="123"/>
      <c r="E486" s="123"/>
      <c r="F486" s="107"/>
      <c r="G486" s="26">
        <f>SUM(G483:G485)</f>
        <v>113659</v>
      </c>
      <c r="H486" s="26">
        <f aca="true" t="shared" si="78" ref="H486:O486">SUM(H483:H485)</f>
        <v>0</v>
      </c>
      <c r="I486" s="26">
        <f t="shared" si="78"/>
        <v>0</v>
      </c>
      <c r="J486" s="26">
        <f t="shared" si="78"/>
        <v>0</v>
      </c>
      <c r="K486" s="26">
        <f t="shared" si="78"/>
        <v>113659</v>
      </c>
      <c r="L486" s="26">
        <f t="shared" si="78"/>
        <v>451523.91</v>
      </c>
      <c r="M486" s="26">
        <f t="shared" si="78"/>
        <v>0</v>
      </c>
      <c r="N486" s="26">
        <f t="shared" si="78"/>
        <v>0</v>
      </c>
      <c r="O486" s="26">
        <f t="shared" si="78"/>
        <v>0</v>
      </c>
      <c r="P486" s="26">
        <f t="shared" si="71"/>
        <v>451523.91</v>
      </c>
      <c r="Q486" s="27">
        <f t="shared" si="63"/>
        <v>3.972619062282793</v>
      </c>
    </row>
    <row r="487" spans="1:17" ht="105.75" customHeight="1">
      <c r="A487" s="156"/>
      <c r="B487" s="13">
        <v>92114</v>
      </c>
      <c r="C487" s="14" t="s">
        <v>385</v>
      </c>
      <c r="D487" s="121">
        <v>291</v>
      </c>
      <c r="E487" s="121">
        <v>0</v>
      </c>
      <c r="F487" s="106" t="s">
        <v>346</v>
      </c>
      <c r="G487" s="24"/>
      <c r="H487" s="24"/>
      <c r="I487" s="24"/>
      <c r="J487" s="24"/>
      <c r="K487" s="24">
        <f t="shared" si="64"/>
        <v>0</v>
      </c>
      <c r="L487" s="24">
        <v>550092.45</v>
      </c>
      <c r="M487" s="24"/>
      <c r="N487" s="24"/>
      <c r="O487" s="24"/>
      <c r="P487" s="24">
        <f t="shared" si="71"/>
        <v>550092.45</v>
      </c>
      <c r="Q487" s="30"/>
    </row>
    <row r="488" spans="1:17" ht="12.75">
      <c r="A488" s="36"/>
      <c r="B488" s="16" t="s">
        <v>382</v>
      </c>
      <c r="C488" s="17"/>
      <c r="D488" s="123"/>
      <c r="E488" s="123"/>
      <c r="F488" s="107"/>
      <c r="G488" s="26">
        <f aca="true" t="shared" si="79" ref="G488:O488">SUM(G487)</f>
        <v>0</v>
      </c>
      <c r="H488" s="26">
        <f t="shared" si="79"/>
        <v>0</v>
      </c>
      <c r="I488" s="26">
        <f t="shared" si="79"/>
        <v>0</v>
      </c>
      <c r="J488" s="26">
        <f t="shared" si="79"/>
        <v>0</v>
      </c>
      <c r="K488" s="26">
        <f t="shared" si="64"/>
        <v>0</v>
      </c>
      <c r="L488" s="26">
        <f t="shared" si="79"/>
        <v>550092.45</v>
      </c>
      <c r="M488" s="26">
        <f t="shared" si="79"/>
        <v>0</v>
      </c>
      <c r="N488" s="26">
        <f t="shared" si="79"/>
        <v>0</v>
      </c>
      <c r="O488" s="26">
        <f t="shared" si="79"/>
        <v>0</v>
      </c>
      <c r="P488" s="26">
        <f t="shared" si="71"/>
        <v>550092.45</v>
      </c>
      <c r="Q488" s="27"/>
    </row>
    <row r="489" spans="1:17" s="39" customFormat="1" ht="12.75">
      <c r="A489" s="70"/>
      <c r="B489" s="13">
        <v>92118</v>
      </c>
      <c r="C489" s="14" t="s">
        <v>386</v>
      </c>
      <c r="D489" s="125" t="s">
        <v>23</v>
      </c>
      <c r="E489" s="111">
        <v>0</v>
      </c>
      <c r="F489" s="106" t="s">
        <v>24</v>
      </c>
      <c r="G489" s="49"/>
      <c r="H489" s="49"/>
      <c r="I489" s="49"/>
      <c r="J489" s="49"/>
      <c r="K489" s="49">
        <f t="shared" si="64"/>
        <v>0</v>
      </c>
      <c r="L489" s="45">
        <v>301.99</v>
      </c>
      <c r="M489" s="45"/>
      <c r="N489" s="45"/>
      <c r="O489" s="45"/>
      <c r="P489" s="24">
        <f t="shared" si="71"/>
        <v>301.99</v>
      </c>
      <c r="Q489" s="50"/>
    </row>
    <row r="490" spans="1:17" ht="103.5" customHeight="1">
      <c r="A490" s="36"/>
      <c r="B490" s="37"/>
      <c r="C490" s="63"/>
      <c r="D490" s="121">
        <v>291</v>
      </c>
      <c r="E490" s="121">
        <v>0</v>
      </c>
      <c r="F490" s="106" t="s">
        <v>346</v>
      </c>
      <c r="G490" s="24"/>
      <c r="H490" s="24"/>
      <c r="I490" s="24"/>
      <c r="J490" s="24"/>
      <c r="K490" s="24">
        <f t="shared" si="64"/>
        <v>0</v>
      </c>
      <c r="L490" s="24">
        <v>67486.11</v>
      </c>
      <c r="M490" s="24"/>
      <c r="N490" s="24"/>
      <c r="O490" s="24"/>
      <c r="P490" s="24">
        <f t="shared" si="71"/>
        <v>67486.11</v>
      </c>
      <c r="Q490" s="30"/>
    </row>
    <row r="491" spans="1:17" ht="12.75">
      <c r="A491" s="36"/>
      <c r="B491" s="16" t="s">
        <v>383</v>
      </c>
      <c r="C491" s="17"/>
      <c r="D491" s="123"/>
      <c r="E491" s="123"/>
      <c r="F491" s="107"/>
      <c r="G491" s="26">
        <f>SUM(G490)</f>
        <v>0</v>
      </c>
      <c r="H491" s="26">
        <f>SUM(H490)</f>
        <v>0</v>
      </c>
      <c r="I491" s="26">
        <f>SUM(I490)</f>
        <v>0</v>
      </c>
      <c r="J491" s="26">
        <f>SUM(J490)</f>
        <v>0</v>
      </c>
      <c r="K491" s="26">
        <f t="shared" si="64"/>
        <v>0</v>
      </c>
      <c r="L491" s="26">
        <f>SUM(L489:L490)</f>
        <v>67788.1</v>
      </c>
      <c r="M491" s="26">
        <f>SUM(M489:M490)</f>
        <v>0</v>
      </c>
      <c r="N491" s="26">
        <f>SUM(N489:N490)</f>
        <v>0</v>
      </c>
      <c r="O491" s="26">
        <f>SUM(O489:O490)</f>
        <v>0</v>
      </c>
      <c r="P491" s="26">
        <f t="shared" si="71"/>
        <v>67788.1</v>
      </c>
      <c r="Q491" s="27"/>
    </row>
    <row r="492" spans="1:17" ht="60" customHeight="1">
      <c r="A492" s="35"/>
      <c r="B492" s="13" t="s">
        <v>313</v>
      </c>
      <c r="C492" s="14" t="s">
        <v>314</v>
      </c>
      <c r="D492" s="111" t="s">
        <v>82</v>
      </c>
      <c r="E492" s="111" t="s">
        <v>7</v>
      </c>
      <c r="F492" s="106" t="s">
        <v>83</v>
      </c>
      <c r="G492" s="24"/>
      <c r="H492" s="24">
        <v>20000</v>
      </c>
      <c r="I492" s="24"/>
      <c r="J492" s="24"/>
      <c r="K492" s="24">
        <f t="shared" si="64"/>
        <v>20000</v>
      </c>
      <c r="L492" s="24"/>
      <c r="M492" s="24">
        <v>19997.25</v>
      </c>
      <c r="N492" s="24"/>
      <c r="O492" s="24"/>
      <c r="P492" s="24">
        <f t="shared" si="71"/>
        <v>19997.25</v>
      </c>
      <c r="Q492" s="30">
        <f t="shared" si="63"/>
        <v>0.9998625</v>
      </c>
    </row>
    <row r="493" spans="1:17" ht="12.75">
      <c r="A493" s="15"/>
      <c r="B493" s="16" t="s">
        <v>315</v>
      </c>
      <c r="C493" s="17"/>
      <c r="D493" s="123"/>
      <c r="E493" s="123"/>
      <c r="F493" s="107"/>
      <c r="G493" s="26">
        <f>SUM(G492)</f>
        <v>0</v>
      </c>
      <c r="H493" s="26">
        <f aca="true" t="shared" si="80" ref="H493:O493">SUM(H492)</f>
        <v>20000</v>
      </c>
      <c r="I493" s="26">
        <f t="shared" si="80"/>
        <v>0</v>
      </c>
      <c r="J493" s="26">
        <f t="shared" si="80"/>
        <v>0</v>
      </c>
      <c r="K493" s="26">
        <f t="shared" si="64"/>
        <v>20000</v>
      </c>
      <c r="L493" s="26">
        <f t="shared" si="80"/>
        <v>0</v>
      </c>
      <c r="M493" s="26">
        <f t="shared" si="80"/>
        <v>19997.25</v>
      </c>
      <c r="N493" s="26">
        <f t="shared" si="80"/>
        <v>0</v>
      </c>
      <c r="O493" s="26">
        <f t="shared" si="80"/>
        <v>0</v>
      </c>
      <c r="P493" s="26">
        <f t="shared" si="71"/>
        <v>19997.25</v>
      </c>
      <c r="Q493" s="27">
        <f t="shared" si="63"/>
        <v>0.9998625</v>
      </c>
    </row>
    <row r="494" spans="1:17" ht="12.75">
      <c r="A494" s="18" t="s">
        <v>316</v>
      </c>
      <c r="B494" s="19"/>
      <c r="C494" s="19"/>
      <c r="D494" s="124"/>
      <c r="E494" s="124"/>
      <c r="F494" s="108"/>
      <c r="G494" s="28">
        <f aca="true" t="shared" si="81" ref="G494:O494">SUM(G486,G488,G491,G493)</f>
        <v>113659</v>
      </c>
      <c r="H494" s="28">
        <f t="shared" si="81"/>
        <v>20000</v>
      </c>
      <c r="I494" s="28">
        <f t="shared" si="81"/>
        <v>0</v>
      </c>
      <c r="J494" s="28">
        <f t="shared" si="81"/>
        <v>0</v>
      </c>
      <c r="K494" s="28">
        <f t="shared" si="64"/>
        <v>133659</v>
      </c>
      <c r="L494" s="28">
        <f t="shared" si="81"/>
        <v>1069404.46</v>
      </c>
      <c r="M494" s="28">
        <f t="shared" si="81"/>
        <v>19997.25</v>
      </c>
      <c r="N494" s="28">
        <f t="shared" si="81"/>
        <v>0</v>
      </c>
      <c r="O494" s="28">
        <f t="shared" si="81"/>
        <v>0</v>
      </c>
      <c r="P494" s="28">
        <f t="shared" si="71"/>
        <v>1089401.71</v>
      </c>
      <c r="Q494" s="29">
        <f t="shared" si="63"/>
        <v>8.150604972355023</v>
      </c>
    </row>
    <row r="495" spans="1:17" ht="66.75" customHeight="1">
      <c r="A495" s="14" t="s">
        <v>343</v>
      </c>
      <c r="B495" s="13">
        <v>92601</v>
      </c>
      <c r="C495" s="14" t="s">
        <v>409</v>
      </c>
      <c r="D495" s="111">
        <v>626</v>
      </c>
      <c r="E495" s="111" t="s">
        <v>7</v>
      </c>
      <c r="F495" s="106" t="s">
        <v>116</v>
      </c>
      <c r="G495" s="24">
        <v>383600</v>
      </c>
      <c r="H495" s="24"/>
      <c r="I495" s="24"/>
      <c r="J495" s="24"/>
      <c r="K495" s="24">
        <f>SUM(G495:J495)</f>
        <v>383600</v>
      </c>
      <c r="L495" s="24">
        <v>248800</v>
      </c>
      <c r="M495" s="24"/>
      <c r="N495" s="24"/>
      <c r="O495" s="24"/>
      <c r="P495" s="24">
        <f t="shared" si="71"/>
        <v>248800</v>
      </c>
      <c r="Q495" s="30">
        <f>P495/K495</f>
        <v>0.64859228362878</v>
      </c>
    </row>
    <row r="496" spans="1:17" ht="12.75">
      <c r="A496" s="36"/>
      <c r="B496" s="16" t="s">
        <v>410</v>
      </c>
      <c r="C496" s="17"/>
      <c r="D496" s="123"/>
      <c r="E496" s="123"/>
      <c r="F496" s="107"/>
      <c r="G496" s="26">
        <f>SUM(G495)</f>
        <v>383600</v>
      </c>
      <c r="H496" s="26">
        <f>SUM(H495)</f>
        <v>0</v>
      </c>
      <c r="I496" s="26">
        <f>SUM(I495)</f>
        <v>0</v>
      </c>
      <c r="J496" s="26">
        <f>SUM(J495)</f>
        <v>0</v>
      </c>
      <c r="K496" s="26">
        <f>SUM(G496:J496)</f>
        <v>383600</v>
      </c>
      <c r="L496" s="26">
        <f>SUM(L495)</f>
        <v>248800</v>
      </c>
      <c r="M496" s="26">
        <f>SUM(M495)</f>
        <v>0</v>
      </c>
      <c r="N496" s="26">
        <f>SUM(N495)</f>
        <v>0</v>
      </c>
      <c r="O496" s="26">
        <f>SUM(O495)</f>
        <v>0</v>
      </c>
      <c r="P496" s="26">
        <f t="shared" si="71"/>
        <v>248800</v>
      </c>
      <c r="Q496" s="27">
        <f>P496/K496</f>
        <v>0.64859228362878</v>
      </c>
    </row>
    <row r="497" spans="1:17" ht="87.75" customHeight="1">
      <c r="A497" s="63"/>
      <c r="B497" s="13" t="s">
        <v>317</v>
      </c>
      <c r="C497" s="14" t="s">
        <v>318</v>
      </c>
      <c r="D497" s="111" t="s">
        <v>19</v>
      </c>
      <c r="E497" s="111" t="s">
        <v>7</v>
      </c>
      <c r="F497" s="106" t="s">
        <v>20</v>
      </c>
      <c r="G497" s="24">
        <v>1718837</v>
      </c>
      <c r="H497" s="24"/>
      <c r="I497" s="24"/>
      <c r="J497" s="24"/>
      <c r="K497" s="24">
        <f t="shared" si="64"/>
        <v>1718837</v>
      </c>
      <c r="L497" s="24">
        <v>1982938.22</v>
      </c>
      <c r="M497" s="24"/>
      <c r="N497" s="24"/>
      <c r="O497" s="24"/>
      <c r="P497" s="24">
        <f t="shared" si="71"/>
        <v>1982938.22</v>
      </c>
      <c r="Q497" s="30">
        <f t="shared" si="63"/>
        <v>1.1536511140963337</v>
      </c>
    </row>
    <row r="498" spans="1:17" ht="12.75">
      <c r="A498" s="15"/>
      <c r="B498" s="20"/>
      <c r="C498" s="15"/>
      <c r="D498" s="111" t="s">
        <v>21</v>
      </c>
      <c r="E498" s="111" t="s">
        <v>7</v>
      </c>
      <c r="F498" s="106" t="s">
        <v>22</v>
      </c>
      <c r="G498" s="24">
        <v>1905679</v>
      </c>
      <c r="H498" s="24"/>
      <c r="I498" s="24"/>
      <c r="J498" s="24"/>
      <c r="K498" s="24">
        <f t="shared" si="64"/>
        <v>1905679</v>
      </c>
      <c r="L498" s="24">
        <v>2218422.85</v>
      </c>
      <c r="M498" s="24"/>
      <c r="N498" s="24"/>
      <c r="O498" s="24"/>
      <c r="P498" s="24">
        <f t="shared" si="71"/>
        <v>2218422.85</v>
      </c>
      <c r="Q498" s="30">
        <f t="shared" si="63"/>
        <v>1.164111505662811</v>
      </c>
    </row>
    <row r="499" spans="1:17" ht="19.5">
      <c r="A499" s="15"/>
      <c r="B499" s="20"/>
      <c r="C499" s="15"/>
      <c r="D499" s="111" t="s">
        <v>13</v>
      </c>
      <c r="E499" s="111" t="s">
        <v>7</v>
      </c>
      <c r="F499" s="106" t="s">
        <v>14</v>
      </c>
      <c r="G499" s="24">
        <v>29982</v>
      </c>
      <c r="H499" s="24"/>
      <c r="I499" s="24"/>
      <c r="J499" s="24"/>
      <c r="K499" s="24">
        <f t="shared" si="64"/>
        <v>29982</v>
      </c>
      <c r="L499" s="24">
        <v>35817.24</v>
      </c>
      <c r="M499" s="24"/>
      <c r="N499" s="24"/>
      <c r="O499" s="24"/>
      <c r="P499" s="24">
        <f t="shared" si="71"/>
        <v>35817.24</v>
      </c>
      <c r="Q499" s="30">
        <f t="shared" si="63"/>
        <v>1.1946247748649188</v>
      </c>
    </row>
    <row r="500" spans="1:17" ht="107.25">
      <c r="A500" s="15"/>
      <c r="B500" s="20"/>
      <c r="C500" s="15"/>
      <c r="D500" s="125" t="s">
        <v>353</v>
      </c>
      <c r="E500" s="111" t="s">
        <v>7</v>
      </c>
      <c r="F500" s="106" t="s">
        <v>354</v>
      </c>
      <c r="G500" s="24"/>
      <c r="H500" s="24"/>
      <c r="I500" s="24"/>
      <c r="J500" s="24"/>
      <c r="K500" s="24"/>
      <c r="L500" s="24">
        <v>187</v>
      </c>
      <c r="M500" s="24"/>
      <c r="N500" s="24"/>
      <c r="O500" s="24"/>
      <c r="P500" s="24">
        <f t="shared" si="71"/>
        <v>187</v>
      </c>
      <c r="Q500" s="30"/>
    </row>
    <row r="501" spans="1:17" ht="12.75">
      <c r="A501" s="15"/>
      <c r="B501" s="20"/>
      <c r="C501" s="15"/>
      <c r="D501" s="136" t="s">
        <v>23</v>
      </c>
      <c r="E501" s="111">
        <v>0</v>
      </c>
      <c r="F501" s="130" t="s">
        <v>24</v>
      </c>
      <c r="G501" s="24">
        <v>18700</v>
      </c>
      <c r="H501" s="24"/>
      <c r="I501" s="24"/>
      <c r="J501" s="24"/>
      <c r="K501" s="24">
        <f t="shared" si="64"/>
        <v>18700</v>
      </c>
      <c r="L501" s="24">
        <f>21796.52+9.19</f>
        <v>21805.71</v>
      </c>
      <c r="M501" s="24"/>
      <c r="N501" s="24"/>
      <c r="O501" s="24"/>
      <c r="P501" s="24">
        <f t="shared" si="71"/>
        <v>21805.71</v>
      </c>
      <c r="Q501" s="30">
        <f t="shared" si="63"/>
        <v>1.1660807486631015</v>
      </c>
    </row>
    <row r="502" spans="1:17" ht="12.75">
      <c r="A502" s="15"/>
      <c r="B502" s="20"/>
      <c r="C502" s="15"/>
      <c r="D502" s="136"/>
      <c r="E502" s="111">
        <v>1</v>
      </c>
      <c r="F502" s="146"/>
      <c r="G502" s="24"/>
      <c r="H502" s="24"/>
      <c r="I502" s="24"/>
      <c r="J502" s="24"/>
      <c r="K502" s="24">
        <f t="shared" si="64"/>
        <v>0</v>
      </c>
      <c r="L502" s="24">
        <v>481.04</v>
      </c>
      <c r="M502" s="24"/>
      <c r="N502" s="24"/>
      <c r="O502" s="24"/>
      <c r="P502" s="24">
        <f t="shared" si="71"/>
        <v>481.04</v>
      </c>
      <c r="Q502" s="30"/>
    </row>
    <row r="503" spans="1:17" ht="12.75">
      <c r="A503" s="15"/>
      <c r="B503" s="20"/>
      <c r="C503" s="15"/>
      <c r="D503" s="136"/>
      <c r="E503" s="111">
        <v>2</v>
      </c>
      <c r="F503" s="131"/>
      <c r="G503" s="24"/>
      <c r="H503" s="24"/>
      <c r="I503" s="24"/>
      <c r="J503" s="24"/>
      <c r="K503" s="24">
        <f t="shared" si="64"/>
        <v>0</v>
      </c>
      <c r="L503" s="24">
        <v>160.34</v>
      </c>
      <c r="M503" s="24"/>
      <c r="N503" s="24"/>
      <c r="O503" s="24"/>
      <c r="P503" s="24">
        <f t="shared" si="71"/>
        <v>160.34</v>
      </c>
      <c r="Q503" s="30"/>
    </row>
    <row r="504" spans="1:17" ht="19.5">
      <c r="A504" s="15"/>
      <c r="B504" s="20"/>
      <c r="C504" s="15"/>
      <c r="D504" s="111" t="s">
        <v>25</v>
      </c>
      <c r="E504" s="111" t="s">
        <v>7</v>
      </c>
      <c r="F504" s="106" t="s">
        <v>26</v>
      </c>
      <c r="G504" s="24">
        <v>305757</v>
      </c>
      <c r="H504" s="24"/>
      <c r="I504" s="24"/>
      <c r="J504" s="24"/>
      <c r="K504" s="24">
        <f t="shared" si="64"/>
        <v>305757</v>
      </c>
      <c r="L504" s="24">
        <f>478551.2-9.19</f>
        <v>478542.01</v>
      </c>
      <c r="M504" s="24"/>
      <c r="N504" s="24"/>
      <c r="O504" s="24"/>
      <c r="P504" s="24">
        <f t="shared" si="71"/>
        <v>478542.01</v>
      </c>
      <c r="Q504" s="30">
        <f t="shared" si="63"/>
        <v>1.565105655798559</v>
      </c>
    </row>
    <row r="505" spans="1:17" ht="57" customHeight="1">
      <c r="A505" s="15"/>
      <c r="B505" s="20"/>
      <c r="C505" s="15"/>
      <c r="D505" s="111" t="s">
        <v>51</v>
      </c>
      <c r="E505" s="111" t="s">
        <v>28</v>
      </c>
      <c r="F505" s="106" t="s">
        <v>52</v>
      </c>
      <c r="G505" s="24">
        <v>142391</v>
      </c>
      <c r="H505" s="24"/>
      <c r="I505" s="24"/>
      <c r="J505" s="24"/>
      <c r="K505" s="24">
        <f t="shared" si="64"/>
        <v>142391</v>
      </c>
      <c r="L505" s="24">
        <v>88205.35</v>
      </c>
      <c r="M505" s="24"/>
      <c r="N505" s="24"/>
      <c r="O505" s="24"/>
      <c r="P505" s="24">
        <f t="shared" si="71"/>
        <v>88205.35</v>
      </c>
      <c r="Q505" s="30">
        <f t="shared" si="63"/>
        <v>0.6194587438812846</v>
      </c>
    </row>
    <row r="506" spans="1:17" ht="105" customHeight="1">
      <c r="A506" s="36"/>
      <c r="B506" s="37"/>
      <c r="C506" s="63"/>
      <c r="D506" s="121">
        <v>291</v>
      </c>
      <c r="E506" s="121">
        <v>0</v>
      </c>
      <c r="F506" s="106" t="s">
        <v>346</v>
      </c>
      <c r="G506" s="24">
        <v>45</v>
      </c>
      <c r="H506" s="24"/>
      <c r="I506" s="24"/>
      <c r="J506" s="24"/>
      <c r="K506" s="24">
        <f t="shared" si="64"/>
        <v>45</v>
      </c>
      <c r="L506" s="24">
        <v>44.76</v>
      </c>
      <c r="M506" s="24"/>
      <c r="N506" s="24"/>
      <c r="O506" s="24"/>
      <c r="P506" s="24">
        <f t="shared" si="71"/>
        <v>44.76</v>
      </c>
      <c r="Q506" s="30"/>
    </row>
    <row r="507" spans="1:17" ht="12.75">
      <c r="A507" s="15"/>
      <c r="B507" s="16" t="s">
        <v>319</v>
      </c>
      <c r="C507" s="17"/>
      <c r="D507" s="123"/>
      <c r="E507" s="123"/>
      <c r="F507" s="107"/>
      <c r="G507" s="26">
        <f aca="true" t="shared" si="82" ref="G507:O507">SUM(G497:G506)</f>
        <v>4121391</v>
      </c>
      <c r="H507" s="26">
        <f t="shared" si="82"/>
        <v>0</v>
      </c>
      <c r="I507" s="26">
        <f t="shared" si="82"/>
        <v>0</v>
      </c>
      <c r="J507" s="26">
        <f t="shared" si="82"/>
        <v>0</v>
      </c>
      <c r="K507" s="26">
        <f t="shared" si="82"/>
        <v>4121391</v>
      </c>
      <c r="L507" s="26">
        <f t="shared" si="82"/>
        <v>4826604.52</v>
      </c>
      <c r="M507" s="26">
        <f t="shared" si="82"/>
        <v>0</v>
      </c>
      <c r="N507" s="26">
        <f t="shared" si="82"/>
        <v>0</v>
      </c>
      <c r="O507" s="26">
        <f t="shared" si="82"/>
        <v>0</v>
      </c>
      <c r="P507" s="26">
        <f>SUM(L507:O507)</f>
        <v>4826604.52</v>
      </c>
      <c r="Q507" s="27">
        <f t="shared" si="63"/>
        <v>1.1711105595174056</v>
      </c>
    </row>
    <row r="508" spans="1:17" ht="12.75">
      <c r="A508" s="18" t="s">
        <v>320</v>
      </c>
      <c r="B508" s="19"/>
      <c r="C508" s="19"/>
      <c r="D508" s="124"/>
      <c r="E508" s="124"/>
      <c r="F508" s="108"/>
      <c r="G508" s="28">
        <f aca="true" t="shared" si="83" ref="G508:P508">SUM(G507,G496)</f>
        <v>4504991</v>
      </c>
      <c r="H508" s="28">
        <f t="shared" si="83"/>
        <v>0</v>
      </c>
      <c r="I508" s="28">
        <f t="shared" si="83"/>
        <v>0</v>
      </c>
      <c r="J508" s="28">
        <f t="shared" si="83"/>
        <v>0</v>
      </c>
      <c r="K508" s="28">
        <f t="shared" si="83"/>
        <v>4504991</v>
      </c>
      <c r="L508" s="28">
        <f t="shared" si="83"/>
        <v>5075404.52</v>
      </c>
      <c r="M508" s="28">
        <f t="shared" si="83"/>
        <v>0</v>
      </c>
      <c r="N508" s="28">
        <f t="shared" si="83"/>
        <v>0</v>
      </c>
      <c r="O508" s="28">
        <f t="shared" si="83"/>
        <v>0</v>
      </c>
      <c r="P508" s="28">
        <f t="shared" si="83"/>
        <v>5075404.52</v>
      </c>
      <c r="Q508" s="29">
        <f t="shared" si="63"/>
        <v>1.1266181264291093</v>
      </c>
    </row>
    <row r="509" spans="1:18" ht="12.75">
      <c r="A509" s="21" t="s">
        <v>3</v>
      </c>
      <c r="B509" s="22"/>
      <c r="C509" s="22"/>
      <c r="D509" s="111"/>
      <c r="E509" s="111"/>
      <c r="F509" s="126"/>
      <c r="G509" s="31">
        <f>SUM(G508,G494,G482,G445,G412,G383,G305,G289,G187,G173,G138,G126,G119,G94,G64,G45,G9,G6)</f>
        <v>1164381353</v>
      </c>
      <c r="H509" s="31">
        <f>SUM(H508,H494,H482,H445,H412,H383,H305,H289,H187,H173,H138,H126,H119,H94,H64,H45,H9,H6)</f>
        <v>11269652</v>
      </c>
      <c r="I509" s="31">
        <f>SUM(I508,I494,I482,I445,I412,I383,I305,I289,I187,I173,I138,I126,I119,I94,I64,I45,I9,I6)</f>
        <v>50828707</v>
      </c>
      <c r="J509" s="31">
        <f>SUM(J508,J494,J482,J445,J412,J383,J305,J289,J187,J173,J138,J126,J119,J94,J64,J45,J9,J6)</f>
        <v>33866079</v>
      </c>
      <c r="K509" s="31">
        <f>SUM(K508,K494,K482,K445,K412,K383,K305,K289,K187,K173,K138,K126,K119,K94,K64,K45,K9,K6)</f>
        <v>1260345791</v>
      </c>
      <c r="L509" s="31">
        <f>SUM(L508,L494,L482,L445,L412,L383,L305,L289,L187,L173,L138,L126,L119,L94,L64,L48,L45,L9,L6)</f>
        <v>1104167179.01</v>
      </c>
      <c r="M509" s="31">
        <f>SUM(M508,M494,M482,M445,M412,M383,M305,M289,M187,M173,M138,M126,M119,M94,M64,M48,M45,M9,M6)</f>
        <v>11967999.25</v>
      </c>
      <c r="N509" s="31">
        <f>SUM(N508,N494,N482,N445,N412,N383,N305,N289,N187,N173,N138,N126,N119,N94,N64,N48,N45,N9,N6)</f>
        <v>50099485.57</v>
      </c>
      <c r="O509" s="31">
        <f>SUM(O508,O494,O482,O445,O412,O383,O305,O289,O187,O173,O138,O126,O119,O94,O64,O48,O45,O9,O6)</f>
        <v>33772110.47</v>
      </c>
      <c r="P509" s="31">
        <f>SUM(P508,P494,P482,P445,P412,P383,P305,P289,P187,P173,P138,P126,P119,P94,P64,P48,P45,P9,P6)</f>
        <v>1200006774.3000002</v>
      </c>
      <c r="Q509" s="32">
        <f t="shared" si="63"/>
        <v>0.9521250301854661</v>
      </c>
      <c r="R509" s="93"/>
    </row>
    <row r="510" spans="11:16" ht="12.75" hidden="1">
      <c r="K510" s="34" t="e">
        <f>#REF!</f>
        <v>#REF!</v>
      </c>
      <c r="L510" s="34">
        <f>-1104155185-8840</f>
        <v>-1104164025</v>
      </c>
      <c r="M510" s="34">
        <v>-11967999.21</v>
      </c>
      <c r="N510" s="34"/>
      <c r="O510" s="34"/>
      <c r="P510" s="34"/>
    </row>
    <row r="511" spans="12:17" ht="12.75" hidden="1">
      <c r="L511" s="34">
        <f>SUM(L509:L510)</f>
        <v>3154.0099999904633</v>
      </c>
      <c r="M511" s="34">
        <f>SUM(M509:M510)</f>
        <v>0.03999999910593033</v>
      </c>
      <c r="N511" s="34">
        <f>SUM(N509:N510)</f>
        <v>50099485.57</v>
      </c>
      <c r="O511" s="34">
        <f>SUM(O509:O510)</f>
        <v>33772110.47</v>
      </c>
      <c r="P511" s="34">
        <f>SUM(P509:P510)</f>
        <v>1200006774.3000002</v>
      </c>
      <c r="Q511" s="127"/>
    </row>
    <row r="512" ht="12.75" hidden="1"/>
    <row r="513" ht="12.75" hidden="1">
      <c r="L513" s="34"/>
    </row>
    <row r="514" ht="12.75" hidden="1">
      <c r="L514" s="34"/>
    </row>
    <row r="515" spans="13:15" ht="12.75" hidden="1">
      <c r="M515" s="85">
        <v>-11967999.21</v>
      </c>
      <c r="O515" s="34" t="e">
        <f>SUM(#REF!,#REF!)</f>
        <v>#REF!</v>
      </c>
    </row>
    <row r="516" spans="14:17" ht="12.75" hidden="1">
      <c r="N516" s="33" t="s">
        <v>411</v>
      </c>
      <c r="O516" s="34">
        <f>33772110.47+50099485.57</f>
        <v>83871596.03999999</v>
      </c>
      <c r="P516" s="34">
        <f>8839.89+11967999.21+1104155185</f>
        <v>1116132024.1</v>
      </c>
      <c r="Q516" s="34">
        <f>SUM(O516:P516)</f>
        <v>1200003620.1399999</v>
      </c>
    </row>
    <row r="517" spans="15:17" ht="12.75" hidden="1">
      <c r="O517" s="78" t="e">
        <f>P509-O515</f>
        <v>#REF!</v>
      </c>
      <c r="Q517" s="78">
        <f>P509-Q516</f>
        <v>3154.1600003242493</v>
      </c>
    </row>
    <row r="518" ht="12.75" hidden="1"/>
    <row r="519" spans="3:17" ht="12.75" hidden="1">
      <c r="C519" s="33" t="s">
        <v>419</v>
      </c>
      <c r="G519" s="34">
        <f>SUM(G23,G28:G30,G33,G54:G55,G91:G92,G107,G130:G131,G178,G190,G198,G238,G270,G287,G328:G329,G447,G461:G462,G476,G495)</f>
        <v>158014359</v>
      </c>
      <c r="H519" s="34">
        <f aca="true" t="shared" si="84" ref="H519:P519">SUM(H23,H28:H30,H33,H54:H55,H91:H92,H107,H130:H131,H178,H190,H198,H238,H270,H287,H328:H329,H447,H461:H462,H476,H495)</f>
        <v>0</v>
      </c>
      <c r="I519" s="34">
        <f t="shared" si="84"/>
        <v>404678</v>
      </c>
      <c r="J519" s="34">
        <f t="shared" si="84"/>
        <v>81264</v>
      </c>
      <c r="K519" s="34">
        <f t="shared" si="84"/>
        <v>158500301</v>
      </c>
      <c r="L519" s="34">
        <f t="shared" si="84"/>
        <v>148847561.6</v>
      </c>
      <c r="M519" s="34">
        <f t="shared" si="84"/>
        <v>1829.53</v>
      </c>
      <c r="N519" s="34">
        <f t="shared" si="84"/>
        <v>403477.48</v>
      </c>
      <c r="O519" s="34">
        <f t="shared" si="84"/>
        <v>81264</v>
      </c>
      <c r="P519" s="34">
        <f t="shared" si="84"/>
        <v>149334132.60999998</v>
      </c>
      <c r="Q519" s="94">
        <f>P519/K519</f>
        <v>0.9421693944290994</v>
      </c>
    </row>
    <row r="520" ht="12.75" hidden="1">
      <c r="Q520" s="95"/>
    </row>
    <row r="521" spans="11:17" ht="12.75" hidden="1">
      <c r="K521" s="78"/>
      <c r="Q521" s="95"/>
    </row>
    <row r="522" spans="3:17" ht="12.75" hidden="1">
      <c r="C522" s="23" t="s">
        <v>420</v>
      </c>
      <c r="G522" s="34">
        <f>G509-G519</f>
        <v>1006366994</v>
      </c>
      <c r="H522" s="34">
        <f aca="true" t="shared" si="85" ref="H522:P522">H509-H519</f>
        <v>11269652</v>
      </c>
      <c r="I522" s="34">
        <f t="shared" si="85"/>
        <v>50424029</v>
      </c>
      <c r="J522" s="34">
        <f t="shared" si="85"/>
        <v>33784815</v>
      </c>
      <c r="K522" s="34">
        <f t="shared" si="85"/>
        <v>1101845490</v>
      </c>
      <c r="L522" s="34">
        <f t="shared" si="85"/>
        <v>955319617.41</v>
      </c>
      <c r="M522" s="34">
        <f t="shared" si="85"/>
        <v>11966169.72</v>
      </c>
      <c r="N522" s="34">
        <f t="shared" si="85"/>
        <v>49696008.09</v>
      </c>
      <c r="O522" s="34">
        <f t="shared" si="85"/>
        <v>33690846.47</v>
      </c>
      <c r="P522" s="34">
        <f t="shared" si="85"/>
        <v>1050672641.6900002</v>
      </c>
      <c r="Q522" s="94">
        <f>P522/K522</f>
        <v>0.9535571468282728</v>
      </c>
    </row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</sheetData>
  <mergeCells count="82">
    <mergeCell ref="D261:D262"/>
    <mergeCell ref="D15:D16"/>
    <mergeCell ref="C35:C36"/>
    <mergeCell ref="A127:A128"/>
    <mergeCell ref="D88:D89"/>
    <mergeCell ref="C353:C356"/>
    <mergeCell ref="F245:F246"/>
    <mergeCell ref="C442:C443"/>
    <mergeCell ref="F12:F13"/>
    <mergeCell ref="D12:D13"/>
    <mergeCell ref="F408:F409"/>
    <mergeCell ref="F257:F258"/>
    <mergeCell ref="D266:D267"/>
    <mergeCell ref="F266:F267"/>
    <mergeCell ref="C346:C347"/>
    <mergeCell ref="A446:A447"/>
    <mergeCell ref="C446:C447"/>
    <mergeCell ref="C365:C366"/>
    <mergeCell ref="A384:A386"/>
    <mergeCell ref="C413:C415"/>
    <mergeCell ref="A413:A414"/>
    <mergeCell ref="C438:C440"/>
    <mergeCell ref="A483:A487"/>
    <mergeCell ref="D501:D503"/>
    <mergeCell ref="C466:C467"/>
    <mergeCell ref="F501:F503"/>
    <mergeCell ref="C457:C460"/>
    <mergeCell ref="C388:C390"/>
    <mergeCell ref="D405:D406"/>
    <mergeCell ref="F405:F406"/>
    <mergeCell ref="F398:F399"/>
    <mergeCell ref="C403:C408"/>
    <mergeCell ref="A139:A147"/>
    <mergeCell ref="A120:A124"/>
    <mergeCell ref="C142:C148"/>
    <mergeCell ref="A65:A66"/>
    <mergeCell ref="C65:C66"/>
    <mergeCell ref="B112:B113"/>
    <mergeCell ref="C112:C114"/>
    <mergeCell ref="C139:C140"/>
    <mergeCell ref="A1:Q1"/>
    <mergeCell ref="F91:F92"/>
    <mergeCell ref="F15:F16"/>
    <mergeCell ref="F42:F43"/>
    <mergeCell ref="F88:F89"/>
    <mergeCell ref="A49:A52"/>
    <mergeCell ref="C49:C50"/>
    <mergeCell ref="C19:C20"/>
    <mergeCell ref="C70:C72"/>
    <mergeCell ref="L2:Q2"/>
    <mergeCell ref="D191:D192"/>
    <mergeCell ref="F191:F192"/>
    <mergeCell ref="D231:D232"/>
    <mergeCell ref="F231:F232"/>
    <mergeCell ref="C170:C171"/>
    <mergeCell ref="F179:F181"/>
    <mergeCell ref="A188:A189"/>
    <mergeCell ref="C188:C189"/>
    <mergeCell ref="C279:C282"/>
    <mergeCell ref="C314:C318"/>
    <mergeCell ref="C242:C243"/>
    <mergeCell ref="C276:C277"/>
    <mergeCell ref="C150:C158"/>
    <mergeCell ref="G2:K2"/>
    <mergeCell ref="B3:C3"/>
    <mergeCell ref="D3:F3"/>
    <mergeCell ref="D112:D114"/>
    <mergeCell ref="F112:F114"/>
    <mergeCell ref="D36:D39"/>
    <mergeCell ref="F36:F39"/>
    <mergeCell ref="D115:D116"/>
    <mergeCell ref="F115:F116"/>
    <mergeCell ref="F261:F262"/>
    <mergeCell ref="D408:D409"/>
    <mergeCell ref="C160:C163"/>
    <mergeCell ref="C167:C168"/>
    <mergeCell ref="C178:C179"/>
    <mergeCell ref="D179:D181"/>
    <mergeCell ref="D257:D258"/>
    <mergeCell ref="D245:D246"/>
    <mergeCell ref="C372:C374"/>
    <mergeCell ref="C349:C350"/>
  </mergeCells>
  <printOptions/>
  <pageMargins left="0.32" right="0.22" top="0.79" bottom="0.43" header="0.5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kbara</cp:lastModifiedBy>
  <cp:lastPrinted>2015-03-19T09:04:31Z</cp:lastPrinted>
  <dcterms:created xsi:type="dcterms:W3CDTF">2014-04-23T07:17:21Z</dcterms:created>
  <dcterms:modified xsi:type="dcterms:W3CDTF">2015-03-19T09:04:33Z</dcterms:modified>
  <cp:category/>
  <cp:version/>
  <cp:contentType/>
  <cp:contentStatus/>
</cp:coreProperties>
</file>