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8150" windowHeight="12270" activeTab="0"/>
  </bookViews>
  <sheets>
    <sheet name="Bieżące" sheetId="1" r:id="rId1"/>
    <sheet name="Majątkowe" sheetId="2" r:id="rId2"/>
  </sheets>
  <externalReferences>
    <externalReference r:id="rId5"/>
    <externalReference r:id="rId6"/>
  </externalReferences>
  <definedNames>
    <definedName name="_xlnm.Print_Titles" localSheetId="0">'Bieżące'!$2:$3</definedName>
    <definedName name="_xlnm.Print_Titles" localSheetId="1">'Majątkowe'!$2:$2</definedName>
  </definedNames>
  <calcPr fullCalcOnLoad="1"/>
</workbook>
</file>

<file path=xl/sharedStrings.xml><?xml version="1.0" encoding="utf-8"?>
<sst xmlns="http://schemas.openxmlformats.org/spreadsheetml/2006/main" count="310" uniqueCount="269">
  <si>
    <t>Wykonanie  dochodów bieżących wg źródeł na 2014r.</t>
  </si>
  <si>
    <t>Lp.</t>
  </si>
  <si>
    <t>Treść</t>
  </si>
  <si>
    <t xml:space="preserve">Plan 2014 </t>
  </si>
  <si>
    <t>% wyk. (kol. 4:3)</t>
  </si>
  <si>
    <t>Wykonanie                           I - XII 2014</t>
  </si>
  <si>
    <t>DOCHODY BIEŻĄCE OGÓŁEM</t>
  </si>
  <si>
    <t>Podatki i opłaty pobierane przez miasto</t>
  </si>
  <si>
    <t xml:space="preserve">podatek od nieruchomości </t>
  </si>
  <si>
    <t xml:space="preserve">podatek od środków transportowych </t>
  </si>
  <si>
    <t>podatek rolny</t>
  </si>
  <si>
    <t xml:space="preserve">podatek leśny </t>
  </si>
  <si>
    <t>zaległości z podatków zniesionych</t>
  </si>
  <si>
    <t xml:space="preserve">rekompensata utraconych dochodów (z PFRON - u) z tytułu zwolnień w podatkach </t>
  </si>
  <si>
    <t>opłata skarbowa</t>
  </si>
  <si>
    <t>dochody z tyt. ustawy o przeciwdziałaniu alkoholizmowi</t>
  </si>
  <si>
    <t>opłaty komunikacyjne</t>
  </si>
  <si>
    <t>opłaty lokalne (opłata targowa i miejscowa)</t>
  </si>
  <si>
    <t>opłaty za parkowanie, za zajęcie pasa drogowego, umieszczanie reklam i stoisk w pasie drogowym i in.</t>
  </si>
  <si>
    <t>opłata adiacencka i renta planistyczna</t>
  </si>
  <si>
    <t>opłata za gospodarowanie odpadami komunalnymi</t>
  </si>
  <si>
    <t>opłaty za działalność w zakresie poszukiwania i rozpoznawania złóż kopalin</t>
  </si>
  <si>
    <t>odsetki i opłata prolongacyjna</t>
  </si>
  <si>
    <t>Podatki pobierane przez urzędy skarbowe</t>
  </si>
  <si>
    <t>karta podatkowa</t>
  </si>
  <si>
    <t>podatek od spadków i darowizn</t>
  </si>
  <si>
    <t xml:space="preserve">podatek od czynności cywilnoprawnych </t>
  </si>
  <si>
    <t>odsetki od należności podatkowych pobieranych przez US</t>
  </si>
  <si>
    <t>Dochody z majątku miasta</t>
  </si>
  <si>
    <t xml:space="preserve">                                                                                                                </t>
  </si>
  <si>
    <t>dochody z dzierżawy</t>
  </si>
  <si>
    <t>wpływy z lokali użytkowych</t>
  </si>
  <si>
    <t>użytkowanie wieczyste</t>
  </si>
  <si>
    <t>dochody z najmu i dzierżawy skł. majątkowych gminy oddanych w użytkowanie jednostkom i zakł. Budżetowym, w tym:</t>
  </si>
  <si>
    <t>Urząd Miasta</t>
  </si>
  <si>
    <t>Zakład Cmentarzy Komunalnych</t>
  </si>
  <si>
    <t>Gdyński Ośrodek Sportu i Rekreacji</t>
  </si>
  <si>
    <t>Zarząd Komunikacji Miejskiej</t>
  </si>
  <si>
    <t>Zarząd Dróg i Zieleni</t>
  </si>
  <si>
    <t>Pomorski Park Naukowo Technologiczny</t>
  </si>
  <si>
    <t>Powiatowy Urząd Pracy</t>
  </si>
  <si>
    <t xml:space="preserve">wpływy z najmu pomieszczeń i z czynszów za mieszkania służbowe w placówkach oświatowych </t>
  </si>
  <si>
    <t xml:space="preserve">Inne dochody własne </t>
  </si>
  <si>
    <t>wpływy Zarządu Komunikacji Miejskiej</t>
  </si>
  <si>
    <t>wpływy ze sprzedaży biletów na "tramwaj wodny"</t>
  </si>
  <si>
    <t>dochody związane z gromadzeniem środków z opłat i kar za korzystanie ze środowiska</t>
  </si>
  <si>
    <t>wpływy ze sprzedaży map, danych z ewidencji gruntów i budynków oraz innych materiałów i informacji z zasobów powiatowych</t>
  </si>
  <si>
    <t>zwrot podatku Vat - dotyczy PPNT - ETAP 3</t>
  </si>
  <si>
    <t>zwrot podatku Vat dotyczy PPNT - ETAP 4</t>
  </si>
  <si>
    <t>wpływy Urzędu Miasta</t>
  </si>
  <si>
    <t>wpływy z opłat rodziców za pobyt dzieci w żłobkach</t>
  </si>
  <si>
    <t>wpływy z opłat rodziców za pobyt dzieci w przedszkolu</t>
  </si>
  <si>
    <t>wpływy z usług opiekuńczych i opłaty za pobyt w ośrodkach wsparcia</t>
  </si>
  <si>
    <t xml:space="preserve">opłaty osób zobowiązanych alimentacyjnie za umieszczenie w DPS członków ich rodzin </t>
  </si>
  <si>
    <t>refundacja 60% świadczenia wypłaconego na rzecz osób uczestniczących w systemie prac społecznie użytecznych ze środków Funduszu Pracy</t>
  </si>
  <si>
    <t>wpływy za pobyt dzieci w placówkach opiekuńczo - wychowawczych</t>
  </si>
  <si>
    <t>wpływy z opłat za korzystanie z basenów</t>
  </si>
  <si>
    <t>wpływy PPNT</t>
  </si>
  <si>
    <t>wpływy z usług Centrum Aktywności Seniora</t>
  </si>
  <si>
    <t>wpływy Gdyńskiego Ośrodka Sportu i Rekreacji</t>
  </si>
  <si>
    <t xml:space="preserve">wpływy z opłat za pobyt w domu opieki społecznej </t>
  </si>
  <si>
    <t xml:space="preserve">opłaty za egzaminy i dokumenty wydawane w związku z wykonywaniem transportu drogowego oraz inne opłaty pobierane przez UM </t>
  </si>
  <si>
    <t xml:space="preserve">należna miastu część zwrotów zaliczek alimentacyjnych uzyskanych na rzecz budżetu państwa </t>
  </si>
  <si>
    <t>25% dochodów z nieruchom.Skarbu Państwa</t>
  </si>
  <si>
    <t xml:space="preserve">5% dochodów uzysk. na rzecz budżetu państwa w związku z real. zad. zleconych </t>
  </si>
  <si>
    <t>opłaty za usuwanie pojazdów z pasa drogowego</t>
  </si>
  <si>
    <t>odsetki od środków na rachunkach bankowych</t>
  </si>
  <si>
    <t>pozostałe dochody</t>
  </si>
  <si>
    <t>grzywny i kary - Straż Miejska</t>
  </si>
  <si>
    <t>różne dochody jednostek organizacyjnych miasta</t>
  </si>
  <si>
    <t>wpływy do budżetu pozostałości środków finansowych gromadzonych na wydzielonym rachunku jednostkek budżetowych</t>
  </si>
  <si>
    <t>rozliczenia z lat ubiegłych oraz zwroty dotacji wykorzystanych niezgodnie z przeznaczeniem lub pobranych w nadmiernej wysokości wraz z odsetkami</t>
  </si>
  <si>
    <t>Dotacje od jednostek samorządu terytorialnego</t>
  </si>
  <si>
    <t xml:space="preserve">zadania oświatowe </t>
  </si>
  <si>
    <t>obsługa mieszkańców Sopotu przez Powiatowy Urząd Pracy w Gdyni</t>
  </si>
  <si>
    <t xml:space="preserve">rodziny zastępcze </t>
  </si>
  <si>
    <t>funkcjonowanie punktu katechetycznego</t>
  </si>
  <si>
    <t>kształcenie uczniów w Wojewódzkim Ośrodku Doskonalenia Uczniów</t>
  </si>
  <si>
    <t xml:space="preserve">wkład beneficjentów w realizację zadania: rozówj turystyki w rejonie Zatoki Gdańskiej </t>
  </si>
  <si>
    <t>środki dla Powiatowego Zespołu ds.Orzekania o Niepełnosprawności zgodnie z zawartym porozumieniem pomiędzy Miastem Gdynia, a Miastem Sopot</t>
  </si>
  <si>
    <t>warsztaty terapii zajęciowej</t>
  </si>
  <si>
    <t>placówki opiekuńczo - wychowawcze</t>
  </si>
  <si>
    <t>środki z gmin ościennych na organizację usług komunikacyjnych na ich terenie przez ZKM w Gdyni na podstawie porozumień</t>
  </si>
  <si>
    <t>środki z Gminy Szemud w związku z przejęciem zadań w zakresie gospodarki odpadami komunalnymi</t>
  </si>
  <si>
    <t>środki z Gminy Luzino w związku z przejęciem zadań w zakresie gospodarki odpadami komunalnymi</t>
  </si>
  <si>
    <t>środki z Sejmiku Województwa Pomorskiego na dofinansowanie lokalnego transportu zbiorowego na liniach komunikacyjnych regularnego transportu wodnego po akwenie Zatoki Gdańskiej i Zatoki Puckiej</t>
  </si>
  <si>
    <t>dotacje z Jastarni na dofinansowanie funkcjonowania "Tramwaju wodnego"</t>
  </si>
  <si>
    <t>dotacje z Helu na dofinansowanie funkcjonowania "Tramwaju wodnego" (zaległości z lat poprzednich)</t>
  </si>
  <si>
    <t>środki otrzymane z Gmin, Powiatów i z Samorządu Województwa Pomorskiego na budowę Obwodnicy Północnej Aglomeracji Trójmiejskiej</t>
  </si>
  <si>
    <t>dotacje z tytułu podpisanych porozumień z Powiatem Puckim i Gminą Kosakowo na wykonanie remontu skrzyżowania ulic: Płk. Dąbka - Kmdr. Czernickiego - Wiejskiej - Szkolnej</t>
  </si>
  <si>
    <t>środki od Samorządu Województwa Pomorskiego na dofinansowanie lokalnego transportu zbiorowego na liniach komunikacyjnych regularnego transportu wodnego po akwenie Ztoki Gdańskiej i Zatoki Puckiej</t>
  </si>
  <si>
    <t>zwroty dotacji wykorzystanych niezgodnie z przeznaczeniem lub pobranych w nadmiernej wysokości oraz odsetki</t>
  </si>
  <si>
    <t>Dotacje i inne środki zewnętrzne na dofinansowanie zadań własnych</t>
  </si>
  <si>
    <t>z Funduszu Pracy na finansowanie kosztów wynagrodzeń i składek na ubezpieczenie pracowników Powiatowego Urzędu Pracy</t>
  </si>
  <si>
    <t>z Funduszu Wspierania Państwowej Straży Pożarnej</t>
  </si>
  <si>
    <t>projekt "Laboratorium edukacji"</t>
  </si>
  <si>
    <t>"Pluszowy misiaczek"</t>
  </si>
  <si>
    <t>projekt "Mój biznes II" - Kapitał Ludzki 2007 - 2011</t>
  </si>
  <si>
    <t>środki z Funduszu Rozwoju Systemu Edukacji na realizację zadania "Wymiana młodzieży"</t>
  </si>
  <si>
    <t>dotacja od Fundacji Współpracy Polsko - Niemieckiej na realizację projektu "Razem dla europejskiego dialogu - 25 - lecie partnerstwa miast Gdyni i Kilonii"</t>
  </si>
  <si>
    <t>dofinansowanie projektu "Efektywny samorząd - kompetentna kadra w Urzędzie Miasta Gdyni i Gminy Kosakowo"</t>
  </si>
  <si>
    <t>Projekt "Kreator innowacyjności - Laboratorium biotechnologiczne w praktyce"</t>
  </si>
  <si>
    <t>Projekt "Jestem z Pomorza - Jestem eko"</t>
  </si>
  <si>
    <t>Projekt "Bałtycki Festiwal Nauki"</t>
  </si>
  <si>
    <t>projekt "Stażyści na językach"</t>
  </si>
  <si>
    <t>Z WFOŚ-u na na realizację projektu "Czynna ochrona gatunkowa roślin z rodzaju Drosera (rosiczki) oraz Sphagnum (torfowce) występujących na terenie województwa pomorskiego"</t>
  </si>
  <si>
    <t>Z NFOŚ-na dofinansowanie zbierania pojazdów wycofanych z eksploatacji</t>
  </si>
  <si>
    <t xml:space="preserve">z Ministerstwa Nauki i Szkolnictwa Wyższego na realizację projektu „Uczeń – naukowiec”.  </t>
  </si>
  <si>
    <t>wpływy z tytułu podpisania umowy z Narodowym Centrum Badań i Rozwoju na realizację projektu BioBusiness Laboratorium</t>
  </si>
  <si>
    <t>z WFOŚ na realizację projektu "Żyć i być w stylu eko" GCI</t>
  </si>
  <si>
    <t>z WFOŚ na realizację projektu "Chrońmy środowisko, które znamy" - szkolenia terenowe z Centrum Nauki EXPERYMENT</t>
  </si>
  <si>
    <t>z WFOŚ "Zapraszamy ptaki do Gdyni"</t>
  </si>
  <si>
    <t>z WFOŚ na realizację imprezy popularno - naukowej "Pan Kulka w świecie czystej energii"</t>
  </si>
  <si>
    <t>z Wojewódzkiego Funduszu Ochrony Środowiska i Gospodarki Wodnej środki na usuwanie wyrobów zawierających azbest z terenu miasta Gdyni</t>
  </si>
  <si>
    <t>z Funduszu Ochrony Środowiska na dofinansowanie realizacji zadania "Wsparcie działań propagujących ekologiczne formy transportu na trasie Gdynia - Półwysep Helski"</t>
  </si>
  <si>
    <t>z WFOŚ "Badanie jakości wody i sporządzenie profilu wody w kąpieliskach morskich w Gdyni"</t>
  </si>
  <si>
    <t>z Ministerstwa Pracy i Polityki Społecznej na dofinansowanie realizacji zadania "Wspólnie przeciw przemocy - wsparcie systemu przeciwdziałania przemocy w Gdyni"</t>
  </si>
  <si>
    <t>środki na realizację projektu w ramach Polsko - Litewskiego Funduszu Wymiany Młodzieży</t>
  </si>
  <si>
    <t>projekt "Ścieżki Kopernika, zadanie 'Uczeń - Naukowiec'"</t>
  </si>
  <si>
    <t>"Odkryj moje możliwości"</t>
  </si>
  <si>
    <t>"Praktyka czyni mistrza - nowatorski program praktyk na studiach pedagogicznych PWSA"</t>
  </si>
  <si>
    <t>projekt " Dojrzała przedsiębiorczość 50+"</t>
  </si>
  <si>
    <t>dotacja z Narodowego Centrum Kultury na realizację Ogólnopolskiego programu rozwoju chórów szkolnych Ministra Kultury i Dziedzictwa Narodowego "Śpiewająca Polska"</t>
  </si>
  <si>
    <t>Projekt "Eksperyment na plaży"</t>
  </si>
  <si>
    <t>Projekt " Świadomość ekologiczna młodzieży - nauczanie przez doświadczenie"</t>
  </si>
  <si>
    <t>dotacja dla Ochotniczej Straży Pożarnej Wiczlino</t>
  </si>
  <si>
    <t>(Niepełno) Sprawni, Aktywni, Kreatywni</t>
  </si>
  <si>
    <t>NORDA - Północny biegun wzrostu</t>
  </si>
  <si>
    <t>środki z Funduszu Rozwoju Kultury Fizycznej na dofinansowanie programu szkolenia młodzieży uzdolnionej sportowo</t>
  </si>
  <si>
    <t>grant dla ZPS na realizacje projektu "Realizacja warsztatów aktywności twórczej"</t>
  </si>
  <si>
    <t>odsetki od projektów unijnych</t>
  </si>
  <si>
    <t>Udziały we wpływach z podatków dochodowych</t>
  </si>
  <si>
    <t xml:space="preserve">udziały w podatku dochodowym od osób fizycznych </t>
  </si>
  <si>
    <t>udziały w podatku dochodowym od osób prawnych</t>
  </si>
  <si>
    <t>II. ŚRODKI Z UE NA DOFINANSOWANIE REALIZACJI PROJEKTÓW BIEŻĄCYCH</t>
  </si>
  <si>
    <t>Szkoła + Biznes - współpraca na rzecz rozwoju ITC</t>
  </si>
  <si>
    <t>Stażyści na językach</t>
  </si>
  <si>
    <t>"Dojrzała przedsiębiorczość 50+"</t>
  </si>
  <si>
    <t>(Niepełno)sprawni, Aktywni, Kreatywni</t>
  </si>
  <si>
    <t>Zagraniczna mobilność szkolnej kadry edukacyjnej</t>
  </si>
  <si>
    <t>"SONORA"  - Stowarzyszenie Miast Autostrady Bursztynowej</t>
  </si>
  <si>
    <t>Plany gospodarki niskoemisyjnej (PNG)</t>
  </si>
  <si>
    <t>COMENIUS</t>
  </si>
  <si>
    <t>ERASMUS</t>
  </si>
  <si>
    <t>Leonardo da Vinci</t>
  </si>
  <si>
    <t>"Rozwój elektronicznych usług publicznych w Gdyni"</t>
  </si>
  <si>
    <t>"Więcej mocy, mniej przemocy" - program "Przeciwdziałanie przemocy w rodzinie i przemocy ze względu na płeć"</t>
  </si>
  <si>
    <t>Good Governance and Cooperation - Response To Common Challenges In Public Finanse (Dobre zarządzanie i współpraca odpowiedzią na wyzwania w sferze finansów publicznych)</t>
  </si>
  <si>
    <t>"Partycypacja"</t>
  </si>
  <si>
    <t>Projekt "TROLLEY"</t>
  </si>
  <si>
    <t>"Laboratorium edukacji"</t>
  </si>
  <si>
    <t>"Młodzież w działaniu"</t>
  </si>
  <si>
    <t>"Rodzina bliżej siebie"</t>
  </si>
  <si>
    <t>"Bohnian Green Logistic Corridor"</t>
  </si>
  <si>
    <t>"Rozwój proekologicznego transportu publicznego na Obszarze Metropolitarnym Trójmiasta"</t>
  </si>
  <si>
    <t>" Wzmocnienie współpracy między Akademią Medyczną w Gdańsku a PPNT i GPNT"</t>
  </si>
  <si>
    <t xml:space="preserve">"eduPEOPLE" Program Współpracy Transgranicznej Południowy Bałtyk 2007-2013 </t>
  </si>
  <si>
    <t>Wymiennikownia - innowacyjna przestrzeń wsppółpracy na rzecz młodzieży" (środki Szwajcarsko - Polskiego Programu Współpracy)</t>
  </si>
  <si>
    <t>Baltic Fashion - Program Współpracy Transgranicznej Bałtyk</t>
  </si>
  <si>
    <t>Projekt DesignEntrepreneurSHIP - Program Współpracy Transgranicznej Południowy Bałtyk</t>
  </si>
  <si>
    <t xml:space="preserve">„Dynamika morskiego rynku pracy i atrakcyjne otoczenie miast portowych Południowego Bałtyku”         </t>
  </si>
  <si>
    <t>PYDOS</t>
  </si>
  <si>
    <t>Program Współpracy Transgranicznej Południowy Bałtyk 2007-2013 "Diske"</t>
  </si>
  <si>
    <t>"Smart Citis"</t>
  </si>
  <si>
    <t>"SEGMENT"</t>
  </si>
  <si>
    <t>DYN @ MO (CIVITAS - 3 etapy)</t>
  </si>
  <si>
    <t>ENTER.HUB</t>
  </si>
  <si>
    <t>Let's Expo 2 - wsparcie aktywności innowacyjnej przedsiębiorstw z Pomorza poprzez udział w targach branżowych</t>
  </si>
  <si>
    <t>"Zwiększenie konkurencyjności transportu publicznego w Gdyni dzięki przebudowie infrastruktury komunikacji zbiorowej wraz z zakupem nowoczesnego taboru"</t>
  </si>
  <si>
    <t>III.  SUBWENCJA OGÓLNA</t>
  </si>
  <si>
    <t>część oświatowa</t>
  </si>
  <si>
    <t>część równoważąca</t>
  </si>
  <si>
    <t>uzupełnienie subwencji ogólnej dla powiatów</t>
  </si>
  <si>
    <t>IV.  DOTACJE CELOWE Z BUDŻETU PAŃSTWA</t>
  </si>
  <si>
    <t>NA ZADANIA ZLECONE</t>
  </si>
  <si>
    <t>Powiatowy Inspektorat Nadzoru Budowlanego</t>
  </si>
  <si>
    <t>Komenda Powiatowa Państwowej Straży Pożarnej (na zadania bieżące)</t>
  </si>
  <si>
    <r>
      <t xml:space="preserve">opieka społeczna, </t>
    </r>
    <r>
      <rPr>
        <i/>
        <sz val="8"/>
        <rFont val="Arial CE"/>
        <family val="2"/>
      </rPr>
      <t>w tym:</t>
    </r>
  </si>
  <si>
    <t xml:space="preserve"> ośrodki wsparcia</t>
  </si>
  <si>
    <t>ośrodki pomocy społecznej</t>
  </si>
  <si>
    <t>realizacja programu korekcyjno - edukacyjnego dla sprawców przemocy w rodzinie</t>
  </si>
  <si>
    <t xml:space="preserve"> składki na ubezp. zdrowotne</t>
  </si>
  <si>
    <t>świadczenia rodzinne</t>
  </si>
  <si>
    <t>realizacja rządowego programu wspierania niektórych osób pobieracących świadczenie pielęgnacyjne</t>
  </si>
  <si>
    <t>wypłaty dodatków energetycznych</t>
  </si>
  <si>
    <t>sfinansowanie pobytu dzieci cudzoziemców w rodzinach zastępczych</t>
  </si>
  <si>
    <t>dotacja na wynagrodzenia za sprawowanie opieki</t>
  </si>
  <si>
    <t xml:space="preserve"> usługi opiekuńcze, specjalistyczne usługi opiekuńcze</t>
  </si>
  <si>
    <t>program dla rodzin wielodzietnych</t>
  </si>
  <si>
    <t>zespół ds. orzekania o stopniu niepełnosprawn.</t>
  </si>
  <si>
    <t xml:space="preserve">składki na ubezpieczenia zdrowotne </t>
  </si>
  <si>
    <t>koszty wydawania decyzji w sprawie świadczeń zdrowotnych</t>
  </si>
  <si>
    <t>zwrot podatku akcyzowego zawartego w cenie oleju napędowego wykorzystywanego do produkcji rolnej</t>
  </si>
  <si>
    <t>administracja państwowa</t>
  </si>
  <si>
    <t>wybory Prezydenta Rzeczypospolitej Polskiej</t>
  </si>
  <si>
    <t>wybory do Parlamentu Europejskiego</t>
  </si>
  <si>
    <t>wybory do rad gmin, rad powiatów i sejmików województw oraz wyborów wójtów, burmistrzów i prezydentów miast</t>
  </si>
  <si>
    <t>aktualizacja spisu wyborców</t>
  </si>
  <si>
    <t>wyposażenie szkół w podręczniki i materiały edukacyjne</t>
  </si>
  <si>
    <t>wybory samorządowe</t>
  </si>
  <si>
    <t xml:space="preserve">prace geodezyjne i kartograficzne </t>
  </si>
  <si>
    <t>opracowania geodezyjne i kartograficzne</t>
  </si>
  <si>
    <t>gospodarka gruntami i nieruchomościami</t>
  </si>
  <si>
    <t>gospodarka gruntami i nieruchomościami i odszkodowania za grunty przejęte na rzecz Skarbu Państwa</t>
  </si>
  <si>
    <t>kwalifikacja wojskowa</t>
  </si>
  <si>
    <t>NA ZADANIA REALIZOWANE NA MOCY POROZUMIEŃ Z ORGANAMI ADMINISTRACJI RZĄDOWEJ</t>
  </si>
  <si>
    <t>utrzymanie grobów wojennych</t>
  </si>
  <si>
    <t>wykonanie zadań powierzonych przez Wojewódzkiego Konserwatora Zabytków w Gdańsku</t>
  </si>
  <si>
    <t>"Wspólnie przeciw przemocy - kontynuacja wsparcia systemu przeciwdziałania przemocy w Gdyni"</t>
  </si>
  <si>
    <t>Program wspierania rodziny i systemu pieczy zastępczej w ramach podpisanego porozumienia z Ministerstwem Pracy i Polityki Społecznej</t>
  </si>
  <si>
    <t>dofinansowanie zakupu lub wydruku podręczników szkolnych i książek pomocniczych dla uczniów niewidomych</t>
  </si>
  <si>
    <t>NA FINANSOWANIE LUB DOFINANSOWANIE ZADAŃ WŁASNYCH</t>
  </si>
  <si>
    <t>program "Radosna szkoła"</t>
  </si>
  <si>
    <t>zadania w zakresie wychowania przedszkolnego</t>
  </si>
  <si>
    <t>wyprawki szkolne</t>
  </si>
  <si>
    <t>stypendia oraz inne formy pomocy dla uczniów</t>
  </si>
  <si>
    <t>zadania wynikające z ustawy o opiece nad dziećmi w wieku do lat 3</t>
  </si>
  <si>
    <t>prace komisji kwalifikacyjnych i egzaminacyjnych powołanych w 2012r. Do spraw awansu zawodowego nauczycieli</t>
  </si>
  <si>
    <t>Rządowy program rozwijania kompetencji uczniów i nauczycieli - "Cyfrowa szkoła"</t>
  </si>
  <si>
    <t>zadania z zakresu opieki społecznej:</t>
  </si>
  <si>
    <t>Pomoc państwa w zakresie dożywiania</t>
  </si>
  <si>
    <t>Dom Pomocy Społecznej</t>
  </si>
  <si>
    <t>wspieranie rodziny</t>
  </si>
  <si>
    <t>składki na ubezpieczenia zdrowotne</t>
  </si>
  <si>
    <t>zasiłki i pomoc w naturze</t>
  </si>
  <si>
    <t>zasiłki stałe</t>
  </si>
  <si>
    <t>Wykonanie dochodów majątkowych wg źródeł na 2014r.</t>
  </si>
  <si>
    <t>Plan na 2014r.</t>
  </si>
  <si>
    <t>% wyk (kol. 4:3)</t>
  </si>
  <si>
    <t>DOCHODY MAJĄTKOWE OGÓŁEM</t>
  </si>
  <si>
    <t>I.  DOCHODY WŁASNE, w tym:</t>
  </si>
  <si>
    <t>wpływy ze sprzedaży mienia komunalnego</t>
  </si>
  <si>
    <t>sprzedaż akcji NORDEA Bank Polska S.A.</t>
  </si>
  <si>
    <t>przekształcenie prawa użytkowania wieczystego w prawo własności</t>
  </si>
  <si>
    <t xml:space="preserve">sprzedaż składników majątkowych </t>
  </si>
  <si>
    <t>refundacja kosztów projektu "Pomorski Park Naukowo-Technologiczny- Rozbudowa etap 3"</t>
  </si>
  <si>
    <t>Lokalne inicjatywy inwestycyjne - budowa ul. Spacerowej</t>
  </si>
  <si>
    <t>Lokalne inicjatywy inwestycyjne - budowa ul. Gierdziejewskiej</t>
  </si>
  <si>
    <t>dofinansowanie przebudowy Środowiskowego Domu Samopomocy ze środków PFRON</t>
  </si>
  <si>
    <t>środki z Funduszu Rozwoju Kultury Fizycznej na "Prace budowlane na hali lekkoatletycznej wraz z budynkiem zaplecza</t>
  </si>
  <si>
    <t>Budowa małej infrastruktury służącej ochronie przyrody na obszarze rezerwatu Kępa Redłowska w Gdyni</t>
  </si>
  <si>
    <t>środki z Funduszu Rozwoju Kultury Fizycznej na "Prace budowlane na hali gier GOSiR</t>
  </si>
  <si>
    <t>Rozbudowa przystani rybackiej w Gdyni - Obuże - etap I</t>
  </si>
  <si>
    <t>Rozbudowa przystani rybackiej w Gdyni - Obuże - etap II</t>
  </si>
  <si>
    <t>Rozbudowa przystani rybackiej w Gdyni - Oksywie - etap II</t>
  </si>
  <si>
    <t>projekt "Pluszowy Misiaczek"</t>
  </si>
  <si>
    <t>Projekt "Budowa małej infrastruktury służącej ochronie przyrody na obszarze rezerwatu Kępa Redłowska w Gdyni"</t>
  </si>
  <si>
    <t>Opracowanie dokumentacji dla I etapu inwestycji polegającej na budowie ul. Nowej Węglowej i tunelu pod torami kolejowymi do ul. Morskiej w Gdyni wraz z przebudową istniejącego układu komunikacyjnego</t>
  </si>
  <si>
    <t>Srodki z Gdańska i Sopotu na dofinansowanie projektu TRISTAR</t>
  </si>
  <si>
    <t>lokalne inicjatywy inwestycyjne</t>
  </si>
  <si>
    <t>zwrot dotacji</t>
  </si>
  <si>
    <t>"Wdrożenie zintegrowanego systemu zarządzania ruchem TRISTAR w Gdańsku, Gdyni i Sopocie"</t>
  </si>
  <si>
    <t>II.   ŚRODKI Z UE NA DOFINANSOWANIE REALIZACJI PROJEKTÓW</t>
  </si>
  <si>
    <t xml:space="preserve"> "Rozwój Komunikacji Rowerowej Aglomeracji Trójmiejskiej w latach 2007 - 2013""</t>
  </si>
  <si>
    <t>refundacja kosztów budowy ul. Chwarznieńskiej</t>
  </si>
  <si>
    <t>"Pluszowy Misiaczek"</t>
  </si>
  <si>
    <t>"Pomorski Park Naukowo-Technologiczny- Rozbudowa etap 3"</t>
  </si>
  <si>
    <t>"Pomorski Park Naukowo-Technologiczny- Rozbudowa etap 4"</t>
  </si>
  <si>
    <t>DesignEntrepreneurSHIP - Program Współpracy Transgranicznej Południowy Bałtyk</t>
  </si>
  <si>
    <t>projekt Baltic Fashion - Program Współpracy Transgranicznej Bałtyk</t>
  </si>
  <si>
    <t>"Ochrona wód Zatoki Gdańskiej" - refundacja poniesionych wydatków</t>
  </si>
  <si>
    <t>Przebudowa i rozbudowa Szkoły Muzycznej</t>
  </si>
  <si>
    <t>refundacja wydatków poniesionych na realizację projektu "Kompleksowa termomodernizacja dziewięciu budynków placówek oświatowych na terenie Gdyni"</t>
  </si>
  <si>
    <t>subwencja przeznaczona na rozbudowę układu drogowego</t>
  </si>
  <si>
    <t>III.  DOTACJE CELOWE Z BUDŻETU PAŃSTWA</t>
  </si>
  <si>
    <t>Komenda Powiatowa Państwowej Straży Pożarnej (na zadania inwestycyjne)</t>
  </si>
  <si>
    <t>dofinansowanie przebudowy budynku na żłobek w ramach konkursu „Maluch 2013”</t>
  </si>
  <si>
    <t>ŁĄCZNIE DOCHODY BIEŻĄCE I MAJĄTKOWE</t>
  </si>
  <si>
    <r>
      <t xml:space="preserve">I. </t>
    </r>
    <r>
      <rPr>
        <b/>
        <sz val="10"/>
        <rFont val="Arial CE"/>
        <family val="2"/>
      </rPr>
      <t xml:space="preserve"> DOCHODY WŁASNE, w tym: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</si>
</sst>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[$-415]d\ mmmm\ yyyy"/>
    <numFmt numFmtId="174" formatCode="0.0"/>
    <numFmt numFmtId="175" formatCode="#,##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0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  <font>
      <b/>
      <sz val="8"/>
      <name val="Arial CE"/>
      <family val="0"/>
    </font>
    <font>
      <b/>
      <i/>
      <sz val="10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b/>
      <i/>
      <sz val="8"/>
      <name val="Arial CE"/>
      <family val="2"/>
    </font>
    <font>
      <sz val="8"/>
      <color indexed="10"/>
      <name val="Arial CE"/>
      <family val="0"/>
    </font>
    <font>
      <i/>
      <sz val="8"/>
      <name val="Arial CE"/>
      <family val="0"/>
    </font>
    <font>
      <i/>
      <sz val="8"/>
      <color indexed="10"/>
      <name val="Arial CE"/>
      <family val="0"/>
    </font>
    <font>
      <sz val="8"/>
      <name val="MS Sans Serif"/>
      <family val="2"/>
    </font>
    <font>
      <sz val="9"/>
      <name val="Arial CE"/>
      <family val="0"/>
    </font>
    <font>
      <sz val="10"/>
      <color indexed="10"/>
      <name val="Arial CE"/>
      <family val="2"/>
    </font>
    <font>
      <sz val="8"/>
      <name val="Arial"/>
      <family val="0"/>
    </font>
    <font>
      <i/>
      <sz val="8"/>
      <name val="Times New Roman"/>
      <family val="1"/>
    </font>
    <font>
      <sz val="12"/>
      <name val="Times New Roman"/>
      <family val="1"/>
    </font>
    <font>
      <b/>
      <i/>
      <sz val="11"/>
      <name val="Arial CE"/>
      <family val="2"/>
    </font>
    <font>
      <sz val="11"/>
      <name val="Arial CE"/>
      <family val="2"/>
    </font>
    <font>
      <sz val="10"/>
      <name val="Times New Roman"/>
      <family val="1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4" fontId="4" fillId="0" borderId="1" xfId="1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1" fontId="5" fillId="0" borderId="2" xfId="19" applyNumberFormat="1" applyFont="1" applyFill="1" applyBorder="1" applyAlignment="1">
      <alignment horizontal="center" vertical="center" wrapText="1"/>
      <protection/>
    </xf>
    <xf numFmtId="4" fontId="5" fillId="0" borderId="2" xfId="19" applyNumberFormat="1" applyFont="1" applyFill="1" applyBorder="1" applyAlignment="1">
      <alignment horizontal="center" vertical="center" wrapText="1"/>
      <protection/>
    </xf>
    <xf numFmtId="3" fontId="5" fillId="0" borderId="2" xfId="19" applyNumberFormat="1" applyFont="1" applyFill="1" applyBorder="1" applyAlignment="1">
      <alignment horizontal="center" vertical="center" wrapText="1"/>
      <protection/>
    </xf>
    <xf numFmtId="3" fontId="5" fillId="0" borderId="2" xfId="19" applyNumberFormat="1" applyFont="1" applyFill="1" applyBorder="1" applyAlignment="1">
      <alignment horizontal="center" vertical="center" wrapText="1"/>
      <protection/>
    </xf>
    <xf numFmtId="1" fontId="5" fillId="0" borderId="2" xfId="19" applyNumberFormat="1" applyFont="1" applyFill="1" applyBorder="1" applyAlignment="1">
      <alignment horizontal="center" vertical="center"/>
      <protection/>
    </xf>
    <xf numFmtId="4" fontId="6" fillId="0" borderId="3" xfId="19" applyNumberFormat="1" applyFont="1" applyFill="1" applyBorder="1" applyAlignment="1">
      <alignment horizontal="center" vertical="center" wrapText="1"/>
      <protection/>
    </xf>
    <xf numFmtId="4" fontId="6" fillId="0" borderId="4" xfId="19" applyNumberFormat="1" applyFont="1" applyFill="1" applyBorder="1" applyAlignment="1">
      <alignment horizontal="center" vertical="center" wrapText="1"/>
      <protection/>
    </xf>
    <xf numFmtId="3" fontId="7" fillId="0" borderId="4" xfId="19" applyNumberFormat="1" applyFont="1" applyFill="1" applyBorder="1" applyAlignment="1">
      <alignment horizontal="right" vertical="center" wrapText="1"/>
      <protection/>
    </xf>
    <xf numFmtId="3" fontId="7" fillId="0" borderId="4" xfId="19" applyNumberFormat="1" applyFont="1" applyFill="1" applyBorder="1" applyAlignment="1">
      <alignment horizontal="right" vertical="center" wrapText="1"/>
      <protection/>
    </xf>
    <xf numFmtId="172" fontId="5" fillId="0" borderId="2" xfId="19" applyNumberFormat="1" applyFont="1" applyFill="1" applyBorder="1" applyAlignment="1">
      <alignment horizontal="center" vertical="center" wrapText="1"/>
      <protection/>
    </xf>
    <xf numFmtId="4" fontId="8" fillId="0" borderId="2" xfId="19" applyNumberFormat="1" applyFont="1" applyFill="1" applyBorder="1" applyAlignment="1">
      <alignment horizontal="left" vertical="center" wrapText="1"/>
      <protection/>
    </xf>
    <xf numFmtId="4" fontId="5" fillId="0" borderId="2" xfId="19" applyNumberFormat="1" applyFont="1" applyFill="1" applyBorder="1" applyAlignment="1">
      <alignment horizontal="left" vertical="center" wrapText="1"/>
      <protection/>
    </xf>
    <xf numFmtId="3" fontId="7" fillId="0" borderId="4" xfId="19" applyNumberFormat="1" applyFont="1" applyFill="1" applyBorder="1" applyAlignment="1">
      <alignment vertical="center"/>
      <protection/>
    </xf>
    <xf numFmtId="3" fontId="7" fillId="0" borderId="4" xfId="19" applyNumberFormat="1" applyFont="1" applyFill="1" applyBorder="1" applyAlignment="1">
      <alignment vertical="center"/>
      <protection/>
    </xf>
    <xf numFmtId="1" fontId="9" fillId="0" borderId="2" xfId="19" applyNumberFormat="1" applyFont="1" applyFill="1" applyBorder="1" applyAlignment="1">
      <alignment horizontal="center" vertical="center"/>
      <protection/>
    </xf>
    <xf numFmtId="4" fontId="9" fillId="0" borderId="2" xfId="19" applyNumberFormat="1" applyFont="1" applyFill="1" applyBorder="1" applyAlignment="1">
      <alignment vertical="center" wrapText="1"/>
      <protection/>
    </xf>
    <xf numFmtId="3" fontId="9" fillId="0" borderId="2" xfId="19" applyNumberFormat="1" applyFont="1" applyFill="1" applyBorder="1" applyAlignment="1">
      <alignment vertical="center"/>
      <protection/>
    </xf>
    <xf numFmtId="3" fontId="9" fillId="0" borderId="2" xfId="19" applyNumberFormat="1" applyFont="1" applyFill="1" applyBorder="1" applyAlignment="1">
      <alignment vertical="center"/>
      <protection/>
    </xf>
    <xf numFmtId="0" fontId="5" fillId="0" borderId="2" xfId="18" applyFont="1" applyFill="1" applyBorder="1" applyAlignment="1">
      <alignment horizontal="center" vertical="center"/>
      <protection/>
    </xf>
    <xf numFmtId="0" fontId="10" fillId="0" borderId="2" xfId="18" applyFont="1" applyFill="1" applyBorder="1" applyAlignment="1">
      <alignment horizontal="left" vertical="center" wrapText="1"/>
      <protection/>
    </xf>
    <xf numFmtId="3" fontId="10" fillId="0" borderId="2" xfId="19" applyNumberFormat="1" applyFont="1" applyFill="1" applyBorder="1" applyAlignment="1">
      <alignment horizontal="right" vertical="center" wrapText="1"/>
      <protection/>
    </xf>
    <xf numFmtId="3" fontId="10" fillId="0" borderId="2" xfId="19" applyNumberFormat="1" applyFont="1" applyFill="1" applyBorder="1" applyAlignment="1">
      <alignment horizontal="right" vertical="center" wrapText="1"/>
      <protection/>
    </xf>
    <xf numFmtId="172" fontId="10" fillId="0" borderId="2" xfId="19" applyNumberFormat="1" applyFont="1" applyFill="1" applyBorder="1" applyAlignment="1">
      <alignment horizontal="center" vertical="center" wrapText="1"/>
      <protection/>
    </xf>
    <xf numFmtId="0" fontId="10" fillId="0" borderId="2" xfId="18" applyFont="1" applyFill="1" applyBorder="1" applyAlignment="1">
      <alignment horizontal="left" vertical="center" wrapText="1"/>
      <protection/>
    </xf>
    <xf numFmtId="0" fontId="11" fillId="0" borderId="2" xfId="18" applyFont="1" applyFill="1" applyBorder="1" applyAlignment="1">
      <alignment horizontal="center" vertical="center"/>
      <protection/>
    </xf>
    <xf numFmtId="0" fontId="10" fillId="0" borderId="2" xfId="18" applyFont="1" applyFill="1" applyBorder="1" applyAlignment="1">
      <alignment vertical="center" wrapText="1"/>
      <protection/>
    </xf>
    <xf numFmtId="0" fontId="5" fillId="0" borderId="2" xfId="18" applyFont="1" applyFill="1" applyBorder="1" applyAlignment="1">
      <alignment horizontal="center" vertical="center"/>
      <protection/>
    </xf>
    <xf numFmtId="3" fontId="12" fillId="0" borderId="2" xfId="19" applyNumberFormat="1" applyFont="1" applyFill="1" applyBorder="1" applyAlignment="1">
      <alignment horizontal="right" vertical="center" wrapText="1"/>
      <protection/>
    </xf>
    <xf numFmtId="0" fontId="10" fillId="0" borderId="2" xfId="18" applyFont="1" applyFill="1" applyBorder="1" applyAlignment="1">
      <alignment horizontal="center" vertical="center"/>
      <protection/>
    </xf>
    <xf numFmtId="4" fontId="10" fillId="0" borderId="2" xfId="19" applyNumberFormat="1" applyFont="1" applyFill="1" applyBorder="1" applyAlignment="1">
      <alignment horizontal="left" vertical="center" wrapText="1"/>
      <protection/>
    </xf>
    <xf numFmtId="1" fontId="10" fillId="0" borderId="2" xfId="19" applyNumberFormat="1" applyFont="1" applyFill="1" applyBorder="1" applyAlignment="1">
      <alignment horizontal="center" vertical="center"/>
      <protection/>
    </xf>
    <xf numFmtId="4" fontId="10" fillId="0" borderId="2" xfId="19" applyNumberFormat="1" applyFont="1" applyFill="1" applyBorder="1" applyAlignment="1">
      <alignment vertical="center" wrapText="1"/>
      <protection/>
    </xf>
    <xf numFmtId="1" fontId="10" fillId="0" borderId="2" xfId="19" applyNumberFormat="1" applyFont="1" applyFill="1" applyBorder="1" applyAlignment="1">
      <alignment horizontal="center" vertical="center"/>
      <protection/>
    </xf>
    <xf numFmtId="4" fontId="10" fillId="0" borderId="2" xfId="19" applyNumberFormat="1" applyFont="1" applyFill="1" applyBorder="1" applyAlignment="1">
      <alignment vertical="center" wrapText="1"/>
      <protection/>
    </xf>
    <xf numFmtId="4" fontId="9" fillId="0" borderId="2" xfId="19" applyNumberFormat="1" applyFont="1" applyFill="1" applyBorder="1" applyAlignment="1">
      <alignment horizontal="left" vertical="center" wrapText="1"/>
      <protection/>
    </xf>
    <xf numFmtId="0" fontId="10" fillId="0" borderId="2" xfId="18" applyFont="1" applyFill="1" applyBorder="1" applyAlignment="1">
      <alignment vertical="center" wrapText="1"/>
      <protection/>
    </xf>
    <xf numFmtId="3" fontId="9" fillId="0" borderId="2" xfId="19" applyNumberFormat="1" applyFont="1" applyFill="1" applyBorder="1" applyAlignment="1">
      <alignment horizontal="right" vertical="center" wrapText="1"/>
      <protection/>
    </xf>
    <xf numFmtId="0" fontId="13" fillId="0" borderId="2" xfId="18" applyFont="1" applyFill="1" applyBorder="1" applyAlignment="1">
      <alignment horizontal="center" vertical="center"/>
      <protection/>
    </xf>
    <xf numFmtId="0" fontId="13" fillId="0" borderId="2" xfId="18" applyFont="1" applyFill="1" applyBorder="1" applyAlignment="1">
      <alignment horizontal="left" vertical="center" wrapText="1" indent="2"/>
      <protection/>
    </xf>
    <xf numFmtId="3" fontId="13" fillId="0" borderId="2" xfId="19" applyNumberFormat="1" applyFont="1" applyFill="1" applyBorder="1" applyAlignment="1">
      <alignment horizontal="right" vertical="center" wrapText="1"/>
      <protection/>
    </xf>
    <xf numFmtId="3" fontId="13" fillId="0" borderId="2" xfId="19" applyNumberFormat="1" applyFont="1" applyFill="1" applyBorder="1" applyAlignment="1">
      <alignment horizontal="right" vertical="center" wrapText="1"/>
      <protection/>
    </xf>
    <xf numFmtId="3" fontId="14" fillId="0" borderId="2" xfId="19" applyNumberFormat="1" applyFont="1" applyFill="1" applyBorder="1" applyAlignment="1">
      <alignment horizontal="right" vertical="center" wrapText="1"/>
      <protection/>
    </xf>
    <xf numFmtId="172" fontId="10" fillId="0" borderId="2" xfId="19" applyNumberFormat="1" applyFont="1" applyFill="1" applyBorder="1" applyAlignment="1">
      <alignment horizontal="center" vertical="center" wrapText="1"/>
      <protection/>
    </xf>
    <xf numFmtId="3" fontId="9" fillId="0" borderId="2" xfId="19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9" fontId="10" fillId="0" borderId="2" xfId="18" applyNumberFormat="1" applyFont="1" applyFill="1" applyBorder="1" applyAlignment="1">
      <alignment vertical="center" wrapText="1"/>
      <protection/>
    </xf>
    <xf numFmtId="0" fontId="10" fillId="0" borderId="2" xfId="18" applyFont="1" applyFill="1" applyBorder="1" applyAlignment="1">
      <alignment horizontal="center" vertical="center"/>
      <protection/>
    </xf>
    <xf numFmtId="0" fontId="13" fillId="0" borderId="2" xfId="18" applyFont="1" applyFill="1" applyBorder="1" applyAlignment="1">
      <alignment horizontal="center" vertical="center"/>
      <protection/>
    </xf>
    <xf numFmtId="0" fontId="13" fillId="0" borderId="2" xfId="18" applyFont="1" applyFill="1" applyBorder="1" applyAlignment="1">
      <alignment horizontal="left" vertical="center" wrapText="1" indent="2"/>
      <protection/>
    </xf>
    <xf numFmtId="0" fontId="15" fillId="0" borderId="2" xfId="18" applyFont="1" applyFill="1" applyBorder="1" applyAlignment="1">
      <alignment horizontal="left" vertical="center" wrapText="1"/>
      <protection/>
    </xf>
    <xf numFmtId="4" fontId="10" fillId="0" borderId="2" xfId="19" applyNumberFormat="1" applyFont="1" applyFill="1" applyBorder="1" applyAlignment="1">
      <alignment horizontal="left" vertical="center" wrapText="1"/>
      <protection/>
    </xf>
    <xf numFmtId="0" fontId="10" fillId="0" borderId="2" xfId="0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16" fillId="0" borderId="2" xfId="19" applyNumberFormat="1" applyFont="1" applyFill="1" applyBorder="1" applyAlignment="1">
      <alignment horizontal="right" vertical="center" wrapText="1"/>
      <protection/>
    </xf>
    <xf numFmtId="0" fontId="17" fillId="0" borderId="0" xfId="0" applyFont="1" applyFill="1" applyAlignment="1">
      <alignment/>
    </xf>
    <xf numFmtId="1" fontId="12" fillId="0" borderId="2" xfId="19" applyNumberFormat="1" applyFont="1" applyFill="1" applyBorder="1" applyAlignment="1">
      <alignment horizontal="center" vertical="center"/>
      <protection/>
    </xf>
    <xf numFmtId="3" fontId="7" fillId="0" borderId="2" xfId="19" applyNumberFormat="1" applyFont="1" applyFill="1" applyBorder="1" applyAlignment="1">
      <alignment horizontal="right" vertical="center" wrapText="1"/>
      <protection/>
    </xf>
    <xf numFmtId="3" fontId="7" fillId="0" borderId="2" xfId="19" applyNumberFormat="1" applyFont="1" applyFill="1" applyBorder="1" applyAlignment="1">
      <alignment horizontal="right" vertical="center" wrapText="1"/>
      <protection/>
    </xf>
    <xf numFmtId="0" fontId="15" fillId="0" borderId="2" xfId="18" applyFont="1" applyFill="1" applyBorder="1" applyAlignment="1">
      <alignment vertical="center" wrapText="1"/>
      <protection/>
    </xf>
    <xf numFmtId="1" fontId="10" fillId="0" borderId="3" xfId="19" applyNumberFormat="1" applyFont="1" applyFill="1" applyBorder="1" applyAlignment="1">
      <alignment horizontal="center" vertical="center"/>
      <protection/>
    </xf>
    <xf numFmtId="0" fontId="15" fillId="0" borderId="4" xfId="18" applyFont="1" applyFill="1" applyBorder="1" applyAlignment="1">
      <alignment vertical="center" wrapText="1"/>
      <protection/>
    </xf>
    <xf numFmtId="1" fontId="8" fillId="0" borderId="3" xfId="19" applyNumberFormat="1" applyFont="1" applyFill="1" applyBorder="1" applyAlignment="1">
      <alignment horizontal="left" vertical="center" wrapText="1"/>
      <protection/>
    </xf>
    <xf numFmtId="1" fontId="8" fillId="0" borderId="4" xfId="19" applyNumberFormat="1" applyFont="1" applyFill="1" applyBorder="1" applyAlignment="1">
      <alignment horizontal="left" vertical="center" wrapText="1"/>
      <protection/>
    </xf>
    <xf numFmtId="3" fontId="9" fillId="0" borderId="2" xfId="19" applyNumberFormat="1" applyFont="1" applyFill="1" applyBorder="1" applyAlignment="1">
      <alignment horizontal="center" vertical="center"/>
      <protection/>
    </xf>
    <xf numFmtId="3" fontId="9" fillId="0" borderId="2" xfId="19" applyNumberFormat="1" applyFont="1" applyFill="1" applyBorder="1" applyAlignment="1">
      <alignment horizontal="left" vertical="center" wrapText="1"/>
      <protection/>
    </xf>
    <xf numFmtId="1" fontId="10" fillId="0" borderId="2" xfId="19" applyNumberFormat="1" applyFont="1" applyFill="1" applyBorder="1" applyAlignment="1">
      <alignment vertical="center" wrapText="1"/>
      <protection/>
    </xf>
    <xf numFmtId="1" fontId="13" fillId="0" borderId="2" xfId="19" applyNumberFormat="1" applyFont="1" applyFill="1" applyBorder="1" applyAlignment="1">
      <alignment horizontal="center" vertical="center"/>
      <protection/>
    </xf>
    <xf numFmtId="1" fontId="13" fillId="0" borderId="2" xfId="19" applyNumberFormat="1" applyFont="1" applyFill="1" applyBorder="1" applyAlignment="1">
      <alignment horizontal="left" vertical="center" wrapText="1" indent="2"/>
      <protection/>
    </xf>
    <xf numFmtId="3" fontId="18" fillId="0" borderId="2" xfId="0" applyNumberFormat="1" applyFont="1" applyFill="1" applyBorder="1" applyAlignment="1">
      <alignment/>
    </xf>
    <xf numFmtId="4" fontId="10" fillId="0" borderId="2" xfId="19" applyNumberFormat="1" applyFont="1" applyFill="1" applyBorder="1" applyAlignment="1">
      <alignment horizontal="center" vertical="center"/>
      <protection/>
    </xf>
    <xf numFmtId="1" fontId="10" fillId="0" borderId="2" xfId="19" applyNumberFormat="1" applyFont="1" applyFill="1" applyBorder="1" applyAlignment="1">
      <alignment horizontal="left" vertical="center" wrapText="1"/>
      <protection/>
    </xf>
    <xf numFmtId="1" fontId="11" fillId="0" borderId="2" xfId="19" applyNumberFormat="1" applyFont="1" applyFill="1" applyBorder="1" applyAlignment="1">
      <alignment horizontal="center" vertical="center"/>
      <protection/>
    </xf>
    <xf numFmtId="0" fontId="19" fillId="0" borderId="2" xfId="18" applyFont="1" applyFill="1" applyBorder="1" applyAlignment="1">
      <alignment horizontal="left" vertical="center" wrapText="1" indent="2"/>
      <protection/>
    </xf>
    <xf numFmtId="1" fontId="19" fillId="0" borderId="2" xfId="19" applyNumberFormat="1" applyFont="1" applyFill="1" applyBorder="1" applyAlignment="1">
      <alignment horizontal="left" vertical="center" wrapText="1" indent="2"/>
      <protection/>
    </xf>
    <xf numFmtId="0" fontId="1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20" fillId="0" borderId="0" xfId="0" applyFont="1" applyAlignment="1">
      <alignment horizontal="justify"/>
    </xf>
    <xf numFmtId="3" fontId="17" fillId="0" borderId="0" xfId="0" applyNumberFormat="1" applyFont="1" applyFill="1" applyAlignment="1">
      <alignment/>
    </xf>
    <xf numFmtId="1" fontId="5" fillId="0" borderId="2" xfId="19" applyNumberFormat="1" applyFont="1" applyFill="1" applyBorder="1" applyAlignment="1">
      <alignment horizontal="center" vertical="center" wrapText="1"/>
      <protection/>
    </xf>
    <xf numFmtId="4" fontId="5" fillId="0" borderId="2" xfId="19" applyNumberFormat="1" applyFont="1" applyFill="1" applyBorder="1" applyAlignment="1">
      <alignment horizontal="center" vertical="center" wrapText="1"/>
      <protection/>
    </xf>
    <xf numFmtId="1" fontId="5" fillId="0" borderId="2" xfId="19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/>
    </xf>
    <xf numFmtId="4" fontId="21" fillId="0" borderId="3" xfId="19" applyNumberFormat="1" applyFont="1" applyFill="1" applyBorder="1" applyAlignment="1">
      <alignment horizontal="center" vertical="center" wrapText="1"/>
      <protection/>
    </xf>
    <xf numFmtId="4" fontId="21" fillId="0" borderId="4" xfId="19" applyNumberFormat="1" applyFont="1" applyFill="1" applyBorder="1" applyAlignment="1">
      <alignment horizontal="center" vertical="center" wrapText="1"/>
      <protection/>
    </xf>
    <xf numFmtId="3" fontId="8" fillId="0" borderId="4" xfId="19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/>
    </xf>
    <xf numFmtId="0" fontId="10" fillId="0" borderId="2" xfId="0" applyFont="1" applyFill="1" applyBorder="1" applyAlignment="1">
      <alignment/>
    </xf>
    <xf numFmtId="3" fontId="8" fillId="0" borderId="2" xfId="19" applyNumberFormat="1" applyFont="1" applyFill="1" applyBorder="1" applyAlignment="1">
      <alignment horizontal="right" vertical="center" wrapText="1"/>
      <protection/>
    </xf>
    <xf numFmtId="3" fontId="8" fillId="0" borderId="2" xfId="0" applyNumberFormat="1" applyFont="1" applyFill="1" applyBorder="1" applyAlignment="1">
      <alignment/>
    </xf>
    <xf numFmtId="1" fontId="8" fillId="0" borderId="2" xfId="19" applyNumberFormat="1" applyFont="1" applyFill="1" applyBorder="1" applyAlignment="1">
      <alignment horizontal="left" vertical="center" wrapText="1"/>
      <protection/>
    </xf>
    <xf numFmtId="3" fontId="5" fillId="0" borderId="2" xfId="19" applyNumberFormat="1" applyFont="1" applyFill="1" applyBorder="1" applyAlignment="1">
      <alignment horizontal="right" vertical="center" wrapText="1"/>
      <protection/>
    </xf>
    <xf numFmtId="0" fontId="5" fillId="0" borderId="2" xfId="0" applyFont="1" applyFill="1" applyBorder="1" applyAlignment="1">
      <alignment/>
    </xf>
    <xf numFmtId="0" fontId="23" fillId="0" borderId="2" xfId="0" applyFont="1" applyBorder="1" applyAlignment="1">
      <alignment wrapText="1"/>
    </xf>
    <xf numFmtId="0" fontId="24" fillId="0" borderId="0" xfId="0" applyFont="1" applyFill="1" applyAlignment="1">
      <alignment/>
    </xf>
    <xf numFmtId="3" fontId="5" fillId="0" borderId="5" xfId="19" applyNumberFormat="1" applyFont="1" applyFill="1" applyBorder="1" applyAlignment="1">
      <alignment horizontal="center" vertical="center" wrapText="1"/>
      <protection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center" wrapText="1"/>
    </xf>
    <xf numFmtId="3" fontId="7" fillId="0" borderId="2" xfId="0" applyNumberFormat="1" applyFont="1" applyFill="1" applyBorder="1" applyAlignment="1">
      <alignment horizontal="center"/>
    </xf>
    <xf numFmtId="3" fontId="10" fillId="0" borderId="0" xfId="19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ny_B_99" xfId="18"/>
    <cellStyle name="Normalny_d_stawkimax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owanie\Ania\Dokumenty\Sprawozdania\Sprawozdania%202013\Roczne%202013\Dochody2013\D_tab_spr2013.xml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anowanie\Barbara\DOCHODY_sprawozd\D_spr2014\Tabele%20dochod&#243;w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2"/>
      <sheetName val="Łączne zestawienie planu"/>
      <sheetName val="dochody I-VI 2012"/>
    </sheetNames>
    <sheetDataSet>
      <sheetData sheetId="2">
        <row r="10">
          <cell r="AD10">
            <v>40741462.839999996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eżące"/>
      <sheetName val="Majątkowe"/>
      <sheetName val="wg Klasyfikacj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9"/>
  <sheetViews>
    <sheetView tabSelected="1" workbookViewId="0" topLeftCell="A1">
      <pane xSplit="2" ySplit="3" topLeftCell="C20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59" sqref="D59"/>
    </sheetView>
  </sheetViews>
  <sheetFormatPr defaultColWidth="9.00390625" defaultRowHeight="12.75"/>
  <cols>
    <col min="1" max="1" width="3.25390625" style="2" customWidth="1"/>
    <col min="2" max="2" width="48.875" style="2" customWidth="1"/>
    <col min="3" max="3" width="12.375" style="82" customWidth="1"/>
    <col min="4" max="4" width="12.75390625" style="47" customWidth="1"/>
    <col min="5" max="5" width="8.25390625" style="47" customWidth="1"/>
    <col min="6" max="16384" width="9.125" style="2" customWidth="1"/>
  </cols>
  <sheetData>
    <row r="1" spans="1:5" ht="36" customHeight="1">
      <c r="A1" s="1" t="s">
        <v>0</v>
      </c>
      <c r="B1" s="1"/>
      <c r="C1" s="1"/>
      <c r="D1" s="1"/>
      <c r="E1" s="1"/>
    </row>
    <row r="2" spans="1:5" ht="22.5">
      <c r="A2" s="3" t="s">
        <v>1</v>
      </c>
      <c r="B2" s="4" t="s">
        <v>2</v>
      </c>
      <c r="C2" s="5" t="s">
        <v>3</v>
      </c>
      <c r="D2" s="6" t="s">
        <v>5</v>
      </c>
      <c r="E2" s="6" t="s">
        <v>4</v>
      </c>
    </row>
    <row r="3" spans="1:5" ht="12.75">
      <c r="A3" s="7">
        <v>1</v>
      </c>
      <c r="B3" s="7">
        <v>2</v>
      </c>
      <c r="C3" s="5">
        <v>3</v>
      </c>
      <c r="D3" s="6">
        <v>4</v>
      </c>
      <c r="E3" s="5">
        <v>5</v>
      </c>
    </row>
    <row r="4" spans="1:5" ht="21" customHeight="1">
      <c r="A4" s="8" t="s">
        <v>6</v>
      </c>
      <c r="B4" s="9"/>
      <c r="C4" s="10">
        <f>SUM(C5,C132,C173,C177)</f>
        <v>1101845490</v>
      </c>
      <c r="D4" s="10">
        <f>SUM(D5,D132,D173,D177)</f>
        <v>1050672641.58</v>
      </c>
      <c r="E4" s="12">
        <f>D4/C4</f>
        <v>0.9535571467284402</v>
      </c>
    </row>
    <row r="5" spans="1:5" ht="19.5" customHeight="1">
      <c r="A5" s="13" t="s">
        <v>268</v>
      </c>
      <c r="B5" s="14"/>
      <c r="C5" s="15">
        <f>SUM(C6,C22,C27,C40,C70,C129,C90)</f>
        <v>770799670</v>
      </c>
      <c r="D5" s="16">
        <f>SUM(D6,D22,D27,D40,D70,D129,D90)</f>
        <v>721810518.65</v>
      </c>
      <c r="E5" s="12">
        <f>D5/C5</f>
        <v>0.9364437307685926</v>
      </c>
    </row>
    <row r="6" spans="1:5" ht="16.5" customHeight="1">
      <c r="A6" s="17">
        <v>1</v>
      </c>
      <c r="B6" s="18" t="s">
        <v>7</v>
      </c>
      <c r="C6" s="19">
        <f>SUM(C7:C21)</f>
        <v>238265242</v>
      </c>
      <c r="D6" s="20">
        <f>SUM(D7:D21)</f>
        <v>204203575.46</v>
      </c>
      <c r="E6" s="12">
        <f>D6/C6</f>
        <v>0.8570430741215708</v>
      </c>
    </row>
    <row r="7" spans="1:5" ht="12.75">
      <c r="A7" s="21"/>
      <c r="B7" s="22" t="s">
        <v>8</v>
      </c>
      <c r="C7" s="23">
        <f>136338789+22834679+5000000</f>
        <v>164173468</v>
      </c>
      <c r="D7" s="24">
        <f>113141527+24312046</f>
        <v>137453573</v>
      </c>
      <c r="E7" s="25">
        <f>D7/C7</f>
        <v>0.8372459610830661</v>
      </c>
    </row>
    <row r="8" spans="1:5" ht="12.75">
      <c r="A8" s="21"/>
      <c r="B8" s="26" t="s">
        <v>9</v>
      </c>
      <c r="C8" s="23">
        <f>6300000+2300000</f>
        <v>8600000</v>
      </c>
      <c r="D8" s="24">
        <f>6033858+2289185</f>
        <v>8323043</v>
      </c>
      <c r="E8" s="25">
        <f>D8/C8</f>
        <v>0.9677956976744186</v>
      </c>
    </row>
    <row r="9" spans="1:5" ht="12.75">
      <c r="A9" s="27"/>
      <c r="B9" s="28" t="s">
        <v>10</v>
      </c>
      <c r="C9" s="23">
        <f>7000+48000</f>
        <v>55000</v>
      </c>
      <c r="D9" s="24">
        <f>6480+63750</f>
        <v>70230</v>
      </c>
      <c r="E9" s="25">
        <f>D9/C9</f>
        <v>1.276909090909091</v>
      </c>
    </row>
    <row r="10" spans="1:5" ht="12.75">
      <c r="A10" s="29"/>
      <c r="B10" s="22" t="s">
        <v>11</v>
      </c>
      <c r="C10" s="23">
        <f>76000+4600</f>
        <v>80600</v>
      </c>
      <c r="D10" s="24">
        <f>94976+4993</f>
        <v>99969</v>
      </c>
      <c r="E10" s="25">
        <f>D10/C10</f>
        <v>1.2403101736972704</v>
      </c>
    </row>
    <row r="11" spans="1:5" ht="12.75" hidden="1">
      <c r="A11" s="29"/>
      <c r="B11" s="28" t="s">
        <v>12</v>
      </c>
      <c r="C11" s="30"/>
      <c r="D11" s="24"/>
      <c r="E11" s="25" t="e">
        <f>D11/C11</f>
        <v>#DIV/0!</v>
      </c>
    </row>
    <row r="12" spans="1:5" ht="22.5">
      <c r="A12" s="31"/>
      <c r="B12" s="32" t="s">
        <v>13</v>
      </c>
      <c r="C12" s="23">
        <v>157000</v>
      </c>
      <c r="D12" s="24">
        <v>175579</v>
      </c>
      <c r="E12" s="25">
        <f>D12/C12</f>
        <v>1.1183375796178343</v>
      </c>
    </row>
    <row r="13" spans="1:5" ht="12.75">
      <c r="A13" s="21"/>
      <c r="B13" s="26" t="s">
        <v>14</v>
      </c>
      <c r="C13" s="23">
        <v>3800000</v>
      </c>
      <c r="D13" s="24">
        <v>3762677</v>
      </c>
      <c r="E13" s="25">
        <f>D13/C13</f>
        <v>0.9901781578947368</v>
      </c>
    </row>
    <row r="14" spans="1:5" ht="12.75">
      <c r="A14" s="21"/>
      <c r="B14" s="26" t="s">
        <v>15</v>
      </c>
      <c r="C14" s="23">
        <v>5200000</v>
      </c>
      <c r="D14" s="24">
        <v>5176890</v>
      </c>
      <c r="E14" s="25">
        <f>D14/C14</f>
        <v>0.9955557692307693</v>
      </c>
    </row>
    <row r="15" spans="1:5" ht="12.75">
      <c r="A15" s="33"/>
      <c r="B15" s="34" t="s">
        <v>16</v>
      </c>
      <c r="C15" s="23">
        <v>5600000</v>
      </c>
      <c r="D15" s="24">
        <v>5554608</v>
      </c>
      <c r="E15" s="25">
        <f>D15/C15</f>
        <v>0.9918942857142857</v>
      </c>
    </row>
    <row r="16" spans="1:5" ht="12.75">
      <c r="A16" s="29"/>
      <c r="B16" s="28" t="s">
        <v>17</v>
      </c>
      <c r="C16" s="23">
        <f>400000+60000</f>
        <v>460000</v>
      </c>
      <c r="D16" s="24">
        <f>326214+112132</f>
        <v>438346</v>
      </c>
      <c r="E16" s="25">
        <f>D16/C16</f>
        <v>0.9529260869565217</v>
      </c>
    </row>
    <row r="17" spans="1:5" ht="22.5">
      <c r="A17" s="29"/>
      <c r="B17" s="28" t="s">
        <v>18</v>
      </c>
      <c r="C17" s="23">
        <v>13139174</v>
      </c>
      <c r="D17" s="24">
        <f>9712+77488+11883451+23279+131894</f>
        <v>12125824</v>
      </c>
      <c r="E17" s="25">
        <f>D17/C17</f>
        <v>0.9228756693533399</v>
      </c>
    </row>
    <row r="18" spans="1:5" ht="12.75">
      <c r="A18" s="31"/>
      <c r="B18" s="22" t="s">
        <v>19</v>
      </c>
      <c r="C18" s="23">
        <v>250000</v>
      </c>
      <c r="D18" s="24">
        <v>31646.46</v>
      </c>
      <c r="E18" s="25">
        <f>D18/C18</f>
        <v>0.12658584</v>
      </c>
    </row>
    <row r="19" spans="1:5" ht="12.75">
      <c r="A19" s="31"/>
      <c r="B19" s="22" t="s">
        <v>20</v>
      </c>
      <c r="C19" s="23">
        <v>36000000</v>
      </c>
      <c r="D19" s="24">
        <v>36232242</v>
      </c>
      <c r="E19" s="25">
        <f>D19/C19</f>
        <v>1.0064511666666667</v>
      </c>
    </row>
    <row r="20" spans="1:5" ht="22.5" hidden="1">
      <c r="A20" s="31"/>
      <c r="B20" s="22" t="s">
        <v>21</v>
      </c>
      <c r="C20" s="30"/>
      <c r="D20" s="24"/>
      <c r="E20" s="25" t="e">
        <f>D20/C20</f>
        <v>#DIV/0!</v>
      </c>
    </row>
    <row r="21" spans="1:5" ht="12.75">
      <c r="A21" s="35"/>
      <c r="B21" s="36" t="s">
        <v>22</v>
      </c>
      <c r="C21" s="23">
        <f>450000+300000</f>
        <v>750000</v>
      </c>
      <c r="D21" s="24">
        <f>401215-5642267</f>
        <v>-5241052</v>
      </c>
      <c r="E21" s="25">
        <f>D21/C21</f>
        <v>-6.988069333333334</v>
      </c>
    </row>
    <row r="22" spans="1:5" ht="17.25" customHeight="1">
      <c r="A22" s="17">
        <v>2</v>
      </c>
      <c r="B22" s="37" t="s">
        <v>23</v>
      </c>
      <c r="C22" s="19">
        <f>SUM(C23:C26)</f>
        <v>37000000</v>
      </c>
      <c r="D22" s="20">
        <f>SUM(D23:D26)</f>
        <v>22982161</v>
      </c>
      <c r="E22" s="25">
        <f>D22/C22</f>
        <v>0.6211394864864865</v>
      </c>
    </row>
    <row r="23" spans="1:5" ht="12.75">
      <c r="A23" s="21"/>
      <c r="B23" s="38" t="s">
        <v>24</v>
      </c>
      <c r="C23" s="23">
        <f>700000</f>
        <v>700000</v>
      </c>
      <c r="D23" s="24">
        <v>817391</v>
      </c>
      <c r="E23" s="25">
        <f>D23/C23</f>
        <v>1.1677014285714287</v>
      </c>
    </row>
    <row r="24" spans="1:5" ht="12.75">
      <c r="A24" s="21"/>
      <c r="B24" s="38" t="s">
        <v>25</v>
      </c>
      <c r="C24" s="23">
        <f>4300000</f>
        <v>4300000</v>
      </c>
      <c r="D24" s="24">
        <v>4201086</v>
      </c>
      <c r="E24" s="25">
        <f>D24/C24</f>
        <v>0.9769967441860465</v>
      </c>
    </row>
    <row r="25" spans="1:5" ht="12.75">
      <c r="A25" s="21"/>
      <c r="B25" s="38" t="s">
        <v>26</v>
      </c>
      <c r="C25" s="23">
        <f>35000000-3000000</f>
        <v>32000000</v>
      </c>
      <c r="D25" s="24">
        <f>-5325876+23268023+1919</f>
        <v>17944066</v>
      </c>
      <c r="E25" s="25">
        <f>D25/C25</f>
        <v>0.5607520625</v>
      </c>
    </row>
    <row r="26" spans="1:5" ht="12.75">
      <c r="A26" s="21"/>
      <c r="B26" s="38" t="s">
        <v>27</v>
      </c>
      <c r="C26" s="30"/>
      <c r="D26" s="24">
        <f>16582+3036</f>
        <v>19618</v>
      </c>
      <c r="E26" s="25"/>
    </row>
    <row r="27" spans="1:5" ht="15.75" customHeight="1">
      <c r="A27" s="17">
        <v>3</v>
      </c>
      <c r="B27" s="18" t="s">
        <v>28</v>
      </c>
      <c r="C27" s="39">
        <f>SUM(C39,C28:C31)</f>
        <v>33993217</v>
      </c>
      <c r="D27" s="39">
        <f>SUM(D39,D28:D31)</f>
        <v>28033457.83</v>
      </c>
      <c r="E27" s="12">
        <f>D27/C27</f>
        <v>0.8246779888470103</v>
      </c>
    </row>
    <row r="28" spans="1:5" ht="12.75">
      <c r="A28" s="21" t="s">
        <v>29</v>
      </c>
      <c r="B28" s="38" t="s">
        <v>30</v>
      </c>
      <c r="C28" s="23">
        <v>8000000</v>
      </c>
      <c r="D28" s="24">
        <v>7840825.41</v>
      </c>
      <c r="E28" s="25">
        <f>D28/C28</f>
        <v>0.98010317625</v>
      </c>
    </row>
    <row r="29" spans="1:5" ht="12.75">
      <c r="A29" s="21"/>
      <c r="B29" s="38" t="s">
        <v>31</v>
      </c>
      <c r="C29" s="23">
        <v>3000000</v>
      </c>
      <c r="D29" s="24">
        <v>2687001</v>
      </c>
      <c r="E29" s="25">
        <f>D29/C29</f>
        <v>0.895667</v>
      </c>
    </row>
    <row r="30" spans="1:5" ht="12.75">
      <c r="A30" s="21"/>
      <c r="B30" s="38" t="s">
        <v>32</v>
      </c>
      <c r="C30" s="23">
        <v>9500000</v>
      </c>
      <c r="D30" s="24">
        <v>8326278</v>
      </c>
      <c r="E30" s="25">
        <f>D30/C30</f>
        <v>0.8764503157894736</v>
      </c>
    </row>
    <row r="31" spans="1:5" ht="22.5">
      <c r="A31" s="40"/>
      <c r="B31" s="28" t="s">
        <v>33</v>
      </c>
      <c r="C31" s="23">
        <f>SUM(C32:C37)</f>
        <v>11292421</v>
      </c>
      <c r="D31" s="23">
        <f>SUM(D32:D37)</f>
        <v>7786222.42</v>
      </c>
      <c r="E31" s="25">
        <f>D31/C31</f>
        <v>0.6895086908290082</v>
      </c>
    </row>
    <row r="32" spans="1:5" ht="12.75">
      <c r="A32" s="40"/>
      <c r="B32" s="41" t="s">
        <v>34</v>
      </c>
      <c r="C32" s="42">
        <v>250000</v>
      </c>
      <c r="D32" s="43">
        <v>201144</v>
      </c>
      <c r="E32" s="25">
        <f>D32/C32</f>
        <v>0.804576</v>
      </c>
    </row>
    <row r="33" spans="1:5" ht="12.75" hidden="1">
      <c r="A33" s="40"/>
      <c r="B33" s="41" t="s">
        <v>35</v>
      </c>
      <c r="C33" s="42"/>
      <c r="D33" s="43"/>
      <c r="E33" s="25" t="e">
        <f>D33/C33</f>
        <v>#DIV/0!</v>
      </c>
    </row>
    <row r="34" spans="1:5" ht="12.75">
      <c r="A34" s="40"/>
      <c r="B34" s="41" t="s">
        <v>36</v>
      </c>
      <c r="C34" s="42">
        <v>1718837</v>
      </c>
      <c r="D34" s="43">
        <v>1982938.42</v>
      </c>
      <c r="E34" s="25">
        <f>D34/C34</f>
        <v>1.1536512304540802</v>
      </c>
    </row>
    <row r="35" spans="1:5" ht="12.75">
      <c r="A35" s="40"/>
      <c r="B35" s="41" t="s">
        <v>37</v>
      </c>
      <c r="C35" s="42">
        <v>16000</v>
      </c>
      <c r="D35" s="43">
        <v>15689</v>
      </c>
      <c r="E35" s="25">
        <f>D35/C35</f>
        <v>0.9805625</v>
      </c>
    </row>
    <row r="36" spans="1:5" ht="12.75">
      <c r="A36" s="40"/>
      <c r="B36" s="41" t="s">
        <v>38</v>
      </c>
      <c r="C36" s="42">
        <v>13000</v>
      </c>
      <c r="D36" s="43">
        <v>15085</v>
      </c>
      <c r="E36" s="25">
        <f>D36/C36</f>
        <v>1.1603846153846153</v>
      </c>
    </row>
    <row r="37" spans="1:5" ht="12.75">
      <c r="A37" s="40"/>
      <c r="B37" s="41" t="s">
        <v>39</v>
      </c>
      <c r="C37" s="42">
        <f>1891482+6941942+361160+100000</f>
        <v>9294584</v>
      </c>
      <c r="D37" s="43">
        <v>5571366</v>
      </c>
      <c r="E37" s="25">
        <f>D37/C37</f>
        <v>0.5994206948907019</v>
      </c>
    </row>
    <row r="38" spans="1:5" ht="12.75" hidden="1">
      <c r="A38" s="40"/>
      <c r="B38" s="41" t="s">
        <v>40</v>
      </c>
      <c r="C38" s="44"/>
      <c r="D38" s="43"/>
      <c r="E38" s="25" t="e">
        <f>D38/C38</f>
        <v>#DIV/0!</v>
      </c>
    </row>
    <row r="39" spans="1:5" ht="22.5">
      <c r="A39" s="31"/>
      <c r="B39" s="22" t="s">
        <v>41</v>
      </c>
      <c r="C39" s="23">
        <v>2200796</v>
      </c>
      <c r="D39" s="23">
        <v>1393131</v>
      </c>
      <c r="E39" s="45">
        <f>D39/C39</f>
        <v>0.6330123282666817</v>
      </c>
    </row>
    <row r="40" spans="1:5" ht="18.75" customHeight="1">
      <c r="A40" s="17">
        <v>4</v>
      </c>
      <c r="B40" s="18" t="s">
        <v>42</v>
      </c>
      <c r="C40" s="39">
        <f>SUM(C41:C65)</f>
        <v>97634914</v>
      </c>
      <c r="D40" s="46">
        <f>SUM(D41:D65)</f>
        <v>100148288.46000001</v>
      </c>
      <c r="E40" s="12">
        <f>D40/C40</f>
        <v>1.0257425787254753</v>
      </c>
    </row>
    <row r="41" spans="1:5" ht="12.75">
      <c r="A41" s="21"/>
      <c r="B41" s="38" t="s">
        <v>43</v>
      </c>
      <c r="C41" s="23">
        <f>70423000-16000-1000000</f>
        <v>69407000</v>
      </c>
      <c r="D41" s="24">
        <f>67994934+466585</f>
        <v>68461519</v>
      </c>
      <c r="E41" s="25">
        <f>D41/C41</f>
        <v>0.9863777284711917</v>
      </c>
    </row>
    <row r="42" spans="1:5" ht="12.75" hidden="1">
      <c r="A42" s="21"/>
      <c r="B42" s="38" t="s">
        <v>44</v>
      </c>
      <c r="C42" s="23">
        <f>1000000-1000000</f>
        <v>0</v>
      </c>
      <c r="D42" s="24"/>
      <c r="E42" s="25" t="e">
        <f>D42/C42</f>
        <v>#DIV/0!</v>
      </c>
    </row>
    <row r="43" spans="1:5" ht="22.5">
      <c r="A43" s="21"/>
      <c r="B43" s="38" t="s">
        <v>45</v>
      </c>
      <c r="C43" s="23">
        <v>3400000</v>
      </c>
      <c r="D43" s="24">
        <v>3558287.1</v>
      </c>
      <c r="E43" s="25">
        <f>D43/C43</f>
        <v>1.0465550294117647</v>
      </c>
    </row>
    <row r="44" spans="1:5" ht="33.75">
      <c r="A44" s="21"/>
      <c r="B44" s="38" t="s">
        <v>46</v>
      </c>
      <c r="C44" s="23">
        <v>801000</v>
      </c>
      <c r="D44" s="24">
        <v>984817.68</v>
      </c>
      <c r="E44" s="25">
        <f>D44/C44</f>
        <v>1.2294852434456929</v>
      </c>
    </row>
    <row r="45" spans="1:5" s="48" customFormat="1" ht="12.75">
      <c r="A45" s="21"/>
      <c r="B45" s="38" t="s">
        <v>47</v>
      </c>
      <c r="C45" s="23">
        <f>1390222+555209</f>
        <v>1945431</v>
      </c>
      <c r="D45" s="24">
        <f>286684+491348.08</f>
        <v>778032.0800000001</v>
      </c>
      <c r="E45" s="25">
        <f>D45/C45</f>
        <v>0.39992787202424557</v>
      </c>
    </row>
    <row r="46" spans="1:5" s="48" customFormat="1" ht="12.75" hidden="1">
      <c r="A46" s="21"/>
      <c r="B46" s="38" t="s">
        <v>48</v>
      </c>
      <c r="C46" s="23"/>
      <c r="D46" s="24"/>
      <c r="E46" s="25" t="e">
        <f>D46/C46</f>
        <v>#DIV/0!</v>
      </c>
    </row>
    <row r="47" spans="1:5" ht="12.75">
      <c r="A47" s="21"/>
      <c r="B47" s="38" t="s">
        <v>49</v>
      </c>
      <c r="C47" s="23">
        <v>320000</v>
      </c>
      <c r="D47" s="24">
        <v>865744</v>
      </c>
      <c r="E47" s="25">
        <f>D47/C47</f>
        <v>2.70545</v>
      </c>
    </row>
    <row r="48" spans="1:5" ht="12.75">
      <c r="A48" s="21"/>
      <c r="B48" s="38" t="s">
        <v>50</v>
      </c>
      <c r="C48" s="23">
        <f>706600+263175</f>
        <v>969775</v>
      </c>
      <c r="D48" s="24">
        <f>938844+603</f>
        <v>939447</v>
      </c>
      <c r="E48" s="25">
        <f>D48/C48</f>
        <v>0.9687267665180067</v>
      </c>
    </row>
    <row r="49" spans="1:5" ht="12.75">
      <c r="A49" s="21"/>
      <c r="B49" s="38" t="s">
        <v>51</v>
      </c>
      <c r="C49" s="23">
        <f>3733590+13878</f>
        <v>3747468</v>
      </c>
      <c r="D49" s="24">
        <f>3754996</f>
        <v>3754996</v>
      </c>
      <c r="E49" s="25">
        <f>D49/C49</f>
        <v>1.0020088230239725</v>
      </c>
    </row>
    <row r="50" spans="1:5" ht="15" customHeight="1">
      <c r="A50" s="21"/>
      <c r="B50" s="38" t="s">
        <v>52</v>
      </c>
      <c r="C50" s="23">
        <f>712000+678800</f>
        <v>1390800</v>
      </c>
      <c r="D50" s="24">
        <f>734015+783914</f>
        <v>1517929</v>
      </c>
      <c r="E50" s="25">
        <f>D50/C50</f>
        <v>1.0914071038251365</v>
      </c>
    </row>
    <row r="51" spans="1:5" ht="22.5">
      <c r="A51" s="21"/>
      <c r="B51" s="38" t="s">
        <v>53</v>
      </c>
      <c r="C51" s="23">
        <v>239417</v>
      </c>
      <c r="D51" s="24">
        <v>235277</v>
      </c>
      <c r="E51" s="25">
        <f>D51/C51</f>
        <v>0.9827079948374593</v>
      </c>
    </row>
    <row r="52" spans="1:5" ht="33.75">
      <c r="A52" s="21"/>
      <c r="B52" s="38" t="s">
        <v>54</v>
      </c>
      <c r="C52" s="23">
        <v>172192</v>
      </c>
      <c r="D52" s="24">
        <v>173095</v>
      </c>
      <c r="E52" s="25">
        <f>D52/C52</f>
        <v>1.0052441460695039</v>
      </c>
    </row>
    <row r="53" spans="1:5" ht="22.5" hidden="1">
      <c r="A53" s="21"/>
      <c r="B53" s="38" t="s">
        <v>55</v>
      </c>
      <c r="C53" s="30"/>
      <c r="D53" s="24"/>
      <c r="E53" s="25" t="e">
        <f>D53/C53</f>
        <v>#DIV/0!</v>
      </c>
    </row>
    <row r="54" spans="1:5" ht="12.75">
      <c r="A54" s="21"/>
      <c r="B54" s="38" t="s">
        <v>56</v>
      </c>
      <c r="C54" s="23">
        <f>2323391</f>
        <v>2323391</v>
      </c>
      <c r="D54" s="24">
        <v>2288763</v>
      </c>
      <c r="E54" s="25">
        <f>D54/C54</f>
        <v>0.9850959222963332</v>
      </c>
    </row>
    <row r="55" spans="1:5" ht="12.75">
      <c r="A55" s="21"/>
      <c r="B55" s="38" t="s">
        <v>57</v>
      </c>
      <c r="C55" s="23">
        <f>1049290+8000+2056593+103000+1104428+6000</f>
        <v>4327311</v>
      </c>
      <c r="D55" s="24">
        <f>1989401+44123.62+1149426.69+233+2077.36+9931-286684-491348.28</f>
        <v>2417160.3899999997</v>
      </c>
      <c r="E55" s="25">
        <f>D55/C55</f>
        <v>0.5585825446795942</v>
      </c>
    </row>
    <row r="56" spans="1:5" ht="12.75">
      <c r="A56" s="21"/>
      <c r="B56" s="38" t="s">
        <v>58</v>
      </c>
      <c r="C56" s="23">
        <v>258983</v>
      </c>
      <c r="D56" s="24">
        <f>207394+59234</f>
        <v>266628</v>
      </c>
      <c r="E56" s="25">
        <f>D56/C56</f>
        <v>1.029519312078399</v>
      </c>
    </row>
    <row r="57" spans="1:5" ht="12.75">
      <c r="A57" s="21"/>
      <c r="B57" s="38" t="s">
        <v>59</v>
      </c>
      <c r="C57" s="23">
        <v>2260163</v>
      </c>
      <c r="D57" s="24">
        <f>2218422.85+21796.52+478551.2+35817.24</f>
        <v>2754587.8100000005</v>
      </c>
      <c r="E57" s="25">
        <f>D57/C57</f>
        <v>1.21875626226958</v>
      </c>
    </row>
    <row r="58" spans="1:5" s="48" customFormat="1" ht="12.75">
      <c r="A58" s="21"/>
      <c r="B58" s="38" t="s">
        <v>60</v>
      </c>
      <c r="C58" s="23">
        <v>700000</v>
      </c>
      <c r="D58" s="24">
        <v>729800</v>
      </c>
      <c r="E58" s="25">
        <f>D58/C58</f>
        <v>1.0425714285714285</v>
      </c>
    </row>
    <row r="59" spans="1:5" ht="33.75">
      <c r="A59" s="21"/>
      <c r="B59" s="38" t="s">
        <v>61</v>
      </c>
      <c r="C59" s="23">
        <f>32000+43000+24000+16000</f>
        <v>115000</v>
      </c>
      <c r="D59" s="24">
        <f>121373+407058</f>
        <v>528431</v>
      </c>
      <c r="E59" s="25">
        <f>D59/C59</f>
        <v>4.595052173913044</v>
      </c>
    </row>
    <row r="60" spans="1:5" ht="22.5">
      <c r="A60" s="21"/>
      <c r="B60" s="49" t="s">
        <v>62</v>
      </c>
      <c r="C60" s="23">
        <v>370000</v>
      </c>
      <c r="D60" s="24">
        <f>502865</f>
        <v>502865</v>
      </c>
      <c r="E60" s="25">
        <f>D60/C60</f>
        <v>1.3590945945945947</v>
      </c>
    </row>
    <row r="61" spans="1:5" ht="12.75">
      <c r="A61" s="50"/>
      <c r="B61" s="26" t="s">
        <v>63</v>
      </c>
      <c r="C61" s="23">
        <v>3367500</v>
      </c>
      <c r="D61" s="24">
        <v>5506218</v>
      </c>
      <c r="E61" s="25">
        <f>D61/C61</f>
        <v>1.6351055679287305</v>
      </c>
    </row>
    <row r="62" spans="1:5" ht="22.5">
      <c r="A62" s="50"/>
      <c r="B62" s="38" t="s">
        <v>64</v>
      </c>
      <c r="C62" s="23">
        <f>12040+188+1571</f>
        <v>13799</v>
      </c>
      <c r="D62" s="24">
        <f>2399+132+755+4833+10142+1387</f>
        <v>19648</v>
      </c>
      <c r="E62" s="25">
        <f>D62/C62</f>
        <v>1.4238712950213783</v>
      </c>
    </row>
    <row r="63" spans="1:5" ht="12.75" hidden="1">
      <c r="A63" s="21"/>
      <c r="B63" s="38" t="s">
        <v>65</v>
      </c>
      <c r="C63" s="30"/>
      <c r="D63" s="24"/>
      <c r="E63" s="25"/>
    </row>
    <row r="64" spans="1:5" ht="12.75">
      <c r="A64" s="33"/>
      <c r="B64" s="34" t="s">
        <v>66</v>
      </c>
      <c r="C64" s="23">
        <v>500000</v>
      </c>
      <c r="D64" s="24">
        <v>316534</v>
      </c>
      <c r="E64" s="25">
        <f>D64/C64</f>
        <v>0.633068</v>
      </c>
    </row>
    <row r="65" spans="1:5" ht="12.75">
      <c r="A65" s="21"/>
      <c r="B65" s="38" t="s">
        <v>67</v>
      </c>
      <c r="C65" s="23">
        <f>SUM(C66:C69)</f>
        <v>1005684</v>
      </c>
      <c r="D65" s="24">
        <f>SUM(D66:D69)</f>
        <v>3548509.4</v>
      </c>
      <c r="E65" s="25">
        <f>D65/C65</f>
        <v>3.5284536693434516</v>
      </c>
    </row>
    <row r="66" spans="1:5" ht="12.75">
      <c r="A66" s="51"/>
      <c r="B66" s="52" t="s">
        <v>68</v>
      </c>
      <c r="C66" s="42">
        <v>250000</v>
      </c>
      <c r="D66" s="43">
        <v>194710</v>
      </c>
      <c r="E66" s="25">
        <f>D66/C66</f>
        <v>0.77884</v>
      </c>
    </row>
    <row r="67" spans="1:5" ht="12.75">
      <c r="A67" s="27"/>
      <c r="B67" s="52" t="s">
        <v>69</v>
      </c>
      <c r="C67" s="42">
        <v>642025</v>
      </c>
      <c r="D67" s="43">
        <f>1483596-15115+0.9+0.5</f>
        <v>1468482.4</v>
      </c>
      <c r="E67" s="25">
        <f>D67/C67</f>
        <v>2.2872666952221485</v>
      </c>
    </row>
    <row r="68" spans="1:5" ht="25.5" customHeight="1">
      <c r="A68" s="27"/>
      <c r="B68" s="52" t="s">
        <v>70</v>
      </c>
      <c r="C68" s="42"/>
      <c r="D68" s="43">
        <f>821328-8250</f>
        <v>813078</v>
      </c>
      <c r="E68" s="25"/>
    </row>
    <row r="69" spans="1:5" ht="32.25" customHeight="1">
      <c r="A69" s="27"/>
      <c r="B69" s="52" t="s">
        <v>71</v>
      </c>
      <c r="C69" s="42">
        <v>113659</v>
      </c>
      <c r="D69" s="43">
        <v>1072239</v>
      </c>
      <c r="E69" s="25">
        <f>D69/C69</f>
        <v>9.433823982262734</v>
      </c>
    </row>
    <row r="70" spans="1:5" ht="18" customHeight="1">
      <c r="A70" s="17">
        <v>5</v>
      </c>
      <c r="B70" s="18" t="s">
        <v>72</v>
      </c>
      <c r="C70" s="39">
        <f>SUM(C71:C89)</f>
        <v>11649689</v>
      </c>
      <c r="D70" s="46">
        <f>SUM(D71:D89)</f>
        <v>11816096.760000002</v>
      </c>
      <c r="E70" s="12">
        <f>D70/C70</f>
        <v>1.0142843092206153</v>
      </c>
    </row>
    <row r="71" spans="1:5" ht="12.75">
      <c r="A71" s="33"/>
      <c r="B71" s="53" t="s">
        <v>73</v>
      </c>
      <c r="C71" s="23">
        <f>104390+363770+81280</f>
        <v>549440</v>
      </c>
      <c r="D71" s="24">
        <f>39526.43+389605.86+61357.02+8250+3101.39</f>
        <v>501840.7</v>
      </c>
      <c r="E71" s="25">
        <f>D71/C71</f>
        <v>0.9133676106581247</v>
      </c>
    </row>
    <row r="72" spans="1:5" ht="16.5" customHeight="1">
      <c r="A72" s="33"/>
      <c r="B72" s="54" t="s">
        <v>74</v>
      </c>
      <c r="C72" s="23">
        <f>403800+71200</f>
        <v>475000</v>
      </c>
      <c r="D72" s="24">
        <v>485868.96</v>
      </c>
      <c r="E72" s="25">
        <f>D72/C72</f>
        <v>1.0228820210526317</v>
      </c>
    </row>
    <row r="73" spans="1:5" ht="12.75">
      <c r="A73" s="33"/>
      <c r="B73" s="54" t="s">
        <v>75</v>
      </c>
      <c r="C73" s="23">
        <v>430000</v>
      </c>
      <c r="D73" s="24">
        <f>503657.86-37425.27</f>
        <v>466232.58999999997</v>
      </c>
      <c r="E73" s="25">
        <f>D73/C73</f>
        <v>1.0842618372093022</v>
      </c>
    </row>
    <row r="74" spans="1:5" ht="12.75" hidden="1">
      <c r="A74" s="33"/>
      <c r="B74" s="54" t="s">
        <v>76</v>
      </c>
      <c r="C74" s="30"/>
      <c r="D74" s="24"/>
      <c r="E74" s="25" t="e">
        <f>D74/C74</f>
        <v>#DIV/0!</v>
      </c>
    </row>
    <row r="75" spans="1:5" ht="22.5" hidden="1">
      <c r="A75" s="33"/>
      <c r="B75" s="54" t="s">
        <v>77</v>
      </c>
      <c r="C75" s="30"/>
      <c r="D75" s="24"/>
      <c r="E75" s="25" t="e">
        <f>D75/C75</f>
        <v>#DIV/0!</v>
      </c>
    </row>
    <row r="76" spans="1:5" ht="22.5" hidden="1">
      <c r="A76" s="33"/>
      <c r="B76" s="54" t="s">
        <v>78</v>
      </c>
      <c r="C76" s="30"/>
      <c r="D76" s="24"/>
      <c r="E76" s="25" t="e">
        <f>D76/C76</f>
        <v>#DIV/0!</v>
      </c>
    </row>
    <row r="77" spans="1:5" ht="33.75">
      <c r="A77" s="33"/>
      <c r="B77" s="54" t="s">
        <v>79</v>
      </c>
      <c r="C77" s="23">
        <f>36000-9261</f>
        <v>26739</v>
      </c>
      <c r="D77" s="24">
        <v>41750.25</v>
      </c>
      <c r="E77" s="25">
        <f>D77/C77</f>
        <v>1.5613990799955122</v>
      </c>
    </row>
    <row r="78" spans="1:5" ht="12.75">
      <c r="A78" s="33"/>
      <c r="B78" s="54" t="s">
        <v>80</v>
      </c>
      <c r="C78" s="23">
        <v>4932</v>
      </c>
      <c r="D78" s="24">
        <v>685</v>
      </c>
      <c r="E78" s="25">
        <f>D78/C78</f>
        <v>0.1388888888888889</v>
      </c>
    </row>
    <row r="79" spans="1:5" ht="12.75">
      <c r="A79" s="33"/>
      <c r="B79" s="54" t="s">
        <v>81</v>
      </c>
      <c r="C79" s="23">
        <v>82000</v>
      </c>
      <c r="D79" s="24">
        <f>120036.29+37425.27</f>
        <v>157461.56</v>
      </c>
      <c r="E79" s="25">
        <f>D79/C79</f>
        <v>1.9202629268292684</v>
      </c>
    </row>
    <row r="80" spans="1:5" ht="22.5">
      <c r="A80" s="50"/>
      <c r="B80" s="26" t="s">
        <v>82</v>
      </c>
      <c r="C80" s="23">
        <f>9399426+147352</f>
        <v>9546778</v>
      </c>
      <c r="D80" s="24">
        <v>9654497.3</v>
      </c>
      <c r="E80" s="25">
        <f>D80/C80</f>
        <v>1.011283314642909</v>
      </c>
    </row>
    <row r="81" spans="1:5" s="48" customFormat="1" ht="22.5">
      <c r="A81" s="50"/>
      <c r="B81" s="26" t="s">
        <v>83</v>
      </c>
      <c r="C81" s="24">
        <v>255400</v>
      </c>
      <c r="D81" s="24">
        <f>127691+63846</f>
        <v>191537</v>
      </c>
      <c r="E81" s="25">
        <f>D81/C81</f>
        <v>0.7499490994518403</v>
      </c>
    </row>
    <row r="82" spans="1:5" s="48" customFormat="1" ht="22.5">
      <c r="A82" s="50"/>
      <c r="B82" s="26" t="s">
        <v>84</v>
      </c>
      <c r="C82" s="24">
        <v>279400</v>
      </c>
      <c r="D82" s="24">
        <f>139662.5+69831.25+69831.25</f>
        <v>279325</v>
      </c>
      <c r="E82" s="25">
        <f>D82/C82</f>
        <v>0.9997315676449535</v>
      </c>
    </row>
    <row r="83" spans="1:5" ht="45" hidden="1">
      <c r="A83" s="33"/>
      <c r="B83" s="54" t="s">
        <v>85</v>
      </c>
      <c r="C83" s="30"/>
      <c r="D83" s="24"/>
      <c r="E83" s="25" t="e">
        <f>D83/C83</f>
        <v>#DIV/0!</v>
      </c>
    </row>
    <row r="84" spans="1:5" ht="22.5" hidden="1">
      <c r="A84" s="50"/>
      <c r="B84" s="26" t="s">
        <v>86</v>
      </c>
      <c r="C84" s="23">
        <f>200000-200000</f>
        <v>0</v>
      </c>
      <c r="D84" s="24"/>
      <c r="E84" s="25" t="e">
        <f>D84/C84</f>
        <v>#DIV/0!</v>
      </c>
    </row>
    <row r="85" spans="1:5" ht="22.5" hidden="1">
      <c r="A85" s="50"/>
      <c r="B85" s="26" t="s">
        <v>87</v>
      </c>
      <c r="C85" s="23"/>
      <c r="D85" s="24"/>
      <c r="E85" s="25" t="e">
        <f>D85/C85</f>
        <v>#DIV/0!</v>
      </c>
    </row>
    <row r="86" spans="1:5" ht="33.75" hidden="1">
      <c r="A86" s="50"/>
      <c r="B86" s="54" t="s">
        <v>88</v>
      </c>
      <c r="C86" s="30"/>
      <c r="D86" s="24"/>
      <c r="E86" s="25" t="e">
        <f>D86/C86</f>
        <v>#DIV/0!</v>
      </c>
    </row>
    <row r="87" spans="1:5" ht="33.75" hidden="1">
      <c r="A87" s="50"/>
      <c r="B87" s="54" t="s">
        <v>89</v>
      </c>
      <c r="C87" s="30"/>
      <c r="D87" s="24"/>
      <c r="E87" s="25" t="e">
        <f>D87/C87</f>
        <v>#DIV/0!</v>
      </c>
    </row>
    <row r="88" spans="1:5" ht="45" hidden="1">
      <c r="A88" s="50"/>
      <c r="B88" s="26" t="s">
        <v>90</v>
      </c>
      <c r="C88" s="30"/>
      <c r="D88" s="24"/>
      <c r="E88" s="25" t="e">
        <f>D88/C88</f>
        <v>#DIV/0!</v>
      </c>
    </row>
    <row r="89" spans="1:5" ht="22.5">
      <c r="A89" s="50"/>
      <c r="B89" s="26" t="s">
        <v>91</v>
      </c>
      <c r="C89" s="30"/>
      <c r="D89" s="24">
        <f>31344.13+831.99+3913.25+809.03</f>
        <v>36898.4</v>
      </c>
      <c r="E89" s="25"/>
    </row>
    <row r="90" spans="1:5" ht="29.25" customHeight="1">
      <c r="A90" s="17">
        <v>6</v>
      </c>
      <c r="B90" s="18" t="s">
        <v>92</v>
      </c>
      <c r="C90" s="39">
        <f>SUM(C91:C127)</f>
        <v>1018064</v>
      </c>
      <c r="D90" s="46">
        <f>SUM(D91:D128)</f>
        <v>1072608.64</v>
      </c>
      <c r="E90" s="12">
        <f>D90/C90</f>
        <v>1.0535768281758318</v>
      </c>
    </row>
    <row r="91" spans="1:5" ht="33.75">
      <c r="A91" s="33"/>
      <c r="B91" s="54" t="s">
        <v>93</v>
      </c>
      <c r="C91" s="23">
        <v>471385</v>
      </c>
      <c r="D91" s="24">
        <v>471400</v>
      </c>
      <c r="E91" s="25">
        <f>D91/C91</f>
        <v>1.0000318211228614</v>
      </c>
    </row>
    <row r="92" spans="1:5" ht="12.75">
      <c r="A92" s="33"/>
      <c r="B92" s="54" t="s">
        <v>94</v>
      </c>
      <c r="C92" s="23">
        <v>122500</v>
      </c>
      <c r="D92" s="24">
        <v>122500</v>
      </c>
      <c r="E92" s="25">
        <f>D92/C92</f>
        <v>1</v>
      </c>
    </row>
    <row r="93" spans="1:5" ht="12.75">
      <c r="A93" s="33"/>
      <c r="B93" s="54" t="s">
        <v>95</v>
      </c>
      <c r="C93" s="23">
        <v>89006</v>
      </c>
      <c r="D93" s="24">
        <v>81100.86</v>
      </c>
      <c r="E93" s="25">
        <f>D93/C93</f>
        <v>0.9111841898298991</v>
      </c>
    </row>
    <row r="94" spans="1:5" ht="12.75" hidden="1">
      <c r="A94" s="33"/>
      <c r="B94" s="54" t="s">
        <v>96</v>
      </c>
      <c r="C94" s="23"/>
      <c r="D94" s="24"/>
      <c r="E94" s="25" t="e">
        <f>D94/C94</f>
        <v>#DIV/0!</v>
      </c>
    </row>
    <row r="95" spans="1:5" ht="12.75" hidden="1">
      <c r="A95" s="33"/>
      <c r="B95" s="26" t="s">
        <v>97</v>
      </c>
      <c r="C95" s="23"/>
      <c r="D95" s="24"/>
      <c r="E95" s="25" t="e">
        <f>D95/C95</f>
        <v>#DIV/0!</v>
      </c>
    </row>
    <row r="96" spans="1:5" ht="22.5" hidden="1">
      <c r="A96" s="33"/>
      <c r="B96" s="26" t="s">
        <v>98</v>
      </c>
      <c r="C96" s="23"/>
      <c r="D96" s="24"/>
      <c r="E96" s="25" t="e">
        <f>D96/C96</f>
        <v>#DIV/0!</v>
      </c>
    </row>
    <row r="97" spans="1:5" ht="33.75" hidden="1">
      <c r="A97" s="33"/>
      <c r="B97" s="26" t="s">
        <v>99</v>
      </c>
      <c r="C97" s="23"/>
      <c r="D97" s="24"/>
      <c r="E97" s="25" t="e">
        <f>D97/C97</f>
        <v>#DIV/0!</v>
      </c>
    </row>
    <row r="98" spans="1:5" ht="22.5" hidden="1">
      <c r="A98" s="33"/>
      <c r="B98" s="54" t="s">
        <v>100</v>
      </c>
      <c r="C98" s="23"/>
      <c r="D98" s="24"/>
      <c r="E98" s="25" t="e">
        <f>D98/C98</f>
        <v>#DIV/0!</v>
      </c>
    </row>
    <row r="99" spans="1:5" ht="22.5" hidden="1">
      <c r="A99" s="55"/>
      <c r="B99" s="26" t="s">
        <v>101</v>
      </c>
      <c r="C99" s="23"/>
      <c r="D99" s="24"/>
      <c r="E99" s="25" t="e">
        <f>D99/C99</f>
        <v>#DIV/0!</v>
      </c>
    </row>
    <row r="100" spans="1:5" ht="12.75" hidden="1">
      <c r="A100" s="55"/>
      <c r="B100" s="26" t="s">
        <v>102</v>
      </c>
      <c r="C100" s="23"/>
      <c r="D100" s="24"/>
      <c r="E100" s="25" t="e">
        <f>D100/C100</f>
        <v>#DIV/0!</v>
      </c>
    </row>
    <row r="101" spans="1:5" ht="12.75" hidden="1">
      <c r="A101" s="55"/>
      <c r="B101" s="26" t="s">
        <v>103</v>
      </c>
      <c r="C101" s="23"/>
      <c r="D101" s="24"/>
      <c r="E101" s="25" t="e">
        <f>D101/C101</f>
        <v>#DIV/0!</v>
      </c>
    </row>
    <row r="102" spans="1:5" ht="12.75">
      <c r="A102" s="33"/>
      <c r="B102" s="26" t="s">
        <v>104</v>
      </c>
      <c r="C102" s="23">
        <f>80538-13540</f>
        <v>66998</v>
      </c>
      <c r="D102" s="24">
        <f>80375.72-17376.74+162.33</f>
        <v>63161.31</v>
      </c>
      <c r="E102" s="25">
        <f>D102/C102</f>
        <v>0.9427342607242006</v>
      </c>
    </row>
    <row r="103" spans="1:5" ht="36.75" customHeight="1">
      <c r="A103" s="55"/>
      <c r="B103" s="26" t="s">
        <v>105</v>
      </c>
      <c r="C103" s="23">
        <v>23500</v>
      </c>
      <c r="D103" s="24">
        <v>23500</v>
      </c>
      <c r="E103" s="25">
        <f>D103/C103</f>
        <v>1</v>
      </c>
    </row>
    <row r="104" spans="1:5" ht="22.5">
      <c r="A104" s="55"/>
      <c r="B104" s="26" t="s">
        <v>106</v>
      </c>
      <c r="C104" s="23">
        <v>0</v>
      </c>
      <c r="D104" s="24">
        <v>116000</v>
      </c>
      <c r="E104" s="25"/>
    </row>
    <row r="105" spans="1:5" ht="22.5" hidden="1">
      <c r="A105" s="55"/>
      <c r="B105" s="26" t="s">
        <v>107</v>
      </c>
      <c r="C105" s="23"/>
      <c r="D105" s="24"/>
      <c r="E105" s="25" t="e">
        <f>D105/C105</f>
        <v>#DIV/0!</v>
      </c>
    </row>
    <row r="106" spans="1:5" ht="22.5" hidden="1">
      <c r="A106" s="55"/>
      <c r="B106" s="26" t="s">
        <v>108</v>
      </c>
      <c r="C106" s="23">
        <v>0</v>
      </c>
      <c r="D106" s="24"/>
      <c r="E106" s="25" t="e">
        <f>D106/C106</f>
        <v>#DIV/0!</v>
      </c>
    </row>
    <row r="107" spans="1:5" ht="12.75" hidden="1">
      <c r="A107" s="55"/>
      <c r="B107" s="26" t="s">
        <v>109</v>
      </c>
      <c r="C107" s="23">
        <v>0</v>
      </c>
      <c r="D107" s="24"/>
      <c r="E107" s="25" t="e">
        <f>D107/C107</f>
        <v>#DIV/0!</v>
      </c>
    </row>
    <row r="108" spans="1:5" ht="22.5" hidden="1">
      <c r="A108" s="55"/>
      <c r="B108" s="26" t="s">
        <v>110</v>
      </c>
      <c r="C108" s="23"/>
      <c r="D108" s="24"/>
      <c r="E108" s="25" t="e">
        <f>D108/C108</f>
        <v>#DIV/0!</v>
      </c>
    </row>
    <row r="109" spans="1:5" ht="12.75" hidden="1">
      <c r="A109" s="55"/>
      <c r="B109" s="26" t="s">
        <v>111</v>
      </c>
      <c r="C109" s="23">
        <v>0</v>
      </c>
      <c r="D109" s="24"/>
      <c r="E109" s="25" t="e">
        <f>D109/C109</f>
        <v>#DIV/0!</v>
      </c>
    </row>
    <row r="110" spans="1:5" ht="22.5" hidden="1">
      <c r="A110" s="55"/>
      <c r="B110" s="26" t="s">
        <v>112</v>
      </c>
      <c r="C110" s="23"/>
      <c r="D110" s="24"/>
      <c r="E110" s="25" t="e">
        <f>D110/C110</f>
        <v>#DIV/0!</v>
      </c>
    </row>
    <row r="111" spans="1:5" ht="33.75">
      <c r="A111" s="55"/>
      <c r="B111" s="26" t="s">
        <v>113</v>
      </c>
      <c r="C111" s="23">
        <v>5620</v>
      </c>
      <c r="D111" s="24">
        <v>4981</v>
      </c>
      <c r="E111" s="25">
        <f>D111/C111</f>
        <v>0.8862989323843417</v>
      </c>
    </row>
    <row r="112" spans="1:5" ht="33.75" hidden="1">
      <c r="A112" s="55"/>
      <c r="B112" s="26" t="s">
        <v>114</v>
      </c>
      <c r="C112" s="23"/>
      <c r="D112" s="24"/>
      <c r="E112" s="25" t="e">
        <f>D112/C112</f>
        <v>#DIV/0!</v>
      </c>
    </row>
    <row r="113" spans="1:5" ht="22.5" hidden="1">
      <c r="A113" s="55"/>
      <c r="B113" s="26" t="s">
        <v>115</v>
      </c>
      <c r="C113" s="23"/>
      <c r="D113" s="24"/>
      <c r="E113" s="25" t="e">
        <f>D113/C113</f>
        <v>#DIV/0!</v>
      </c>
    </row>
    <row r="114" spans="1:5" ht="33.75" hidden="1">
      <c r="A114" s="55"/>
      <c r="B114" s="26" t="s">
        <v>116</v>
      </c>
      <c r="C114" s="23"/>
      <c r="D114" s="24"/>
      <c r="E114" s="25" t="e">
        <f>D114/C114</f>
        <v>#DIV/0!</v>
      </c>
    </row>
    <row r="115" spans="1:5" ht="22.5" hidden="1">
      <c r="A115" s="55"/>
      <c r="B115" s="26" t="s">
        <v>117</v>
      </c>
      <c r="C115" s="23"/>
      <c r="D115" s="24"/>
      <c r="E115" s="25" t="e">
        <f>D115/C115</f>
        <v>#DIV/0!</v>
      </c>
    </row>
    <row r="116" spans="1:5" ht="12.75">
      <c r="A116" s="55"/>
      <c r="B116" s="26" t="s">
        <v>118</v>
      </c>
      <c r="C116" s="23">
        <f>14869+825</f>
        <v>15694</v>
      </c>
      <c r="D116" s="24">
        <v>15126.44</v>
      </c>
      <c r="E116" s="25">
        <f>D116/C116</f>
        <v>0.963835860838537</v>
      </c>
    </row>
    <row r="117" spans="1:5" ht="12.75" hidden="1">
      <c r="A117" s="55"/>
      <c r="B117" s="54" t="s">
        <v>119</v>
      </c>
      <c r="C117" s="23">
        <v>0</v>
      </c>
      <c r="D117" s="24"/>
      <c r="E117" s="25" t="e">
        <f>D117/C117</f>
        <v>#DIV/0!</v>
      </c>
    </row>
    <row r="118" spans="1:5" ht="22.5" hidden="1">
      <c r="A118" s="55"/>
      <c r="B118" s="54" t="s">
        <v>120</v>
      </c>
      <c r="C118" s="23">
        <v>0</v>
      </c>
      <c r="D118" s="24"/>
      <c r="E118" s="25" t="e">
        <f>D118/C118</f>
        <v>#DIV/0!</v>
      </c>
    </row>
    <row r="119" spans="1:5" ht="12.75">
      <c r="A119" s="55"/>
      <c r="B119" s="54" t="s">
        <v>121</v>
      </c>
      <c r="C119" s="23">
        <f>1266+345-497+192</f>
        <v>1306</v>
      </c>
      <c r="D119" s="24">
        <f>614.59+192.35+192.02-33.97+306.8</f>
        <v>1271.79</v>
      </c>
      <c r="E119" s="25">
        <f>D119/C119</f>
        <v>0.9738055130168453</v>
      </c>
    </row>
    <row r="120" spans="1:5" ht="33.75" hidden="1">
      <c r="A120" s="33"/>
      <c r="B120" s="26" t="s">
        <v>122</v>
      </c>
      <c r="C120" s="23"/>
      <c r="D120" s="24"/>
      <c r="E120" s="25" t="e">
        <f>D120/C120</f>
        <v>#DIV/0!</v>
      </c>
    </row>
    <row r="121" spans="1:5" ht="12.75" hidden="1">
      <c r="A121" s="33"/>
      <c r="B121" s="26" t="s">
        <v>123</v>
      </c>
      <c r="C121" s="23"/>
      <c r="D121" s="24"/>
      <c r="E121" s="25" t="e">
        <f>D121/C121</f>
        <v>#DIV/0!</v>
      </c>
    </row>
    <row r="122" spans="1:5" ht="22.5" hidden="1">
      <c r="A122" s="33"/>
      <c r="B122" s="26" t="s">
        <v>124</v>
      </c>
      <c r="C122" s="23"/>
      <c r="D122" s="24"/>
      <c r="E122" s="25" t="e">
        <f>D122/C122</f>
        <v>#DIV/0!</v>
      </c>
    </row>
    <row r="123" spans="1:5" ht="12.75" hidden="1">
      <c r="A123" s="33"/>
      <c r="B123" s="26" t="s">
        <v>125</v>
      </c>
      <c r="C123" s="23"/>
      <c r="D123" s="24"/>
      <c r="E123" s="25" t="e">
        <f>D123/C123</f>
        <v>#DIV/0!</v>
      </c>
    </row>
    <row r="124" spans="1:5" ht="12.75">
      <c r="A124" s="33"/>
      <c r="B124" s="54" t="s">
        <v>126</v>
      </c>
      <c r="C124" s="23">
        <f>30451+12708</f>
        <v>43159</v>
      </c>
      <c r="D124" s="24">
        <f>12771.12+30524-14855.3-10.77-135.9+10.77</f>
        <v>28303.920000000002</v>
      </c>
      <c r="E124" s="25">
        <f>D124/C124</f>
        <v>0.6558057415602772</v>
      </c>
    </row>
    <row r="125" spans="1:5" ht="12.75">
      <c r="A125" s="33"/>
      <c r="B125" s="26" t="s">
        <v>127</v>
      </c>
      <c r="C125" s="24">
        <v>56536</v>
      </c>
      <c r="D125" s="56">
        <v>22537.32</v>
      </c>
      <c r="E125" s="25">
        <f>D125/C125</f>
        <v>0.39863662091410784</v>
      </c>
    </row>
    <row r="126" spans="1:5" s="48" customFormat="1" ht="24.75" customHeight="1">
      <c r="A126" s="33"/>
      <c r="B126" s="54" t="s">
        <v>128</v>
      </c>
      <c r="C126" s="23">
        <v>122360</v>
      </c>
      <c r="D126" s="24">
        <f>52782+27538+42040</f>
        <v>122360</v>
      </c>
      <c r="E126" s="25">
        <f>D126/C126</f>
        <v>1</v>
      </c>
    </row>
    <row r="127" spans="1:5" ht="22.5" hidden="1">
      <c r="A127" s="33"/>
      <c r="B127" s="54" t="s">
        <v>129</v>
      </c>
      <c r="C127" s="23"/>
      <c r="D127" s="24"/>
      <c r="E127" s="25" t="e">
        <f>D127/C127</f>
        <v>#DIV/0!</v>
      </c>
    </row>
    <row r="128" spans="1:5" ht="12.75">
      <c r="A128" s="33"/>
      <c r="B128" s="26" t="s">
        <v>130</v>
      </c>
      <c r="C128" s="23"/>
      <c r="D128" s="24">
        <v>366</v>
      </c>
      <c r="E128" s="25"/>
    </row>
    <row r="129" spans="1:5" ht="17.25" customHeight="1">
      <c r="A129" s="17">
        <v>7</v>
      </c>
      <c r="B129" s="18" t="s">
        <v>131</v>
      </c>
      <c r="C129" s="39">
        <f>SUM(C130:C131)</f>
        <v>351238544</v>
      </c>
      <c r="D129" s="39">
        <f>SUM(D130:D131)</f>
        <v>353554330.5</v>
      </c>
      <c r="E129" s="12">
        <f>D129/C129</f>
        <v>1.0065932015137837</v>
      </c>
    </row>
    <row r="130" spans="1:5" ht="17.25" customHeight="1">
      <c r="A130" s="33"/>
      <c r="B130" s="34" t="s">
        <v>132</v>
      </c>
      <c r="C130" s="23">
        <f>254916944+69621600</f>
        <v>324538544</v>
      </c>
      <c r="D130" s="57">
        <f>257746202+70394315</f>
        <v>328140517</v>
      </c>
      <c r="E130" s="45">
        <f>D130/C130</f>
        <v>1.011098752572206</v>
      </c>
    </row>
    <row r="131" spans="1:5" ht="12.75">
      <c r="A131" s="33"/>
      <c r="B131" s="34" t="s">
        <v>133</v>
      </c>
      <c r="C131" s="23">
        <v>26700000</v>
      </c>
      <c r="D131" s="24">
        <f>21028861+4384621+331.5</f>
        <v>25413813.5</v>
      </c>
      <c r="E131" s="25">
        <f>D131/C131</f>
        <v>0.9518282209737827</v>
      </c>
    </row>
    <row r="132" spans="1:5" ht="32.25" customHeight="1">
      <c r="A132" s="13" t="s">
        <v>134</v>
      </c>
      <c r="B132" s="13"/>
      <c r="C132" s="39">
        <f>SUM(C133:C172)</f>
        <v>4725415</v>
      </c>
      <c r="D132" s="39">
        <f>SUM(D133:D172)</f>
        <v>3574996.9499999997</v>
      </c>
      <c r="E132" s="12">
        <f>D132/C132</f>
        <v>0.7565466630973152</v>
      </c>
    </row>
    <row r="133" spans="1:5" ht="12.75">
      <c r="A133" s="33"/>
      <c r="B133" s="26" t="s">
        <v>135</v>
      </c>
      <c r="C133" s="23">
        <f>44020</f>
        <v>44020</v>
      </c>
      <c r="D133" s="24">
        <v>43594.11</v>
      </c>
      <c r="E133" s="25">
        <f>D133/C133</f>
        <v>0.9903250795093139</v>
      </c>
    </row>
    <row r="134" spans="1:5" ht="12.75">
      <c r="A134" s="33"/>
      <c r="B134" s="26" t="s">
        <v>136</v>
      </c>
      <c r="C134" s="23">
        <f>366111+13540</f>
        <v>379651</v>
      </c>
      <c r="D134" s="24">
        <f>455462.44-770.1</f>
        <v>454692.34</v>
      </c>
      <c r="E134" s="25">
        <f>D134/C134</f>
        <v>1.1976587444784816</v>
      </c>
    </row>
    <row r="135" spans="1:5" ht="12.75">
      <c r="A135" s="33"/>
      <c r="B135" s="54" t="s">
        <v>137</v>
      </c>
      <c r="C135" s="23">
        <f>7592-192</f>
        <v>7400</v>
      </c>
      <c r="D135" s="24">
        <f>3482.65+1089.95+1088.13-192.51</f>
        <v>5468.22</v>
      </c>
      <c r="E135" s="25">
        <f>D135/C135</f>
        <v>0.7389486486486487</v>
      </c>
    </row>
    <row r="136" spans="1:5" ht="12.75">
      <c r="A136" s="33"/>
      <c r="B136" s="54" t="s">
        <v>138</v>
      </c>
      <c r="C136" s="23">
        <f>172563+72005</f>
        <v>244568</v>
      </c>
      <c r="D136" s="24">
        <f>172969.34-84180.02-61.01+61.01</f>
        <v>88789.31999999999</v>
      </c>
      <c r="E136" s="25">
        <f>D136/C136</f>
        <v>0.3630455333485983</v>
      </c>
    </row>
    <row r="137" spans="1:5" ht="12.75">
      <c r="A137" s="33"/>
      <c r="B137" s="26" t="s">
        <v>139</v>
      </c>
      <c r="C137" s="23">
        <f>69444-43551+44214</f>
        <v>70107</v>
      </c>
      <c r="D137" s="24">
        <v>0</v>
      </c>
      <c r="E137" s="25">
        <f>D137/C137</f>
        <v>0</v>
      </c>
    </row>
    <row r="138" spans="1:5" ht="12.75">
      <c r="A138" s="33"/>
      <c r="B138" s="26" t="s">
        <v>140</v>
      </c>
      <c r="C138" s="23">
        <f>21600-21600</f>
        <v>0</v>
      </c>
      <c r="D138" s="24">
        <v>28936.23</v>
      </c>
      <c r="E138" s="25"/>
    </row>
    <row r="139" spans="1:5" ht="12.75">
      <c r="A139" s="33"/>
      <c r="B139" s="26" t="s">
        <v>141</v>
      </c>
      <c r="C139" s="23">
        <f>125300</f>
        <v>125300</v>
      </c>
      <c r="D139" s="24">
        <v>0</v>
      </c>
      <c r="E139" s="25">
        <f>D139/C139</f>
        <v>0</v>
      </c>
    </row>
    <row r="140" spans="1:5" ht="12.75">
      <c r="A140" s="50"/>
      <c r="B140" s="26" t="s">
        <v>142</v>
      </c>
      <c r="C140" s="23">
        <f>15773+80062+16238+12027</f>
        <v>124100</v>
      </c>
      <c r="D140" s="24">
        <v>128710</v>
      </c>
      <c r="E140" s="25">
        <f>D140/C140</f>
        <v>1.0371474617244159</v>
      </c>
    </row>
    <row r="141" spans="1:5" ht="12.75">
      <c r="A141" s="33"/>
      <c r="B141" s="34" t="s">
        <v>143</v>
      </c>
      <c r="C141" s="23">
        <v>270118</v>
      </c>
      <c r="D141" s="24">
        <f>160546.67+110255.1</f>
        <v>270801.77</v>
      </c>
      <c r="E141" s="25">
        <f>D141/C141</f>
        <v>1.0025313751767746</v>
      </c>
    </row>
    <row r="142" spans="1:5" ht="12.75">
      <c r="A142" s="33"/>
      <c r="B142" s="34" t="s">
        <v>144</v>
      </c>
      <c r="C142" s="23">
        <v>17871</v>
      </c>
      <c r="D142" s="24">
        <v>18461</v>
      </c>
      <c r="E142" s="25">
        <f>D142/C142</f>
        <v>1.0330143808404677</v>
      </c>
    </row>
    <row r="143" spans="1:5" ht="12.75">
      <c r="A143" s="33"/>
      <c r="B143" s="26" t="s">
        <v>145</v>
      </c>
      <c r="C143" s="23">
        <v>260610</v>
      </c>
      <c r="D143" s="24">
        <f>244165+52959</f>
        <v>297124</v>
      </c>
      <c r="E143" s="25">
        <f>D143/C143</f>
        <v>1.1401097425271478</v>
      </c>
    </row>
    <row r="144" spans="1:5" ht="22.5">
      <c r="A144" s="33"/>
      <c r="B144" s="26" t="s">
        <v>146</v>
      </c>
      <c r="C144" s="23">
        <v>180000</v>
      </c>
      <c r="D144" s="24">
        <v>180000</v>
      </c>
      <c r="E144" s="25">
        <f>D144/C144</f>
        <v>1</v>
      </c>
    </row>
    <row r="145" spans="1:5" ht="33.75">
      <c r="A145" s="33"/>
      <c r="B145" s="26" t="s">
        <v>147</v>
      </c>
      <c r="C145" s="23">
        <v>65431</v>
      </c>
      <c r="D145" s="24"/>
      <c r="E145" s="25">
        <f>D145/C145</f>
        <v>0</v>
      </c>
    </row>
    <row r="146" spans="1:5" ht="12.75">
      <c r="A146" s="33"/>
      <c r="B146" s="26" t="s">
        <v>148</v>
      </c>
      <c r="C146" s="23">
        <f>43715</f>
        <v>43715</v>
      </c>
      <c r="D146" s="24">
        <v>43715.02</v>
      </c>
      <c r="E146" s="25">
        <f>D146/C146</f>
        <v>1.0000004575088641</v>
      </c>
    </row>
    <row r="147" spans="1:5" ht="12.75">
      <c r="A147" s="33"/>
      <c r="B147" s="26" t="s">
        <v>149</v>
      </c>
      <c r="C147" s="23">
        <v>248010</v>
      </c>
      <c r="D147" s="24">
        <v>19538</v>
      </c>
      <c r="E147" s="25">
        <f>D147/C147</f>
        <v>0.07877908148864965</v>
      </c>
    </row>
    <row r="148" spans="1:5" ht="12.75">
      <c r="A148" s="33"/>
      <c r="B148" s="54" t="s">
        <v>150</v>
      </c>
      <c r="C148" s="23">
        <v>504367</v>
      </c>
      <c r="D148" s="24">
        <v>387796</v>
      </c>
      <c r="E148" s="25">
        <f>D148/C148</f>
        <v>0.7688766315004748</v>
      </c>
    </row>
    <row r="149" spans="1:5" ht="12.75">
      <c r="A149" s="33"/>
      <c r="B149" s="54" t="s">
        <v>96</v>
      </c>
      <c r="C149" s="23">
        <f>86634+15290</f>
        <v>101924</v>
      </c>
      <c r="D149" s="24">
        <v>101920</v>
      </c>
      <c r="E149" s="25">
        <f>D149/C149</f>
        <v>0.9999607550724069</v>
      </c>
    </row>
    <row r="150" spans="1:5" ht="12.75" hidden="1">
      <c r="A150" s="33"/>
      <c r="B150" s="54" t="s">
        <v>151</v>
      </c>
      <c r="C150" s="30"/>
      <c r="D150" s="24"/>
      <c r="E150" s="25" t="e">
        <f>D150/C150</f>
        <v>#DIV/0!</v>
      </c>
    </row>
    <row r="151" spans="1:5" ht="12.75" hidden="1">
      <c r="A151" s="33"/>
      <c r="B151" s="54" t="s">
        <v>152</v>
      </c>
      <c r="C151" s="30"/>
      <c r="D151" s="24"/>
      <c r="E151" s="25" t="e">
        <f>D151/C151</f>
        <v>#DIV/0!</v>
      </c>
    </row>
    <row r="152" spans="1:5" ht="12.75" hidden="1">
      <c r="A152" s="33"/>
      <c r="B152" s="54" t="s">
        <v>119</v>
      </c>
      <c r="C152" s="30"/>
      <c r="D152" s="24"/>
      <c r="E152" s="25" t="e">
        <f>D152/C152</f>
        <v>#DIV/0!</v>
      </c>
    </row>
    <row r="153" spans="1:5" ht="12.75" hidden="1">
      <c r="A153" s="33"/>
      <c r="B153" s="54" t="s">
        <v>153</v>
      </c>
      <c r="C153" s="30"/>
      <c r="D153" s="24"/>
      <c r="E153" s="25" t="e">
        <f>D153/C153</f>
        <v>#DIV/0!</v>
      </c>
    </row>
    <row r="154" spans="1:5" ht="22.5" hidden="1">
      <c r="A154" s="33"/>
      <c r="B154" s="26" t="s">
        <v>154</v>
      </c>
      <c r="C154" s="30"/>
      <c r="D154" s="24"/>
      <c r="E154" s="25" t="e">
        <f>D154/C154</f>
        <v>#DIV/0!</v>
      </c>
    </row>
    <row r="155" spans="1:5" ht="22.5" hidden="1">
      <c r="A155" s="33"/>
      <c r="B155" s="26" t="s">
        <v>155</v>
      </c>
      <c r="C155" s="30"/>
      <c r="D155" s="24"/>
      <c r="E155" s="25" t="e">
        <f>D155/C155</f>
        <v>#DIV/0!</v>
      </c>
    </row>
    <row r="156" spans="1:5" ht="22.5" hidden="1">
      <c r="A156" s="33"/>
      <c r="B156" s="26" t="s">
        <v>156</v>
      </c>
      <c r="C156" s="30"/>
      <c r="D156" s="24"/>
      <c r="E156" s="25" t="e">
        <f>D156/C156</f>
        <v>#DIV/0!</v>
      </c>
    </row>
    <row r="157" spans="1:5" ht="22.5">
      <c r="A157" s="33"/>
      <c r="B157" s="26" t="s">
        <v>157</v>
      </c>
      <c r="C157" s="23">
        <f>323375+22039</f>
        <v>345414</v>
      </c>
      <c r="D157" s="24">
        <v>264545</v>
      </c>
      <c r="E157" s="25">
        <f>D157/C157</f>
        <v>0.765878047791925</v>
      </c>
    </row>
    <row r="158" spans="1:5" s="58" customFormat="1" ht="12.75">
      <c r="A158" s="33"/>
      <c r="B158" s="26" t="s">
        <v>158</v>
      </c>
      <c r="C158" s="23">
        <v>93255</v>
      </c>
      <c r="D158" s="24">
        <v>93254.08</v>
      </c>
      <c r="E158" s="25">
        <f>D158/C158</f>
        <v>0.9999901345772345</v>
      </c>
    </row>
    <row r="159" spans="1:5" ht="22.5">
      <c r="A159" s="33"/>
      <c r="B159" s="26" t="s">
        <v>159</v>
      </c>
      <c r="C159" s="23">
        <f>516085-57620</f>
        <v>458465</v>
      </c>
      <c r="D159" s="24">
        <f>127901.4+831.54</f>
        <v>128732.93999999999</v>
      </c>
      <c r="E159" s="25">
        <f>D159/C159</f>
        <v>0.2807912054355294</v>
      </c>
    </row>
    <row r="160" spans="1:5" ht="22.5">
      <c r="A160" s="33"/>
      <c r="B160" s="26" t="s">
        <v>160</v>
      </c>
      <c r="C160" s="23">
        <v>159061</v>
      </c>
      <c r="D160" s="24">
        <v>159060.68</v>
      </c>
      <c r="E160" s="25">
        <f>D160/C160</f>
        <v>0.9999979881932088</v>
      </c>
    </row>
    <row r="161" spans="1:5" ht="22.5" hidden="1">
      <c r="A161" s="33"/>
      <c r="B161" s="54" t="s">
        <v>120</v>
      </c>
      <c r="C161" s="30"/>
      <c r="D161" s="24"/>
      <c r="E161" s="25" t="e">
        <f>D161/C161</f>
        <v>#DIV/0!</v>
      </c>
    </row>
    <row r="162" spans="1:5" ht="12.75">
      <c r="A162" s="33"/>
      <c r="B162" s="54" t="s">
        <v>161</v>
      </c>
      <c r="C162" s="23">
        <f>85961+56430</f>
        <v>142391</v>
      </c>
      <c r="D162" s="24">
        <v>88205.35</v>
      </c>
      <c r="E162" s="25">
        <f>D162/C162</f>
        <v>0.6194587438812846</v>
      </c>
    </row>
    <row r="163" spans="1:5" ht="22.5" hidden="1">
      <c r="A163" s="33"/>
      <c r="B163" s="26" t="s">
        <v>162</v>
      </c>
      <c r="C163" s="30"/>
      <c r="D163" s="24"/>
      <c r="E163" s="25" t="e">
        <f>D163/C163</f>
        <v>#DIV/0!</v>
      </c>
    </row>
    <row r="164" spans="1:5" ht="12.75" hidden="1">
      <c r="A164" s="33"/>
      <c r="B164" s="26" t="s">
        <v>163</v>
      </c>
      <c r="C164" s="30"/>
      <c r="D164" s="24"/>
      <c r="E164" s="25" t="e">
        <f>D164/C164</f>
        <v>#DIV/0!</v>
      </c>
    </row>
    <row r="165" spans="1:5" ht="12.75">
      <c r="A165" s="33"/>
      <c r="B165" s="26" t="s">
        <v>118</v>
      </c>
      <c r="C165" s="23">
        <f>89759-825</f>
        <v>88934</v>
      </c>
      <c r="D165" s="24">
        <v>85716.48</v>
      </c>
      <c r="E165" s="25">
        <f>D165/C165</f>
        <v>0.9638212607101896</v>
      </c>
    </row>
    <row r="166" spans="1:5" ht="12.75">
      <c r="A166" s="59"/>
      <c r="B166" s="26" t="s">
        <v>164</v>
      </c>
      <c r="C166" s="23">
        <v>96932</v>
      </c>
      <c r="D166" s="24">
        <v>75006</v>
      </c>
      <c r="E166" s="25">
        <f>D166/C166</f>
        <v>0.773800189823794</v>
      </c>
    </row>
    <row r="167" spans="1:5" s="58" customFormat="1" ht="12.75">
      <c r="A167" s="33"/>
      <c r="B167" s="26" t="s">
        <v>165</v>
      </c>
      <c r="C167" s="23">
        <v>119359</v>
      </c>
      <c r="D167" s="24">
        <f>37001+17904+64453</f>
        <v>119358</v>
      </c>
      <c r="E167" s="25">
        <f>D167/C167</f>
        <v>0.9999916219137225</v>
      </c>
    </row>
    <row r="168" spans="1:5" ht="12.75">
      <c r="A168" s="59"/>
      <c r="B168" s="26" t="s">
        <v>166</v>
      </c>
      <c r="C168" s="23">
        <f>80816+36960</f>
        <v>117776</v>
      </c>
      <c r="D168" s="24">
        <v>67704</v>
      </c>
      <c r="E168" s="25">
        <f>D168/C168</f>
        <v>0.5748539600597745</v>
      </c>
    </row>
    <row r="169" spans="1:5" s="58" customFormat="1" ht="22.5">
      <c r="A169" s="33"/>
      <c r="B169" s="26" t="s">
        <v>167</v>
      </c>
      <c r="C169" s="23">
        <f>147194-9000</f>
        <v>138194</v>
      </c>
      <c r="D169" s="24">
        <v>94787.61</v>
      </c>
      <c r="E169" s="25">
        <f>D169/C169</f>
        <v>0.6859024993849226</v>
      </c>
    </row>
    <row r="170" spans="1:5" ht="12.75">
      <c r="A170" s="33"/>
      <c r="B170" s="26" t="s">
        <v>127</v>
      </c>
      <c r="C170" s="24">
        <v>276028</v>
      </c>
      <c r="D170" s="24">
        <v>311816.8</v>
      </c>
      <c r="E170" s="25">
        <f>D170/C170</f>
        <v>1.1296564116683814</v>
      </c>
    </row>
    <row r="171" spans="1:5" s="48" customFormat="1" ht="33.75">
      <c r="A171" s="33"/>
      <c r="B171" s="26" t="s">
        <v>168</v>
      </c>
      <c r="C171" s="24">
        <v>2250</v>
      </c>
      <c r="D171" s="24">
        <v>2250</v>
      </c>
      <c r="E171" s="25">
        <f>D171/C171</f>
        <v>1</v>
      </c>
    </row>
    <row r="172" spans="1:5" ht="12.75">
      <c r="A172" s="33"/>
      <c r="B172" s="26" t="s">
        <v>130</v>
      </c>
      <c r="C172" s="23">
        <v>164</v>
      </c>
      <c r="D172" s="24">
        <v>15014</v>
      </c>
      <c r="E172" s="25">
        <f>D172/C172</f>
        <v>91.54878048780488</v>
      </c>
    </row>
    <row r="173" spans="1:5" ht="21" customHeight="1">
      <c r="A173" s="13" t="s">
        <v>169</v>
      </c>
      <c r="B173" s="13"/>
      <c r="C173" s="60">
        <f>SUM(C174:C176)</f>
        <v>218840893</v>
      </c>
      <c r="D173" s="61">
        <f>SUM(D174:D176)</f>
        <v>218840893</v>
      </c>
      <c r="E173" s="12">
        <f>D173/C173</f>
        <v>1</v>
      </c>
    </row>
    <row r="174" spans="1:5" ht="12.75">
      <c r="A174" s="33">
        <v>1</v>
      </c>
      <c r="B174" s="34" t="s">
        <v>170</v>
      </c>
      <c r="C174" s="23">
        <v>215531489</v>
      </c>
      <c r="D174" s="24">
        <v>215531489</v>
      </c>
      <c r="E174" s="45">
        <f>D174/C174</f>
        <v>1</v>
      </c>
    </row>
    <row r="175" spans="1:5" ht="12.75">
      <c r="A175" s="33">
        <v>2</v>
      </c>
      <c r="B175" s="62" t="s">
        <v>171</v>
      </c>
      <c r="C175" s="23">
        <f>3294684</f>
        <v>3294684</v>
      </c>
      <c r="D175" s="24">
        <v>3294684</v>
      </c>
      <c r="E175" s="25">
        <f>D175/C175</f>
        <v>1</v>
      </c>
    </row>
    <row r="176" spans="1:5" ht="12.75">
      <c r="A176" s="63">
        <v>3</v>
      </c>
      <c r="B176" s="64" t="s">
        <v>172</v>
      </c>
      <c r="C176" s="23">
        <v>14720</v>
      </c>
      <c r="D176" s="24">
        <v>14720</v>
      </c>
      <c r="E176" s="25">
        <f>D176/C176</f>
        <v>1</v>
      </c>
    </row>
    <row r="177" spans="1:5" ht="21" customHeight="1">
      <c r="A177" s="65" t="s">
        <v>173</v>
      </c>
      <c r="B177" s="66"/>
      <c r="C177" s="60">
        <f>SUM(C178,C209,C216)</f>
        <v>107479512</v>
      </c>
      <c r="D177" s="61">
        <f>SUM(D178,D209,D216)</f>
        <v>106446232.98</v>
      </c>
      <c r="E177" s="12">
        <f>D177/C177</f>
        <v>0.9903862698967223</v>
      </c>
    </row>
    <row r="178" spans="1:5" ht="12.75">
      <c r="A178" s="67">
        <v>1</v>
      </c>
      <c r="B178" s="68" t="s">
        <v>174</v>
      </c>
      <c r="C178" s="39">
        <f>SUM(C179:C181,C194:C208)</f>
        <v>84208844</v>
      </c>
      <c r="D178" s="46">
        <f>SUM(D179:D181,D194:D208)</f>
        <v>83386854.56</v>
      </c>
      <c r="E178" s="12">
        <f>D178/C178</f>
        <v>0.9902386803932376</v>
      </c>
    </row>
    <row r="179" spans="1:5" ht="12.75">
      <c r="A179" s="33"/>
      <c r="B179" s="69" t="s">
        <v>175</v>
      </c>
      <c r="C179" s="23">
        <v>822384</v>
      </c>
      <c r="D179" s="24">
        <v>822184.6</v>
      </c>
      <c r="E179" s="45">
        <f>D179/C179</f>
        <v>0.9997575341932722</v>
      </c>
    </row>
    <row r="180" spans="1:5" ht="22.5">
      <c r="A180" s="33"/>
      <c r="B180" s="34" t="s">
        <v>176</v>
      </c>
      <c r="C180" s="23">
        <v>12863699</v>
      </c>
      <c r="D180" s="24">
        <f>12854970.66+8717.38</f>
        <v>12863688.040000001</v>
      </c>
      <c r="E180" s="25">
        <f>D180/C180</f>
        <v>0.9999991479900144</v>
      </c>
    </row>
    <row r="181" spans="1:5" ht="12.75">
      <c r="A181" s="33"/>
      <c r="B181" s="34" t="s">
        <v>177</v>
      </c>
      <c r="C181" s="23">
        <f>SUM(C182:C193)</f>
        <v>48590429</v>
      </c>
      <c r="D181" s="24">
        <f>SUM(D182:D193)</f>
        <v>47911751.63</v>
      </c>
      <c r="E181" s="25">
        <f>D181/C181</f>
        <v>0.9860326944221876</v>
      </c>
    </row>
    <row r="182" spans="1:5" ht="12.75">
      <c r="A182" s="70"/>
      <c r="B182" s="71" t="s">
        <v>178</v>
      </c>
      <c r="C182" s="42">
        <v>2254600</v>
      </c>
      <c r="D182" s="43">
        <v>2238471.63</v>
      </c>
      <c r="E182" s="25">
        <f>D182/C182</f>
        <v>0.9928464605695023</v>
      </c>
    </row>
    <row r="183" spans="1:5" ht="12.75">
      <c r="A183" s="70"/>
      <c r="B183" s="71" t="s">
        <v>179</v>
      </c>
      <c r="C183" s="42">
        <v>165265</v>
      </c>
      <c r="D183" s="43">
        <v>160847.86</v>
      </c>
      <c r="E183" s="25">
        <f>D183/C183</f>
        <v>0.9732723807218708</v>
      </c>
    </row>
    <row r="184" spans="1:5" ht="22.5">
      <c r="A184" s="70"/>
      <c r="B184" s="71" t="s">
        <v>180</v>
      </c>
      <c r="C184" s="42">
        <f>362000-9540+38330</f>
        <v>390790</v>
      </c>
      <c r="D184" s="43">
        <v>385712.89</v>
      </c>
      <c r="E184" s="25">
        <f>D184/C184</f>
        <v>0.9870080861843957</v>
      </c>
    </row>
    <row r="185" spans="1:5" ht="12.75">
      <c r="A185" s="70"/>
      <c r="B185" s="71" t="s">
        <v>181</v>
      </c>
      <c r="C185" s="42">
        <v>195400</v>
      </c>
      <c r="D185" s="43">
        <v>192478.44</v>
      </c>
      <c r="E185" s="25">
        <f>D185/C185</f>
        <v>0.9850483111566019</v>
      </c>
    </row>
    <row r="186" spans="1:5" ht="12.75">
      <c r="A186" s="70"/>
      <c r="B186" s="71" t="s">
        <v>182</v>
      </c>
      <c r="C186" s="42">
        <v>42012000</v>
      </c>
      <c r="D186" s="43">
        <v>41495979.5</v>
      </c>
      <c r="E186" s="25">
        <f>D186/C186</f>
        <v>0.9877173069599162</v>
      </c>
    </row>
    <row r="187" spans="1:5" ht="22.5">
      <c r="A187" s="70"/>
      <c r="B187" s="71" t="s">
        <v>183</v>
      </c>
      <c r="C187" s="42">
        <v>1362268</v>
      </c>
      <c r="D187" s="43">
        <v>1362299.11</v>
      </c>
      <c r="E187" s="25">
        <f>D187/C187</f>
        <v>1.0000228369160842</v>
      </c>
    </row>
    <row r="188" spans="1:5" ht="12.75">
      <c r="A188" s="70"/>
      <c r="B188" s="71" t="s">
        <v>184</v>
      </c>
      <c r="C188" s="42">
        <v>182045</v>
      </c>
      <c r="D188" s="43">
        <v>79373.6</v>
      </c>
      <c r="E188" s="25">
        <f>D188/C188</f>
        <v>0.43601087643165154</v>
      </c>
    </row>
    <row r="189" spans="1:5" ht="22.5">
      <c r="A189" s="70"/>
      <c r="B189" s="71" t="s">
        <v>185</v>
      </c>
      <c r="C189" s="42">
        <v>7920</v>
      </c>
      <c r="D189" s="43">
        <v>7920</v>
      </c>
      <c r="E189" s="25">
        <f>D189/C189</f>
        <v>1</v>
      </c>
    </row>
    <row r="190" spans="1:5" ht="12.75" hidden="1">
      <c r="A190" s="70"/>
      <c r="B190" s="71" t="s">
        <v>186</v>
      </c>
      <c r="C190" s="42"/>
      <c r="D190" s="43"/>
      <c r="E190" s="25" t="e">
        <f>D190/C190</f>
        <v>#DIV/0!</v>
      </c>
    </row>
    <row r="191" spans="1:5" ht="12.75">
      <c r="A191" s="70"/>
      <c r="B191" s="71" t="s">
        <v>187</v>
      </c>
      <c r="C191" s="42">
        <v>1537371</v>
      </c>
      <c r="D191" s="43">
        <v>1532524</v>
      </c>
      <c r="E191" s="25">
        <f>D191/C191</f>
        <v>0.996847215148458</v>
      </c>
    </row>
    <row r="192" spans="1:5" ht="12.75">
      <c r="A192" s="70"/>
      <c r="B192" s="71" t="s">
        <v>188</v>
      </c>
      <c r="C192" s="42">
        <v>18070</v>
      </c>
      <c r="D192" s="43"/>
      <c r="E192" s="25">
        <f>D192/C192</f>
        <v>0</v>
      </c>
    </row>
    <row r="193" spans="1:5" ht="12.75">
      <c r="A193" s="70"/>
      <c r="B193" s="71" t="s">
        <v>189</v>
      </c>
      <c r="C193" s="42">
        <v>464700</v>
      </c>
      <c r="D193" s="43">
        <v>456144.6</v>
      </c>
      <c r="E193" s="25">
        <f>D193/C193</f>
        <v>0.9815894125242092</v>
      </c>
    </row>
    <row r="194" spans="1:5" ht="12.75">
      <c r="A194" s="33"/>
      <c r="B194" s="34" t="s">
        <v>190</v>
      </c>
      <c r="C194" s="72">
        <v>5169121</v>
      </c>
      <c r="D194" s="24">
        <v>5102435.2</v>
      </c>
      <c r="E194" s="25">
        <f>D194/C194</f>
        <v>0.9870991992642463</v>
      </c>
    </row>
    <row r="195" spans="1:5" ht="12.75">
      <c r="A195" s="33"/>
      <c r="B195" s="34" t="s">
        <v>191</v>
      </c>
      <c r="C195" s="23">
        <v>26500</v>
      </c>
      <c r="D195" s="24">
        <v>10218.85</v>
      </c>
      <c r="E195" s="25">
        <f>D195/C195</f>
        <v>0.3856169811320755</v>
      </c>
    </row>
    <row r="196" spans="1:5" ht="22.5">
      <c r="A196" s="33"/>
      <c r="B196" s="34" t="s">
        <v>192</v>
      </c>
      <c r="C196" s="23">
        <v>6648</v>
      </c>
      <c r="D196" s="24">
        <v>6517.94</v>
      </c>
      <c r="E196" s="25">
        <f>D196/C196</f>
        <v>0.9804362214199759</v>
      </c>
    </row>
    <row r="197" spans="1:5" ht="12.75">
      <c r="A197" s="33"/>
      <c r="B197" s="34" t="s">
        <v>193</v>
      </c>
      <c r="C197" s="23">
        <v>1987000</v>
      </c>
      <c r="D197" s="24">
        <f>596000+1391000</f>
        <v>1987000</v>
      </c>
      <c r="E197" s="25">
        <f>D197/C197</f>
        <v>1</v>
      </c>
    </row>
    <row r="198" spans="1:5" ht="12.75" hidden="1">
      <c r="A198" s="33"/>
      <c r="B198" s="34" t="s">
        <v>194</v>
      </c>
      <c r="C198" s="23"/>
      <c r="D198" s="24"/>
      <c r="E198" s="25" t="e">
        <f>D198/C198</f>
        <v>#DIV/0!</v>
      </c>
    </row>
    <row r="199" spans="1:5" ht="12.75">
      <c r="A199" s="33"/>
      <c r="B199" s="34" t="s">
        <v>195</v>
      </c>
      <c r="C199" s="23">
        <f>143245+142140</f>
        <v>285385</v>
      </c>
      <c r="D199" s="24">
        <v>285058.4</v>
      </c>
      <c r="E199" s="25">
        <f>D199/C199</f>
        <v>0.9988555810571684</v>
      </c>
    </row>
    <row r="200" spans="1:5" ht="22.5" hidden="1">
      <c r="A200" s="33"/>
      <c r="B200" s="34" t="s">
        <v>196</v>
      </c>
      <c r="C200" s="23"/>
      <c r="D200" s="24"/>
      <c r="E200" s="25" t="e">
        <f>D200/C200</f>
        <v>#DIV/0!</v>
      </c>
    </row>
    <row r="201" spans="1:5" ht="12.75">
      <c r="A201" s="33"/>
      <c r="B201" s="34" t="s">
        <v>197</v>
      </c>
      <c r="C201" s="23">
        <v>41680</v>
      </c>
      <c r="D201" s="24">
        <v>41490.63</v>
      </c>
      <c r="E201" s="25">
        <f>D201/C201</f>
        <v>0.9954565738963531</v>
      </c>
    </row>
    <row r="202" spans="1:5" ht="12.75">
      <c r="A202" s="33"/>
      <c r="B202" s="34" t="s">
        <v>198</v>
      </c>
      <c r="C202" s="23">
        <v>227102</v>
      </c>
      <c r="D202" s="24">
        <f>390.75+214161.64</f>
        <v>214552.39</v>
      </c>
      <c r="E202" s="25">
        <f>D202/C202</f>
        <v>0.9447402048418773</v>
      </c>
    </row>
    <row r="203" spans="1:5" ht="12.75" customHeight="1">
      <c r="A203" s="33"/>
      <c r="B203" s="34" t="s">
        <v>199</v>
      </c>
      <c r="C203" s="23">
        <v>719895</v>
      </c>
      <c r="D203" s="24">
        <v>685586.49</v>
      </c>
      <c r="E203" s="25">
        <f>D203/C203</f>
        <v>0.9523423415914821</v>
      </c>
    </row>
    <row r="204" spans="1:5" ht="12.75" customHeight="1">
      <c r="A204" s="73"/>
      <c r="B204" s="74" t="s">
        <v>200</v>
      </c>
      <c r="C204" s="24">
        <v>95000</v>
      </c>
      <c r="D204" s="24">
        <v>95000</v>
      </c>
      <c r="E204" s="25">
        <f>D204/C204</f>
        <v>1</v>
      </c>
    </row>
    <row r="205" spans="1:5" ht="12.75">
      <c r="A205" s="73"/>
      <c r="B205" s="74" t="s">
        <v>201</v>
      </c>
      <c r="C205" s="24">
        <f>37000+1000</f>
        <v>38000</v>
      </c>
      <c r="D205" s="24">
        <v>38000</v>
      </c>
      <c r="E205" s="25">
        <f>D205/C205</f>
        <v>1</v>
      </c>
    </row>
    <row r="206" spans="1:5" ht="12.75" hidden="1">
      <c r="A206" s="73"/>
      <c r="B206" s="74" t="s">
        <v>202</v>
      </c>
      <c r="C206" s="23"/>
      <c r="D206" s="24"/>
      <c r="E206" s="25" t="e">
        <f>D206/C206</f>
        <v>#DIV/0!</v>
      </c>
    </row>
    <row r="207" spans="1:5" ht="22.5">
      <c r="A207" s="73"/>
      <c r="B207" s="74" t="s">
        <v>203</v>
      </c>
      <c r="C207" s="23">
        <v>13306631</v>
      </c>
      <c r="D207" s="24">
        <v>13294001.21</v>
      </c>
      <c r="E207" s="25">
        <f>D207/C207</f>
        <v>0.9990508649409456</v>
      </c>
    </row>
    <row r="208" spans="1:5" ht="12.75">
      <c r="A208" s="75"/>
      <c r="B208" s="54" t="s">
        <v>204</v>
      </c>
      <c r="C208" s="23">
        <v>29370</v>
      </c>
      <c r="D208" s="24">
        <v>29369.18</v>
      </c>
      <c r="E208" s="25">
        <f>D208/C208</f>
        <v>0.9999720803541028</v>
      </c>
    </row>
    <row r="209" spans="1:5" ht="24">
      <c r="A209" s="17">
        <v>2</v>
      </c>
      <c r="B209" s="18" t="s">
        <v>205</v>
      </c>
      <c r="C209" s="39">
        <f>SUM(C210:C215)</f>
        <v>154763</v>
      </c>
      <c r="D209" s="46">
        <f>SUM(D210:D215)</f>
        <v>150073.41999999998</v>
      </c>
      <c r="E209" s="12">
        <f>D209/C209</f>
        <v>0.969698312904247</v>
      </c>
    </row>
    <row r="210" spans="1:5" ht="12.75">
      <c r="A210" s="33"/>
      <c r="B210" s="54" t="s">
        <v>206</v>
      </c>
      <c r="C210" s="23">
        <f>50000-3000</f>
        <v>47000</v>
      </c>
      <c r="D210" s="24">
        <v>46946.8</v>
      </c>
      <c r="E210" s="45">
        <f>D210/C210</f>
        <v>0.998868085106383</v>
      </c>
    </row>
    <row r="211" spans="1:5" ht="12.75">
      <c r="A211" s="33"/>
      <c r="B211" s="54" t="s">
        <v>204</v>
      </c>
      <c r="C211" s="23">
        <v>11865</v>
      </c>
      <c r="D211" s="24">
        <v>11865</v>
      </c>
      <c r="E211" s="25">
        <f>D211/C211</f>
        <v>1</v>
      </c>
    </row>
    <row r="212" spans="1:5" ht="22.5">
      <c r="A212" s="33"/>
      <c r="B212" s="54" t="s">
        <v>207</v>
      </c>
      <c r="C212" s="23">
        <v>20000</v>
      </c>
      <c r="D212" s="24">
        <v>19997.25</v>
      </c>
      <c r="E212" s="25">
        <f>D212/C212</f>
        <v>0.9998625</v>
      </c>
    </row>
    <row r="213" spans="1:5" ht="22.5" hidden="1">
      <c r="A213" s="33"/>
      <c r="B213" s="54" t="s">
        <v>208</v>
      </c>
      <c r="C213" s="23"/>
      <c r="D213" s="24"/>
      <c r="E213" s="25" t="e">
        <f>D213/C213</f>
        <v>#DIV/0!</v>
      </c>
    </row>
    <row r="214" spans="1:5" ht="33.75">
      <c r="A214" s="33"/>
      <c r="B214" s="54" t="s">
        <v>209</v>
      </c>
      <c r="C214" s="23">
        <v>68056</v>
      </c>
      <c r="D214" s="24">
        <v>66138</v>
      </c>
      <c r="E214" s="25">
        <f>D214/C214</f>
        <v>0.9718173269072529</v>
      </c>
    </row>
    <row r="215" spans="1:5" ht="22.5">
      <c r="A215" s="33"/>
      <c r="B215" s="74" t="s">
        <v>210</v>
      </c>
      <c r="C215" s="23">
        <v>7842</v>
      </c>
      <c r="D215" s="24">
        <v>5126.37</v>
      </c>
      <c r="E215" s="25">
        <f>D215/C215</f>
        <v>0.6537069625095638</v>
      </c>
    </row>
    <row r="216" spans="1:5" ht="24">
      <c r="A216" s="17">
        <v>3</v>
      </c>
      <c r="B216" s="18" t="s">
        <v>211</v>
      </c>
      <c r="C216" s="39">
        <f>SUM(C217:C224)</f>
        <v>23115905</v>
      </c>
      <c r="D216" s="46">
        <f>SUM(D217:D224)</f>
        <v>22909305</v>
      </c>
      <c r="E216" s="12">
        <f>D216/C216</f>
        <v>0.9910624308241447</v>
      </c>
    </row>
    <row r="217" spans="1:5" ht="12.75" hidden="1">
      <c r="A217" s="33"/>
      <c r="B217" s="74" t="s">
        <v>212</v>
      </c>
      <c r="C217" s="23">
        <v>0</v>
      </c>
      <c r="D217" s="24"/>
      <c r="E217" s="12" t="e">
        <f>D217/C217</f>
        <v>#DIV/0!</v>
      </c>
    </row>
    <row r="218" spans="1:5" ht="12.75">
      <c r="A218" s="33"/>
      <c r="B218" s="74" t="s">
        <v>213</v>
      </c>
      <c r="C218" s="23">
        <f>9948420-78888-237376-716+19032</f>
        <v>9650472</v>
      </c>
      <c r="D218" s="24">
        <f>2400187+6712856+16672+471120</f>
        <v>9600835</v>
      </c>
      <c r="E218" s="25">
        <f>D218/C218</f>
        <v>0.9948565210074699</v>
      </c>
    </row>
    <row r="219" spans="1:5" ht="12.75">
      <c r="A219" s="33"/>
      <c r="B219" s="74" t="s">
        <v>214</v>
      </c>
      <c r="C219" s="23">
        <v>370814</v>
      </c>
      <c r="D219" s="24">
        <v>346874</v>
      </c>
      <c r="E219" s="25">
        <f>D219/C219</f>
        <v>0.9354393307696042</v>
      </c>
    </row>
    <row r="220" spans="1:5" ht="12.75">
      <c r="A220" s="33"/>
      <c r="B220" s="26" t="s">
        <v>215</v>
      </c>
      <c r="C220" s="23">
        <v>131959</v>
      </c>
      <c r="D220" s="24">
        <v>131959</v>
      </c>
      <c r="E220" s="25">
        <f>D220/C220</f>
        <v>1</v>
      </c>
    </row>
    <row r="221" spans="1:5" ht="22.5">
      <c r="A221" s="33"/>
      <c r="B221" s="26" t="s">
        <v>216</v>
      </c>
      <c r="C221" s="23">
        <v>553767</v>
      </c>
      <c r="D221" s="24">
        <v>492765</v>
      </c>
      <c r="E221" s="25">
        <f>D221/C221</f>
        <v>0.8898417565510405</v>
      </c>
    </row>
    <row r="222" spans="1:5" ht="22.5" hidden="1">
      <c r="A222" s="33"/>
      <c r="B222" s="26" t="s">
        <v>217</v>
      </c>
      <c r="C222" s="23"/>
      <c r="D222" s="24"/>
      <c r="E222" s="25" t="e">
        <f>D222/C222</f>
        <v>#DIV/0!</v>
      </c>
    </row>
    <row r="223" spans="1:5" ht="22.5" hidden="1">
      <c r="A223" s="33"/>
      <c r="B223" s="26" t="s">
        <v>218</v>
      </c>
      <c r="C223" s="23"/>
      <c r="D223" s="24"/>
      <c r="E223" s="25" t="e">
        <f>D223/C223</f>
        <v>#DIV/0!</v>
      </c>
    </row>
    <row r="224" spans="1:5" ht="12.75">
      <c r="A224" s="33"/>
      <c r="B224" s="74" t="s">
        <v>219</v>
      </c>
      <c r="C224" s="23">
        <f>SUM(C225:C232)</f>
        <v>12408893</v>
      </c>
      <c r="D224" s="24">
        <f>SUM(D225:D232)</f>
        <v>12336872</v>
      </c>
      <c r="E224" s="25">
        <f>D224/C224</f>
        <v>0.9941960173240272</v>
      </c>
    </row>
    <row r="225" spans="1:5" ht="12.75">
      <c r="A225" s="27"/>
      <c r="B225" s="76" t="s">
        <v>220</v>
      </c>
      <c r="C225" s="42">
        <v>1518750</v>
      </c>
      <c r="D225" s="43">
        <v>1518750</v>
      </c>
      <c r="E225" s="25">
        <f>D225/C225</f>
        <v>1</v>
      </c>
    </row>
    <row r="226" spans="1:5" ht="12.75">
      <c r="A226" s="75"/>
      <c r="B226" s="76" t="s">
        <v>221</v>
      </c>
      <c r="C226" s="42">
        <v>499216</v>
      </c>
      <c r="D226" s="43">
        <v>499216</v>
      </c>
      <c r="E226" s="25">
        <f>D226/C226</f>
        <v>1</v>
      </c>
    </row>
    <row r="227" spans="1:5" ht="12.75">
      <c r="A227" s="75"/>
      <c r="B227" s="76" t="s">
        <v>222</v>
      </c>
      <c r="C227" s="42">
        <f>163750+8595</f>
        <v>172345</v>
      </c>
      <c r="D227" s="43">
        <v>171620</v>
      </c>
      <c r="E227" s="25">
        <f>D227/C227</f>
        <v>0.9957933215352925</v>
      </c>
    </row>
    <row r="228" spans="1:5" ht="12.75">
      <c r="A228" s="75"/>
      <c r="B228" s="76" t="s">
        <v>75</v>
      </c>
      <c r="C228" s="42">
        <v>270000</v>
      </c>
      <c r="D228" s="43">
        <v>269999</v>
      </c>
      <c r="E228" s="25">
        <f>D228/C228</f>
        <v>0.9999962962962963</v>
      </c>
    </row>
    <row r="229" spans="1:5" ht="12.75">
      <c r="A229" s="75"/>
      <c r="B229" s="77" t="s">
        <v>223</v>
      </c>
      <c r="C229" s="42">
        <v>667277</v>
      </c>
      <c r="D229" s="43">
        <v>666277</v>
      </c>
      <c r="E229" s="25">
        <f>D229/C229</f>
        <v>0.9985013719939395</v>
      </c>
    </row>
    <row r="230" spans="1:5" ht="12.75">
      <c r="A230" s="70"/>
      <c r="B230" s="77" t="s">
        <v>224</v>
      </c>
      <c r="C230" s="42">
        <v>75000</v>
      </c>
      <c r="D230" s="43">
        <v>57999</v>
      </c>
      <c r="E230" s="25">
        <f>D230/C230</f>
        <v>0.77332</v>
      </c>
    </row>
    <row r="231" spans="1:5" ht="12.75">
      <c r="A231" s="70"/>
      <c r="B231" s="77" t="s">
        <v>225</v>
      </c>
      <c r="C231" s="42">
        <v>7767605</v>
      </c>
      <c r="D231" s="43">
        <v>7714311</v>
      </c>
      <c r="E231" s="25">
        <f>D231/C231</f>
        <v>0.993138940509977</v>
      </c>
    </row>
    <row r="232" spans="1:5" ht="12.75">
      <c r="A232" s="70"/>
      <c r="B232" s="77" t="s">
        <v>179</v>
      </c>
      <c r="C232" s="42">
        <v>1438700</v>
      </c>
      <c r="D232" s="43">
        <v>1438700</v>
      </c>
      <c r="E232" s="25">
        <f>D232/C232</f>
        <v>1</v>
      </c>
    </row>
    <row r="233" spans="1:5" ht="12.75" hidden="1">
      <c r="A233" s="78"/>
      <c r="B233" s="78"/>
      <c r="C233" s="79">
        <v>1101845490</v>
      </c>
      <c r="D233" s="80"/>
      <c r="E233" s="80"/>
    </row>
    <row r="234" spans="1:5" ht="12.75" hidden="1">
      <c r="A234" s="78"/>
      <c r="B234" s="78"/>
      <c r="C234" s="79">
        <f>C4-C233</f>
        <v>0</v>
      </c>
      <c r="D234" s="80"/>
      <c r="E234" s="80"/>
    </row>
    <row r="235" spans="1:5" ht="15.75">
      <c r="A235" s="78"/>
      <c r="B235" s="81"/>
      <c r="C235" s="79"/>
      <c r="D235" s="80"/>
      <c r="E235" s="80"/>
    </row>
    <row r="236" spans="1:5" ht="12.75">
      <c r="A236" s="78"/>
      <c r="B236" s="78"/>
      <c r="C236" s="79"/>
      <c r="D236" s="80"/>
      <c r="E236" s="80"/>
    </row>
    <row r="237" spans="1:5" ht="12.75">
      <c r="A237" s="78"/>
      <c r="B237" s="78"/>
      <c r="C237" s="79"/>
      <c r="D237" s="80"/>
      <c r="E237" s="80"/>
    </row>
    <row r="238" spans="1:5" ht="12.75">
      <c r="A238" s="78"/>
      <c r="B238" s="78"/>
      <c r="C238" s="79"/>
      <c r="D238" s="80"/>
      <c r="E238" s="80"/>
    </row>
    <row r="239" ht="12.75">
      <c r="E239" s="80"/>
    </row>
  </sheetData>
  <mergeCells count="6">
    <mergeCell ref="A1:E1"/>
    <mergeCell ref="A5:B5"/>
    <mergeCell ref="A173:B173"/>
    <mergeCell ref="A177:B177"/>
    <mergeCell ref="A4:B4"/>
    <mergeCell ref="A132:B132"/>
  </mergeCells>
  <printOptions/>
  <pageMargins left="0.94" right="0.2" top="0.68" bottom="0.53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1">
      <pane ySplit="2" topLeftCell="BM18" activePane="bottomLeft" state="frozen"/>
      <selection pane="topLeft" activeCell="F67" sqref="F67"/>
      <selection pane="bottomLeft" activeCell="D16" sqref="D16"/>
    </sheetView>
  </sheetViews>
  <sheetFormatPr defaultColWidth="9.00390625" defaultRowHeight="12.75"/>
  <cols>
    <col min="1" max="1" width="3.375" style="48" customWidth="1"/>
    <col min="2" max="2" width="54.25390625" style="48" customWidth="1"/>
    <col min="3" max="4" width="13.125" style="48" customWidth="1"/>
    <col min="5" max="5" width="7.875" style="48" customWidth="1"/>
    <col min="6" max="16384" width="9.125" style="48" customWidth="1"/>
  </cols>
  <sheetData>
    <row r="1" spans="1:5" ht="32.25" customHeight="1">
      <c r="A1" s="1" t="s">
        <v>226</v>
      </c>
      <c r="B1" s="1"/>
      <c r="C1" s="1"/>
      <c r="D1" s="1"/>
      <c r="E1" s="1"/>
    </row>
    <row r="2" spans="1:5" ht="23.25" customHeight="1">
      <c r="A2" s="83" t="s">
        <v>1</v>
      </c>
      <c r="B2" s="84" t="s">
        <v>2</v>
      </c>
      <c r="C2" s="6" t="s">
        <v>227</v>
      </c>
      <c r="D2" s="6" t="s">
        <v>5</v>
      </c>
      <c r="E2" s="6" t="s">
        <v>228</v>
      </c>
    </row>
    <row r="3" spans="1:5" s="86" customFormat="1" ht="11.25">
      <c r="A3" s="85">
        <v>1</v>
      </c>
      <c r="B3" s="85">
        <v>2</v>
      </c>
      <c r="C3" s="6">
        <v>3</v>
      </c>
      <c r="D3" s="6">
        <v>4</v>
      </c>
      <c r="E3" s="6">
        <v>5</v>
      </c>
    </row>
    <row r="4" spans="1:5" ht="14.25">
      <c r="A4" s="87" t="s">
        <v>229</v>
      </c>
      <c r="B4" s="88"/>
      <c r="C4" s="11">
        <f>SUM(C5,C36,C60)</f>
        <v>158500301</v>
      </c>
      <c r="D4" s="11">
        <f>SUM(D5,D36,D60,D57)</f>
        <v>149334132.26</v>
      </c>
      <c r="E4" s="12">
        <f>D4/C4</f>
        <v>0.9421693922209018</v>
      </c>
    </row>
    <row r="5" spans="1:5" s="90" customFormat="1" ht="15">
      <c r="A5" s="13" t="s">
        <v>230</v>
      </c>
      <c r="B5" s="13"/>
      <c r="C5" s="89">
        <f>SUM(C6,C11,C32)</f>
        <v>80812556</v>
      </c>
      <c r="D5" s="89">
        <f>SUM(D6,D11,D32)</f>
        <v>77722238.22</v>
      </c>
      <c r="E5" s="12">
        <f>D5/C5</f>
        <v>0.9617594352540959</v>
      </c>
    </row>
    <row r="6" spans="1:5" ht="12.75">
      <c r="A6" s="17">
        <v>1</v>
      </c>
      <c r="B6" s="18" t="s">
        <v>28</v>
      </c>
      <c r="C6" s="46">
        <f>SUM(C7:C10)</f>
        <v>76546312</v>
      </c>
      <c r="D6" s="46">
        <f>SUM(D7:D10)</f>
        <v>72985815.53</v>
      </c>
      <c r="E6" s="12">
        <f>D6/C6</f>
        <v>0.9534857215589956</v>
      </c>
    </row>
    <row r="7" spans="1:5" ht="12.75">
      <c r="A7" s="21"/>
      <c r="B7" s="38" t="s">
        <v>231</v>
      </c>
      <c r="C7" s="24">
        <v>67857619</v>
      </c>
      <c r="D7" s="24">
        <f>41486830.11+21614014</f>
        <v>63100844.11</v>
      </c>
      <c r="E7" s="25">
        <f>D7/C7</f>
        <v>0.9299006513918503</v>
      </c>
    </row>
    <row r="8" spans="1:5" ht="12.75">
      <c r="A8" s="21"/>
      <c r="B8" s="38" t="s">
        <v>232</v>
      </c>
      <c r="C8" s="24">
        <v>4888597</v>
      </c>
      <c r="D8" s="24">
        <v>4888597.33</v>
      </c>
      <c r="E8" s="25">
        <f>D8/C8</f>
        <v>1.0000000675040304</v>
      </c>
    </row>
    <row r="9" spans="1:5" ht="12.75">
      <c r="A9" s="21"/>
      <c r="B9" s="38" t="s">
        <v>233</v>
      </c>
      <c r="C9" s="24">
        <v>3800000</v>
      </c>
      <c r="D9" s="24">
        <v>4995528.09</v>
      </c>
      <c r="E9" s="25">
        <f>D9/C9</f>
        <v>1.3146126552631578</v>
      </c>
    </row>
    <row r="10" spans="1:5" ht="12.75">
      <c r="A10" s="21"/>
      <c r="B10" s="38" t="s">
        <v>234</v>
      </c>
      <c r="C10" s="24">
        <v>96</v>
      </c>
      <c r="D10" s="24">
        <f>96+750</f>
        <v>846</v>
      </c>
      <c r="E10" s="25">
        <f>D10/C10</f>
        <v>8.8125</v>
      </c>
    </row>
    <row r="11" spans="1:5" ht="13.5" customHeight="1">
      <c r="A11" s="17">
        <v>2</v>
      </c>
      <c r="B11" s="18" t="s">
        <v>92</v>
      </c>
      <c r="C11" s="46">
        <f>SUM(C12:C30)</f>
        <v>4266244</v>
      </c>
      <c r="D11" s="46">
        <f>SUM(D12:D30)</f>
        <v>4734593.16</v>
      </c>
      <c r="E11" s="12">
        <f>D11/C11</f>
        <v>1.1097802094770013</v>
      </c>
    </row>
    <row r="12" spans="1:5" ht="22.5">
      <c r="A12" s="33"/>
      <c r="B12" s="26" t="s">
        <v>235</v>
      </c>
      <c r="C12" s="24">
        <v>3324193</v>
      </c>
      <c r="D12" s="24">
        <v>3027238.11</v>
      </c>
      <c r="E12" s="25">
        <f>D12/C12</f>
        <v>0.9106685773058303</v>
      </c>
    </row>
    <row r="13" spans="1:5" ht="12.75">
      <c r="A13" s="33"/>
      <c r="B13" s="26" t="s">
        <v>236</v>
      </c>
      <c r="C13" s="24"/>
      <c r="D13" s="24">
        <v>485349.02</v>
      </c>
      <c r="E13" s="25"/>
    </row>
    <row r="14" spans="1:5" ht="12.75">
      <c r="A14" s="33"/>
      <c r="B14" s="26" t="s">
        <v>237</v>
      </c>
      <c r="C14" s="24"/>
      <c r="D14" s="24">
        <v>400000</v>
      </c>
      <c r="E14" s="25"/>
    </row>
    <row r="15" spans="1:5" ht="22.5" customHeight="1">
      <c r="A15" s="91"/>
      <c r="B15" s="26" t="s">
        <v>238</v>
      </c>
      <c r="C15" s="24">
        <v>300000</v>
      </c>
      <c r="D15" s="24">
        <v>300000</v>
      </c>
      <c r="E15" s="25">
        <f>D15/C15</f>
        <v>1</v>
      </c>
    </row>
    <row r="16" spans="1:5" ht="22.5">
      <c r="A16" s="33"/>
      <c r="B16" s="26" t="s">
        <v>239</v>
      </c>
      <c r="C16" s="24">
        <v>283600</v>
      </c>
      <c r="D16" s="24">
        <v>198800</v>
      </c>
      <c r="E16" s="25">
        <f>D16/C16</f>
        <v>0.7009873060648801</v>
      </c>
    </row>
    <row r="17" spans="1:5" ht="22.5">
      <c r="A17" s="33"/>
      <c r="B17" s="26" t="s">
        <v>240</v>
      </c>
      <c r="C17" s="24">
        <v>160001</v>
      </c>
      <c r="D17" s="24">
        <v>160000.5</v>
      </c>
      <c r="E17" s="25">
        <f>D17/C17</f>
        <v>0.9999968750195312</v>
      </c>
    </row>
    <row r="18" spans="1:5" ht="22.5">
      <c r="A18" s="33"/>
      <c r="B18" s="26" t="s">
        <v>241</v>
      </c>
      <c r="C18" s="24">
        <v>100000</v>
      </c>
      <c r="D18" s="24">
        <v>50000</v>
      </c>
      <c r="E18" s="25">
        <f>D18/C18</f>
        <v>0.5</v>
      </c>
    </row>
    <row r="19" spans="1:5" ht="14.25" customHeight="1" hidden="1">
      <c r="A19" s="33"/>
      <c r="B19" s="26" t="s">
        <v>242</v>
      </c>
      <c r="C19" s="24"/>
      <c r="D19" s="24"/>
      <c r="E19" s="25" t="e">
        <f>D19/C19</f>
        <v>#DIV/0!</v>
      </c>
    </row>
    <row r="20" spans="1:5" ht="14.25" customHeight="1" hidden="1">
      <c r="A20" s="33"/>
      <c r="B20" s="26" t="s">
        <v>243</v>
      </c>
      <c r="C20" s="24"/>
      <c r="D20" s="24"/>
      <c r="E20" s="25" t="e">
        <f>D20/C20</f>
        <v>#DIV/0!</v>
      </c>
    </row>
    <row r="21" spans="1:5" ht="14.25" customHeight="1" hidden="1">
      <c r="A21" s="33"/>
      <c r="B21" s="26" t="s">
        <v>244</v>
      </c>
      <c r="C21" s="24"/>
      <c r="D21" s="24"/>
      <c r="E21" s="25" t="e">
        <f>D21/C21</f>
        <v>#DIV/0!</v>
      </c>
    </row>
    <row r="22" spans="1:5" ht="22.5" customHeight="1" hidden="1">
      <c r="A22" s="91"/>
      <c r="B22" s="26" t="s">
        <v>101</v>
      </c>
      <c r="C22" s="24"/>
      <c r="D22" s="24"/>
      <c r="E22" s="25" t="e">
        <f>D22/C22</f>
        <v>#DIV/0!</v>
      </c>
    </row>
    <row r="23" spans="1:5" ht="12.75" hidden="1">
      <c r="A23" s="33"/>
      <c r="B23" s="26" t="s">
        <v>118</v>
      </c>
      <c r="C23" s="24"/>
      <c r="D23" s="24"/>
      <c r="E23" s="25" t="e">
        <f>D23/C23</f>
        <v>#DIV/0!</v>
      </c>
    </row>
    <row r="24" spans="1:5" ht="14.25" customHeight="1" hidden="1">
      <c r="A24" s="91"/>
      <c r="B24" s="26" t="s">
        <v>245</v>
      </c>
      <c r="C24" s="24"/>
      <c r="D24" s="24"/>
      <c r="E24" s="25" t="e">
        <f>D24/C24</f>
        <v>#DIV/0!</v>
      </c>
    </row>
    <row r="25" spans="1:5" ht="22.5" hidden="1">
      <c r="A25" s="91"/>
      <c r="B25" s="26" t="s">
        <v>246</v>
      </c>
      <c r="C25" s="24"/>
      <c r="D25" s="24">
        <v>0</v>
      </c>
      <c r="E25" s="25" t="e">
        <f>D25/C25</f>
        <v>#DIV/0!</v>
      </c>
    </row>
    <row r="26" spans="1:5" ht="32.25" customHeight="1">
      <c r="A26" s="33"/>
      <c r="B26" s="26" t="s">
        <v>247</v>
      </c>
      <c r="C26" s="24">
        <v>18450</v>
      </c>
      <c r="D26" s="24">
        <v>33205.53</v>
      </c>
      <c r="E26" s="25">
        <f>D26/C26</f>
        <v>1.7997577235772357</v>
      </c>
    </row>
    <row r="27" spans="1:5" s="2" customFormat="1" ht="12.75">
      <c r="A27" s="33"/>
      <c r="B27" s="54" t="s">
        <v>94</v>
      </c>
      <c r="C27" s="23">
        <v>63000</v>
      </c>
      <c r="D27" s="24">
        <v>63000</v>
      </c>
      <c r="E27" s="25">
        <f>D27/C27</f>
        <v>1</v>
      </c>
    </row>
    <row r="28" spans="1:5" s="2" customFormat="1" ht="22.5" customHeight="1">
      <c r="A28" s="33"/>
      <c r="B28" s="54" t="s">
        <v>128</v>
      </c>
      <c r="C28" s="23">
        <v>17000</v>
      </c>
      <c r="D28" s="24">
        <v>17000</v>
      </c>
      <c r="E28" s="25">
        <f>D28/C28</f>
        <v>1</v>
      </c>
    </row>
    <row r="29" spans="1:5" s="2" customFormat="1" ht="12.75" hidden="1">
      <c r="A29" s="50"/>
      <c r="B29" s="26" t="s">
        <v>248</v>
      </c>
      <c r="C29" s="23"/>
      <c r="D29" s="24"/>
      <c r="E29" s="25"/>
    </row>
    <row r="30" spans="1:5" ht="14.25" customHeight="1" hidden="1">
      <c r="A30" s="50"/>
      <c r="B30" s="26" t="s">
        <v>249</v>
      </c>
      <c r="C30" s="25"/>
      <c r="D30" s="24"/>
      <c r="E30" s="25" t="e">
        <f>D30/C30</f>
        <v>#DIV/0!</v>
      </c>
    </row>
    <row r="31" spans="1:5" ht="14.25" customHeight="1" hidden="1">
      <c r="A31" s="50"/>
      <c r="B31" s="26" t="s">
        <v>250</v>
      </c>
      <c r="C31" s="25"/>
      <c r="D31" s="24"/>
      <c r="E31" s="25"/>
    </row>
    <row r="32" spans="1:5" ht="12.75">
      <c r="A32" s="17">
        <v>3</v>
      </c>
      <c r="B32" s="18" t="s">
        <v>72</v>
      </c>
      <c r="C32" s="46">
        <f>SUM(C33:C33)</f>
        <v>0</v>
      </c>
      <c r="D32" s="46">
        <f>SUM(D33:D35)</f>
        <v>1829.53</v>
      </c>
      <c r="E32" s="12"/>
    </row>
    <row r="33" spans="1:5" ht="22.5">
      <c r="A33" s="33"/>
      <c r="B33" s="34" t="s">
        <v>251</v>
      </c>
      <c r="C33" s="24"/>
      <c r="D33" s="24">
        <v>1829.53</v>
      </c>
      <c r="E33" s="25"/>
    </row>
    <row r="34" spans="1:5" ht="22.5" customHeight="1" hidden="1">
      <c r="A34" s="50"/>
      <c r="B34" s="26" t="s">
        <v>107</v>
      </c>
      <c r="C34" s="24"/>
      <c r="D34" s="24"/>
      <c r="E34" s="25" t="e">
        <f>D34/C34</f>
        <v>#DIV/0!</v>
      </c>
    </row>
    <row r="35" spans="1:5" ht="22.5" customHeight="1" hidden="1">
      <c r="A35" s="50"/>
      <c r="B35" s="26" t="s">
        <v>88</v>
      </c>
      <c r="C35" s="24"/>
      <c r="D35" s="24"/>
      <c r="E35" s="25" t="e">
        <f>D35/C35</f>
        <v>#DIV/0!</v>
      </c>
    </row>
    <row r="36" spans="1:5" s="90" customFormat="1" ht="29.25" customHeight="1">
      <c r="A36" s="13" t="s">
        <v>252</v>
      </c>
      <c r="B36" s="13"/>
      <c r="C36" s="92">
        <f>SUM(C37:C56)</f>
        <v>76901938</v>
      </c>
      <c r="D36" s="92">
        <f>SUM(D37:D56)</f>
        <v>70841586.56</v>
      </c>
      <c r="E36" s="12">
        <f>D36/C36</f>
        <v>0.9211937748564932</v>
      </c>
    </row>
    <row r="37" spans="1:5" ht="14.25" customHeight="1">
      <c r="A37" s="33"/>
      <c r="B37" s="26" t="s">
        <v>253</v>
      </c>
      <c r="C37" s="24">
        <f>2703200+1695856</f>
        <v>4399056</v>
      </c>
      <c r="D37" s="24">
        <v>4451443.51</v>
      </c>
      <c r="E37" s="25">
        <f>D37/C37</f>
        <v>1.0119088072531925</v>
      </c>
    </row>
    <row r="38" spans="1:5" ht="27.75" customHeight="1">
      <c r="A38" s="33"/>
      <c r="B38" s="26" t="s">
        <v>168</v>
      </c>
      <c r="C38" s="24">
        <v>1043506</v>
      </c>
      <c r="D38" s="24"/>
      <c r="E38" s="25">
        <f>D38/C38</f>
        <v>0</v>
      </c>
    </row>
    <row r="39" spans="1:5" ht="22.5">
      <c r="A39" s="33"/>
      <c r="B39" s="34" t="s">
        <v>251</v>
      </c>
      <c r="C39" s="24">
        <v>16678341</v>
      </c>
      <c r="D39" s="24">
        <v>11105748.5</v>
      </c>
      <c r="E39" s="25">
        <f>D39/C39</f>
        <v>0.6658784887537675</v>
      </c>
    </row>
    <row r="40" spans="1:5" ht="12.75">
      <c r="A40" s="33"/>
      <c r="B40" s="26" t="s">
        <v>145</v>
      </c>
      <c r="C40" s="24">
        <v>534713</v>
      </c>
      <c r="D40" s="24">
        <f>223669+174944.5</f>
        <v>398613.5</v>
      </c>
      <c r="E40" s="25">
        <f>D40/C40</f>
        <v>0.7454718699564066</v>
      </c>
    </row>
    <row r="41" spans="1:5" ht="12.75">
      <c r="A41" s="33"/>
      <c r="B41" s="34" t="s">
        <v>254</v>
      </c>
      <c r="C41" s="24">
        <v>20591504</v>
      </c>
      <c r="D41" s="24">
        <v>20591503.4</v>
      </c>
      <c r="E41" s="25">
        <f>D41/C41</f>
        <v>0.999999970861769</v>
      </c>
    </row>
    <row r="42" spans="1:5" ht="12.75" hidden="1">
      <c r="A42" s="33"/>
      <c r="B42" s="26" t="s">
        <v>118</v>
      </c>
      <c r="C42" s="24"/>
      <c r="D42" s="24"/>
      <c r="E42" s="25" t="e">
        <f>D42/C42</f>
        <v>#DIV/0!</v>
      </c>
    </row>
    <row r="43" spans="1:5" ht="12.75" hidden="1">
      <c r="A43" s="33"/>
      <c r="B43" s="26" t="s">
        <v>255</v>
      </c>
      <c r="C43" s="24"/>
      <c r="D43" s="24"/>
      <c r="E43" s="25" t="e">
        <f>D43/C43</f>
        <v>#DIV/0!</v>
      </c>
    </row>
    <row r="44" spans="1:5" ht="12.75">
      <c r="A44" s="33"/>
      <c r="B44" s="34" t="s">
        <v>256</v>
      </c>
      <c r="C44" s="24">
        <v>15218688</v>
      </c>
      <c r="D44" s="24">
        <v>17154349.5</v>
      </c>
      <c r="E44" s="25">
        <f>D44/C44</f>
        <v>1.1271897748347295</v>
      </c>
    </row>
    <row r="45" spans="1:5" ht="12.75">
      <c r="A45" s="33"/>
      <c r="B45" s="34" t="s">
        <v>257</v>
      </c>
      <c r="C45" s="24">
        <v>8167930</v>
      </c>
      <c r="D45" s="24">
        <v>5021535.15</v>
      </c>
      <c r="E45" s="25">
        <f>D45/C45</f>
        <v>0.6147867513556067</v>
      </c>
    </row>
    <row r="46" spans="1:5" ht="22.5" hidden="1">
      <c r="A46" s="33"/>
      <c r="B46" s="26" t="s">
        <v>258</v>
      </c>
      <c r="C46" s="24">
        <v>0</v>
      </c>
      <c r="D46" s="24"/>
      <c r="E46" s="25" t="e">
        <f>D46/C46</f>
        <v>#DIV/0!</v>
      </c>
    </row>
    <row r="47" spans="1:5" ht="14.25" customHeight="1" hidden="1">
      <c r="A47" s="33"/>
      <c r="B47" s="26" t="s">
        <v>259</v>
      </c>
      <c r="C47" s="24"/>
      <c r="D47" s="24"/>
      <c r="E47" s="25" t="e">
        <f>D47/C47</f>
        <v>#DIV/0!</v>
      </c>
    </row>
    <row r="48" spans="1:5" ht="12.75">
      <c r="A48" s="33"/>
      <c r="B48" s="26" t="s">
        <v>260</v>
      </c>
      <c r="C48" s="24">
        <v>4884669</v>
      </c>
      <c r="D48" s="24">
        <v>8419540</v>
      </c>
      <c r="E48" s="25">
        <f>D48/C48</f>
        <v>1.7236664347164568</v>
      </c>
    </row>
    <row r="49" spans="1:5" ht="14.25" customHeight="1" hidden="1">
      <c r="A49" s="33"/>
      <c r="B49" s="26" t="s">
        <v>242</v>
      </c>
      <c r="C49" s="24"/>
      <c r="D49" s="24"/>
      <c r="E49" s="25" t="e">
        <f>D49/C49</f>
        <v>#DIV/0!</v>
      </c>
    </row>
    <row r="50" spans="1:5" ht="14.25" customHeight="1" hidden="1">
      <c r="A50" s="33"/>
      <c r="B50" s="26" t="s">
        <v>243</v>
      </c>
      <c r="C50" s="24"/>
      <c r="D50" s="24"/>
      <c r="E50" s="25" t="e">
        <f>D50/C50</f>
        <v>#DIV/0!</v>
      </c>
    </row>
    <row r="51" spans="1:5" ht="14.25" customHeight="1" hidden="1">
      <c r="A51" s="33"/>
      <c r="B51" s="26" t="s">
        <v>244</v>
      </c>
      <c r="C51" s="24"/>
      <c r="D51" s="24"/>
      <c r="E51" s="25" t="e">
        <f>D51/C51</f>
        <v>#DIV/0!</v>
      </c>
    </row>
    <row r="52" spans="1:5" ht="22.5">
      <c r="A52" s="33"/>
      <c r="B52" s="26" t="s">
        <v>240</v>
      </c>
      <c r="C52" s="24">
        <v>1354220</v>
      </c>
      <c r="D52" s="24">
        <v>1354220</v>
      </c>
      <c r="E52" s="25">
        <f>D52/C52</f>
        <v>1</v>
      </c>
    </row>
    <row r="53" spans="1:5" ht="37.5" customHeight="1">
      <c r="A53" s="33"/>
      <c r="B53" s="26" t="s">
        <v>247</v>
      </c>
      <c r="C53" s="24">
        <v>36900</v>
      </c>
      <c r="D53" s="24">
        <v>36900</v>
      </c>
      <c r="E53" s="25">
        <f>D53/C53</f>
        <v>1</v>
      </c>
    </row>
    <row r="54" spans="1:5" ht="12.75">
      <c r="A54" s="33"/>
      <c r="B54" s="26" t="s">
        <v>261</v>
      </c>
      <c r="C54" s="24">
        <f>3541779+441632</f>
        <v>3983411</v>
      </c>
      <c r="D54" s="24">
        <v>2307733</v>
      </c>
      <c r="E54" s="25">
        <f>D54/C54</f>
        <v>0.5793359008146536</v>
      </c>
    </row>
    <row r="55" spans="1:5" s="2" customFormat="1" ht="22.5">
      <c r="A55" s="33"/>
      <c r="B55" s="26" t="s">
        <v>167</v>
      </c>
      <c r="C55" s="23">
        <v>9000</v>
      </c>
      <c r="D55" s="24">
        <v>0</v>
      </c>
      <c r="E55" s="25">
        <f>D55/C55</f>
        <v>0</v>
      </c>
    </row>
    <row r="56" spans="1:5" ht="33.75" customHeight="1" hidden="1">
      <c r="A56" s="33"/>
      <c r="B56" s="54" t="s">
        <v>262</v>
      </c>
      <c r="C56" s="24"/>
      <c r="D56" s="24"/>
      <c r="E56" s="25" t="e">
        <f>D56/C56</f>
        <v>#DIV/0!</v>
      </c>
    </row>
    <row r="57" spans="1:5" s="2" customFormat="1" ht="15" hidden="1">
      <c r="A57" s="13" t="s">
        <v>169</v>
      </c>
      <c r="B57" s="13"/>
      <c r="C57" s="61">
        <f>SUM(C58:C59)</f>
        <v>0</v>
      </c>
      <c r="D57" s="61">
        <f>SUM(D58:D59)</f>
        <v>0</v>
      </c>
      <c r="E57" s="12" t="e">
        <f>D57/C57</f>
        <v>#DIV/0!</v>
      </c>
    </row>
    <row r="58" spans="1:5" s="2" customFormat="1" ht="12.75" hidden="1">
      <c r="A58" s="33"/>
      <c r="B58" s="34" t="s">
        <v>263</v>
      </c>
      <c r="C58" s="24"/>
      <c r="D58" s="24"/>
      <c r="E58" s="25" t="e">
        <f>D58/C58</f>
        <v>#DIV/0!</v>
      </c>
    </row>
    <row r="59" spans="1:5" s="2" customFormat="1" ht="14.25" customHeight="1" hidden="1">
      <c r="A59" s="33">
        <v>2</v>
      </c>
      <c r="B59" s="62"/>
      <c r="C59" s="24"/>
      <c r="D59" s="24"/>
      <c r="E59" s="25" t="e">
        <f>D59/C59</f>
        <v>#DIV/0!</v>
      </c>
    </row>
    <row r="60" spans="1:5" ht="15">
      <c r="A60" s="65" t="s">
        <v>264</v>
      </c>
      <c r="B60" s="66"/>
      <c r="C60" s="93">
        <f>SUM(C61,C64)</f>
        <v>785807</v>
      </c>
      <c r="D60" s="93">
        <f>SUM(D61,D64)</f>
        <v>770307.48</v>
      </c>
      <c r="E60" s="12">
        <f>D60/C60</f>
        <v>0.9802756656532711</v>
      </c>
    </row>
    <row r="61" spans="1:5" ht="15">
      <c r="A61" s="94"/>
      <c r="B61" s="68" t="s">
        <v>174</v>
      </c>
      <c r="C61" s="95">
        <f>SUM(C62:C63)</f>
        <v>485942</v>
      </c>
      <c r="D61" s="95">
        <f>SUM(D62:D63)</f>
        <v>484741.48</v>
      </c>
      <c r="E61" s="12">
        <f>D61/C61</f>
        <v>0.9975294994052788</v>
      </c>
    </row>
    <row r="62" spans="1:5" ht="15" customHeight="1">
      <c r="A62" s="94"/>
      <c r="B62" s="26" t="s">
        <v>178</v>
      </c>
      <c r="C62" s="24">
        <v>404678</v>
      </c>
      <c r="D62" s="24">
        <v>403477.48</v>
      </c>
      <c r="E62" s="25">
        <f>D62/C62</f>
        <v>0.9970333944518851</v>
      </c>
    </row>
    <row r="63" spans="1:5" ht="15.75" customHeight="1">
      <c r="A63" s="94"/>
      <c r="B63" s="34" t="s">
        <v>265</v>
      </c>
      <c r="C63" s="24">
        <v>81264</v>
      </c>
      <c r="D63" s="24">
        <v>81264</v>
      </c>
      <c r="E63" s="25">
        <f>D63/C63</f>
        <v>1</v>
      </c>
    </row>
    <row r="64" spans="1:5" ht="15.75" customHeight="1">
      <c r="A64" s="96"/>
      <c r="B64" s="18" t="s">
        <v>211</v>
      </c>
      <c r="C64" s="95">
        <f>SUM(C65:C66)</f>
        <v>299865</v>
      </c>
      <c r="D64" s="95">
        <f>SUM(D65:D66)</f>
        <v>285566</v>
      </c>
      <c r="E64" s="12">
        <f>D64/C64</f>
        <v>0.9523152085104963</v>
      </c>
    </row>
    <row r="65" spans="1:5" ht="12.75">
      <c r="A65" s="33"/>
      <c r="B65" s="74" t="s">
        <v>212</v>
      </c>
      <c r="C65" s="24">
        <v>299865</v>
      </c>
      <c r="D65" s="24">
        <v>285566</v>
      </c>
      <c r="E65" s="25">
        <f>D65/C65</f>
        <v>0.9523152085104963</v>
      </c>
    </row>
    <row r="66" spans="1:5" ht="25.5" hidden="1">
      <c r="A66" s="33"/>
      <c r="B66" s="97" t="s">
        <v>266</v>
      </c>
      <c r="C66" s="24"/>
      <c r="D66" s="24"/>
      <c r="E66" s="25" t="e">
        <f>D66/C66</f>
        <v>#DIV/0!</v>
      </c>
    </row>
    <row r="67" spans="1:5" ht="17.25" customHeight="1" hidden="1">
      <c r="A67" s="86"/>
      <c r="B67" s="98"/>
      <c r="C67" s="80">
        <f>SUM('[1]dochody I-VI 2012'!$AD$10)</f>
        <v>40741462.839999996</v>
      </c>
      <c r="D67" s="80">
        <f>SUM('[1]dochody I-VI 2012'!$AD$10)</f>
        <v>40741462.839999996</v>
      </c>
      <c r="E67" s="86"/>
    </row>
    <row r="68" spans="1:5" ht="15.75" customHeight="1" hidden="1">
      <c r="A68" s="86"/>
      <c r="B68" s="98"/>
      <c r="C68" s="80">
        <f>C4-C67</f>
        <v>117758838.16</v>
      </c>
      <c r="D68" s="80">
        <f>D4-D67</f>
        <v>108592669.41999999</v>
      </c>
      <c r="E68" s="86"/>
    </row>
    <row r="69" spans="1:5" ht="6.75" customHeight="1">
      <c r="A69" s="86"/>
      <c r="B69" s="98"/>
      <c r="C69" s="86"/>
      <c r="D69" s="86"/>
      <c r="E69" s="86"/>
    </row>
    <row r="70" spans="1:5" ht="9" customHeight="1">
      <c r="A70" s="86"/>
      <c r="B70" s="98"/>
      <c r="C70" s="86"/>
      <c r="D70" s="86"/>
      <c r="E70" s="86"/>
    </row>
    <row r="71" spans="1:5" ht="22.5" hidden="1">
      <c r="A71" s="83" t="s">
        <v>1</v>
      </c>
      <c r="B71" s="84" t="s">
        <v>2</v>
      </c>
      <c r="C71" s="99" t="s">
        <v>227</v>
      </c>
      <c r="D71" s="6" t="s">
        <v>5</v>
      </c>
      <c r="E71" s="99" t="s">
        <v>4</v>
      </c>
    </row>
    <row r="72" spans="1:5" ht="12.75" hidden="1">
      <c r="A72" s="85">
        <v>1</v>
      </c>
      <c r="B72" s="85">
        <v>2</v>
      </c>
      <c r="C72" s="6">
        <v>3</v>
      </c>
      <c r="D72" s="6">
        <v>4</v>
      </c>
      <c r="E72" s="6">
        <v>5</v>
      </c>
    </row>
    <row r="73" spans="1:5" ht="15">
      <c r="A73" s="100"/>
      <c r="B73" s="101" t="s">
        <v>267</v>
      </c>
      <c r="C73" s="102">
        <f>C4+Bieżące!C4</f>
        <v>1260345791</v>
      </c>
      <c r="D73" s="102">
        <f>Bieżące!D4+Majątkowe!D4</f>
        <v>1200006773.8400002</v>
      </c>
      <c r="E73" s="12">
        <f>D73/C73</f>
        <v>0.9521250298204869</v>
      </c>
    </row>
    <row r="74" spans="3:4" ht="12.75" hidden="1">
      <c r="C74" s="47"/>
      <c r="D74" s="80">
        <v>-1200003620</v>
      </c>
    </row>
    <row r="75" spans="3:4" ht="12.75" hidden="1">
      <c r="C75" s="80">
        <v>-1260345791</v>
      </c>
      <c r="D75" s="80">
        <f>SUM(D73:D74)</f>
        <v>3153.840000152588</v>
      </c>
    </row>
    <row r="76" spans="3:5" ht="12.75" hidden="1">
      <c r="C76" s="103">
        <f>SUM(C73,C75)</f>
        <v>0</v>
      </c>
      <c r="D76" s="103"/>
      <c r="E76" s="103"/>
    </row>
    <row r="77" spans="3:5" ht="12.75" hidden="1">
      <c r="C77" s="103"/>
      <c r="D77" s="103"/>
      <c r="E77" s="103"/>
    </row>
    <row r="78" spans="3:4" s="104" customFormat="1" ht="12.75" hidden="1">
      <c r="C78" s="105"/>
      <c r="D78" s="105"/>
    </row>
    <row r="79" spans="3:5" s="104" customFormat="1" ht="12.75">
      <c r="C79" s="106"/>
      <c r="D79" s="106"/>
      <c r="E79" s="107"/>
    </row>
    <row r="80" spans="3:4" s="104" customFormat="1" ht="12.75">
      <c r="C80" s="105"/>
      <c r="D80" s="105"/>
    </row>
    <row r="81" spans="3:4" s="104" customFormat="1" ht="12.75">
      <c r="C81" s="107"/>
      <c r="D81" s="107"/>
    </row>
    <row r="82" spans="3:4" s="104" customFormat="1" ht="12.75">
      <c r="C82" s="108"/>
      <c r="D82" s="108"/>
    </row>
    <row r="83" spans="3:4" s="104" customFormat="1" ht="12.75">
      <c r="C83" s="105"/>
      <c r="D83" s="105"/>
    </row>
    <row r="84" s="104" customFormat="1" ht="12.75"/>
    <row r="85" s="104" customFormat="1" ht="12.75">
      <c r="B85" s="109"/>
    </row>
    <row r="86" s="104" customFormat="1" ht="12.75"/>
    <row r="87" s="104" customFormat="1" ht="12.75"/>
    <row r="88" spans="3:5" s="104" customFormat="1" ht="12.75">
      <c r="C88" s="105"/>
      <c r="D88" s="105"/>
      <c r="E88" s="105"/>
    </row>
    <row r="89" spans="3:5" s="104" customFormat="1" ht="12.75">
      <c r="C89" s="105"/>
      <c r="D89" s="105"/>
      <c r="E89" s="105"/>
    </row>
    <row r="90" s="104" customFormat="1" ht="12.75"/>
    <row r="91" s="104" customFormat="1" ht="12.75"/>
    <row r="92" spans="3:5" s="104" customFormat="1" ht="12.75">
      <c r="C92" s="110"/>
      <c r="D92" s="110"/>
      <c r="E92" s="111"/>
    </row>
    <row r="93" s="104" customFormat="1" ht="12.75"/>
  </sheetData>
  <mergeCells count="6">
    <mergeCell ref="A60:B60"/>
    <mergeCell ref="A57:B57"/>
    <mergeCell ref="A1:E1"/>
    <mergeCell ref="A4:B4"/>
    <mergeCell ref="A5:B5"/>
    <mergeCell ref="A36:B36"/>
  </mergeCells>
  <printOptions/>
  <pageMargins left="0.67" right="0.17" top="0.3" bottom="0.2362204724409449" header="0.21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kbara</cp:lastModifiedBy>
  <dcterms:created xsi:type="dcterms:W3CDTF">2015-03-31T11:02:42Z</dcterms:created>
  <dcterms:modified xsi:type="dcterms:W3CDTF">2015-03-31T11:04:06Z</dcterms:modified>
  <cp:category/>
  <cp:version/>
  <cp:contentType/>
  <cp:contentStatus/>
</cp:coreProperties>
</file>