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90" windowHeight="12270" activeTab="2"/>
  </bookViews>
  <sheets>
    <sheet name="zał. nr 1" sheetId="1" r:id="rId1"/>
    <sheet name="zał nr 2" sheetId="2" r:id="rId2"/>
    <sheet name="zał. nr 3" sheetId="3" r:id="rId3"/>
  </sheets>
  <externalReferences>
    <externalReference r:id="rId6"/>
  </externalReferences>
  <definedNames>
    <definedName name="_xlnm.Print_Area" localSheetId="1">'zał nr 2'!$A$1:$X$479</definedName>
    <definedName name="_xlnm.Print_Area" localSheetId="0">'zał. nr 1'!$A$1:$AL$472</definedName>
    <definedName name="_xlnm.Print_Titles" localSheetId="1">'zał nr 2'!$4:$6</definedName>
    <definedName name="_xlnm.Print_Titles" localSheetId="0">'zał. nr 1'!$4:$5</definedName>
    <definedName name="_xlnm.Print_Titles" localSheetId="2">'zał. nr 3'!$4:$6</definedName>
  </definedNames>
  <calcPr fullCalcOnLoad="1"/>
</workbook>
</file>

<file path=xl/sharedStrings.xml><?xml version="1.0" encoding="utf-8"?>
<sst xmlns="http://schemas.openxmlformats.org/spreadsheetml/2006/main" count="2119" uniqueCount="236">
  <si>
    <t>LP.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</si>
  <si>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</si>
  <si>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</si>
  <si>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</si>
  <si>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</si>
  <si>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</si>
  <si>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</si>
  <si>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 xml:space="preserve">Dokumentacja przyszłościowa - rozwój proekologicznego transportu publicznego na obszarze metropolitalnym Trójmiasta -                      przygotowanie zadań do realizacji </t>
  </si>
  <si>
    <t xml:space="preserve">Urząd Miasta 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</si>
  <si>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</si>
  <si>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</si>
  <si>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</si>
  <si>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</si>
  <si>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</si>
  <si>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</si>
  <si>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inne bież.</t>
  </si>
  <si>
    <t>środ. inne maj.</t>
  </si>
  <si>
    <t>Ogółem</t>
  </si>
  <si>
    <t>łącznie bieżące</t>
  </si>
  <si>
    <t>łącznie majątkowe</t>
  </si>
  <si>
    <t>Rozwój Komunikacji Rowerowej w aglomeracji Trójmiejskiej oraz budowa ścieżek rowerowych - dokumentacja projektowa, przygotowanie do realizacji - rozbudowa sieci nowoczesnych dróg rowerowych i ograniczenie emisji spalin</t>
  </si>
  <si>
    <t>Wykupy gruntów - przygotowanie zadań do realizacji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</si>
  <si>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</si>
  <si>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</si>
  <si>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</si>
  <si>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środa. was. bież.</t>
  </si>
  <si>
    <t>środa. włas. maj.</t>
  </si>
  <si>
    <t>Udziały Gminy w Porcie Lotniczym Gdynia-Kosakowo oraz w budowie drogi do Portu Lotniczego - udział w realizacji projektu</t>
  </si>
  <si>
    <t>Rozbudowa cmentarzy ZCK - poprawa stanu technicznego obiektów</t>
  </si>
  <si>
    <t>Budowa Gdyńskiego Inkubatora Przedsiębiorczości</t>
  </si>
  <si>
    <t>Budowa oraz przebudowa szkół - rozbudowa infrastruktury oświatowej oraz poprawa stanu technicznego obiektów oświatowych</t>
  </si>
  <si>
    <t>Przebudowa szkół - poprawa stanu technicznego obiektów oświatowych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</si>
  <si>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</si>
  <si>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</si>
  <si>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Lokalne Inicjatywy Inwestycyjne - uzbrojenie terenów pod budownictwo mieszkaniowe</t>
  </si>
  <si>
    <t>Tereny zielone</t>
  </si>
  <si>
    <t>Oświetlenie ulic - poprawa bezpieczeństwa</t>
  </si>
  <si>
    <t>Lokalne Inicjatywy Inwestycyjne - poprawa bezpieczeństwa</t>
  </si>
  <si>
    <t>Zagospodarowanie fragmentu terenu przy ul. Orłowskiej w pobliżu mola</t>
  </si>
  <si>
    <t>Modernizacja Teatru Muzycznego w Gdyni - wkład własny - rozbudowa infrastruktury kulturalnej</t>
  </si>
  <si>
    <t>Rozbudowa, przebudowa, adaptacja i wyposażenie budynku Dworca Morskiego oraz Magazynu Tranzytowego na potrzeby Muzeum Emigracji w Gdyni</t>
  </si>
  <si>
    <t>środ. inne maj. - pożyczka w ramach inicjatywy JESSICA</t>
  </si>
  <si>
    <t>Dokumentacja, wykonanie i instalacja wystawy stałej Muzeum Emigracji</t>
  </si>
  <si>
    <t>Budowa kompleksu sportowego - stadion Oksywie - rozbudowa infrastruktury sportowej</t>
  </si>
  <si>
    <t>Gdyński Ośrodek Sportu i Rekreacji</t>
  </si>
  <si>
    <t>SUMA</t>
  </si>
  <si>
    <t>RÓŻNICE</t>
  </si>
  <si>
    <t xml:space="preserve">bież </t>
  </si>
  <si>
    <t>maj</t>
  </si>
  <si>
    <t>Urząd Miasta</t>
  </si>
  <si>
    <t>Wspieranie zadań z zakresu zajęć opiekuńczo - wychowawczo - dydaktycznych wspomagających rozwój dzieci</t>
  </si>
  <si>
    <t>Wspieranie zadań promujących rozwój dzieci i młodzieży w zakresie nowych technologii</t>
  </si>
  <si>
    <t>Monitoring w dzielnicach</t>
  </si>
  <si>
    <t>Gdynia Aktywna 2011-2013</t>
  </si>
  <si>
    <t>Gdyńska Debata Młodych</t>
  </si>
  <si>
    <t>Centrum informacji i rehabilitacji dla osób niewidomych i niedowidzących</t>
  </si>
  <si>
    <t>Prowadzenie Ośrodka Hipoterapeutycznego</t>
  </si>
  <si>
    <t>Utrzymanie obiektów sportowo - rekreacyjnych - stadion miejski</t>
  </si>
  <si>
    <t>Prowadzenie Poradni Opieki Paliatywnej</t>
  </si>
  <si>
    <t>Akademia Walki z Rakiem</t>
  </si>
  <si>
    <t>Profilaktyka raka jądra</t>
  </si>
  <si>
    <t>Konserwacja bieżąca zieleni miejskiej</t>
  </si>
  <si>
    <t>Zakładanie i urządzanie terenów zieleni</t>
  </si>
  <si>
    <t>Prowadzenie Biura Porad Obywatelskich</t>
  </si>
  <si>
    <t>WFOŚ. bież.</t>
  </si>
  <si>
    <t>MOPS</t>
  </si>
  <si>
    <t>Prowadzenie schroniska z funkcją interwencyjnego punktu noclegowego dla osób w stanie nietrzeźwości</t>
  </si>
  <si>
    <t>Zapewnienie schronienia wraz z opieką dla osób starszych, niepełnosprawnych będących osobami bezdomnymi</t>
  </si>
  <si>
    <t>Wspieranie ubogich mieszkańców Gdyni</t>
  </si>
  <si>
    <t>Prowadzenie aktywizacji społecznej osób po amputacji krtani</t>
  </si>
  <si>
    <t>Prowadzenie centrum informacji dla osób niesłyszących i niedosłyszących</t>
  </si>
  <si>
    <t>Wspieranie rozwoju dzieci niepełnosprawnych i zagrożnych niepełnosprawnością w wieku 0-2 lata</t>
  </si>
  <si>
    <t>Wspieranie rozwoju dzieci niepełnosprawnych i zagrożnych niepełnosprawnością w wieku 3-7 lat</t>
  </si>
  <si>
    <t>Wykonanie ekspertyzy dotyczącej funkcjonowania Eko Doliny Sp. z o.o. w Łężycach, wpływu na stan środowiska oraz jakość życia mieszkańcówistniejącej zabudowy wokół zakładu, a także doraźnych i systemowych metod ograniczenia negatywnego oddziaływania</t>
  </si>
  <si>
    <t>Czynna ochrona gatunkowa roślin - Rosiczki</t>
  </si>
  <si>
    <t>BioBusiness Laboratorium</t>
  </si>
  <si>
    <t xml:space="preserve">Dokumentacja przyszłościowa ul. Waszyngtona - Nowa Węglowa - przygotowanie zadań do realizacji </t>
  </si>
  <si>
    <t>Dokumentacja przyszłościowa (w tym rewitalizacja rejonu Opata Hackiego, Zamenhofa, Chylońskiej i  Komierowskiego)</t>
  </si>
  <si>
    <t>Modernizacja ulic gminnych oraz ul. Przebendowskich - poprawa lokalnego systemu drogowego</t>
  </si>
  <si>
    <t>Wydział</t>
  </si>
  <si>
    <t>OZ</t>
  </si>
  <si>
    <t>Prowadzenie warsztatów młodzieżowych i punktu psychologiczno-pedagogicznego w dzielnicy Gdynia Witomino.</t>
  </si>
  <si>
    <t>Prowadzenie świetlic socjoterapeutycznych</t>
  </si>
  <si>
    <t>Prowadzenie punktu konsultacyjnego dla osób uzależnionych i współuzależnionych.</t>
  </si>
  <si>
    <t>Opieka hospicyjna dla terminalnie i nieuleczalnie chorych</t>
  </si>
  <si>
    <t>Grupy wsparcia i rehabilitacja dla osób z chorobą Alzheimera</t>
  </si>
  <si>
    <t>2012-2014</t>
  </si>
  <si>
    <t>Warto być-program wsparcia i rehabilitacja dla osób z chorobą otępienną oraz ich rodzin i opiekunów”</t>
  </si>
  <si>
    <t>Pomoc dzieciom  z ADHD i ich rodzinom</t>
  </si>
  <si>
    <t>Gdyńska Szkoła Niewydolności Serca</t>
  </si>
  <si>
    <t>SMO</t>
  </si>
  <si>
    <t>Zagospodarowanie Skweru Żeromskiego</t>
  </si>
  <si>
    <t>Ochrona zdrowia i edukacja zdrowotna  w warunkach domowych  dla przewlekle chorych na SM</t>
  </si>
  <si>
    <t>Program profilaktyczny "Kochać i pracować"</t>
  </si>
  <si>
    <t>PB</t>
  </si>
  <si>
    <t>RO</t>
  </si>
  <si>
    <t>Program ochrony przed hałasem</t>
  </si>
  <si>
    <t>RCO</t>
  </si>
  <si>
    <t>PON</t>
  </si>
  <si>
    <t>Utrzymanie sprawności psychicznej i integracja osób chorych na stwardnienie rozsiane (mieszkańców Gdyni)</t>
  </si>
  <si>
    <t>Asysta techniczno - autorska oprogramowania systemu informatycznego obsługi zasobu geodezyjno - kartograficznego i katastru nieruchomości</t>
  </si>
  <si>
    <t>MK</t>
  </si>
  <si>
    <t>Sprzątanie plaż</t>
  </si>
  <si>
    <t>PK</t>
  </si>
  <si>
    <t>MB</t>
  </si>
  <si>
    <t>MN</t>
  </si>
  <si>
    <t>RI</t>
  </si>
  <si>
    <t>Miejskie Centrum Zarządzania Kryzysowego</t>
  </si>
  <si>
    <t>OE</t>
  </si>
  <si>
    <t>Wspieranie zadańz zakresu działań wychowawczych dzieci i młodzieży</t>
  </si>
  <si>
    <t>Wspieranie zadańz zakresu zajęć opiekuńczo - wychowawczo - dydaktycznych wspomagających rozwój dzieci</t>
  </si>
  <si>
    <t>Prowadzenie placówki opiekuńczo-wychowawczej Dom na Klifie</t>
  </si>
  <si>
    <t>Placówka opiekuńczo-wychowawcza</t>
  </si>
  <si>
    <t>Prowadzenie placówki rodzinnej</t>
  </si>
  <si>
    <t>Prowadzenie placówki opiekuńczo-wychowawczej socjoterapeutycznej Dom pod Magnolią</t>
  </si>
  <si>
    <t>Prowadzenie schroniska dla bezdomnych</t>
  </si>
  <si>
    <t>Pomoc dla więźniów opuszczających zakłady karne</t>
  </si>
  <si>
    <t xml:space="preserve">MOPS </t>
  </si>
  <si>
    <t>Prowadzenie banku żywności</t>
  </si>
  <si>
    <t>Najem pomieszczeń dla Pl. Opiekuńczo-Wychowawczej "Dom na Klifie"</t>
  </si>
  <si>
    <t>Najem pomieszczeń dla Pl. Opiekuńczo-Wychowawczej "Dom pod Magnolią"</t>
  </si>
  <si>
    <t>Najem pomieszczeń dla Pl. Opiekuńczo-Wychowawczej Nasza Rodzina Szymankowo</t>
  </si>
  <si>
    <t>Organizacja zajęć dla dzieci i młodzieży zagrożonych uzależnieniem</t>
  </si>
  <si>
    <t>System Informacji Prawnej LEX</t>
  </si>
  <si>
    <t>Świadczenie usług opiekuńczych Fundacja Niesiemy Pomoc</t>
  </si>
  <si>
    <t>Świadczenie usług opiekuńczych Polski Czerwony Krzyż</t>
  </si>
  <si>
    <t>Kolej Metropolitalna - węzły integracyjne przy przystankach</t>
  </si>
  <si>
    <t>Przebudowa dróg powiatowych  - przebudowa oraz poprawa systemu drogowego i układu komunikacji miejskiej</t>
  </si>
  <si>
    <t>UI</t>
  </si>
  <si>
    <t>Ochrona wód Zatoki Gdańskiej - koszty niekwalifikowane eliminowanie zanieczyszczeń wprowadzanych do wód powierzchniowych</t>
  </si>
  <si>
    <t xml:space="preserve">Lokalne Inicjatywy Inwestycyjne </t>
  </si>
  <si>
    <t>Rewitalizacja rejonu Opata Hackiego, Zamenhofa, Chylońskiej i  Komierowskiego</t>
  </si>
  <si>
    <t xml:space="preserve">Muzeum Emigracji </t>
  </si>
  <si>
    <t>Konkurs - Organizowanie Społeczności Lokalnych (Opata Hackiego i Zamenhofa)</t>
  </si>
  <si>
    <t>71095    85154    85395</t>
  </si>
  <si>
    <t>Przebudowa odcinka ul. Bpa Dominika - dojazd do Szkoły Muzycznej</t>
  </si>
  <si>
    <t>Wspieranie międzynarodowych staży i wymian</t>
  </si>
  <si>
    <t>Konserwacja bieżąca zieleni miejskiej - Wykonawstwo terenów zielonych i inwentaryzacja zieleni miejskiej</t>
  </si>
  <si>
    <t>Nakłady poniesione do 31.12.2012</t>
  </si>
  <si>
    <t>Plan 2013</t>
  </si>
  <si>
    <t>Wykonanie za I półrocze 2013</t>
  </si>
  <si>
    <t>Przewidywane wykonanie do końca 2013</t>
  </si>
  <si>
    <t>Łączne wykonanie do 30.06.2013 (kol. 8 +10)</t>
  </si>
  <si>
    <t>Stopień realizacji planu          (kol. 12/6)</t>
  </si>
  <si>
    <t>Informacja o realizacji zadań inwestycyjnych bez udziału środków UE</t>
  </si>
  <si>
    <t>Gdyńskie Centrum Innowacji</t>
  </si>
  <si>
    <t>PD</t>
  </si>
  <si>
    <t>SI</t>
  </si>
  <si>
    <t>MG</t>
  </si>
  <si>
    <t>Załącznik nr 2</t>
  </si>
  <si>
    <t>Informacja o realizacji przedsięwzięć (zadań) z udziałem środków UE</t>
  </si>
  <si>
    <t>LP</t>
  </si>
  <si>
    <t xml:space="preserve">Dział </t>
  </si>
  <si>
    <t>Rozdział</t>
  </si>
  <si>
    <t>do 2010</t>
  </si>
  <si>
    <t>do 2011</t>
  </si>
  <si>
    <t>Nakłady poniesione do 31.12.2012r.</t>
  </si>
  <si>
    <t>Wykonanie za           I półrocze 2013r.</t>
  </si>
  <si>
    <t>Przewidywane wykonanie do końca 2013r.</t>
  </si>
  <si>
    <t>Limit zobowiązań</t>
  </si>
  <si>
    <t>Mój biznes II -  Program Operacyjny Kapitał Ludzki 2007-2013</t>
  </si>
  <si>
    <t>POWIATOWY URZĄD PRACY</t>
  </si>
  <si>
    <t>środ. UE bież.</t>
  </si>
  <si>
    <t>środ. UE maj.</t>
  </si>
  <si>
    <t>TROLLEY - Promoting Electric Public Transport - Program dla Europy Środkowej na lata 2007-2013</t>
  </si>
  <si>
    <t>URZĄD MIASTA GDYNI - WYDZIAŁ INWESTYCJI</t>
  </si>
  <si>
    <t>Rozwój komunikacji rowerowej aglomeracji trójmiejskiej w latach 2007-2013  - Regionalny Program Województwa Pomorskiego na lata 2007-2013</t>
  </si>
  <si>
    <t>Wdrożenie zintegrowanego systemu zarządzania ruchem TRISTAR w Gdańsku, Gdyni i Sopocie - Program Operacyjny Infrastruktura i Środowisko</t>
  </si>
  <si>
    <t>Dokumentacja przyszłościowa I etap - budowa ul. Nowej Węglowej i tunelu pod torami kolejowymi do ul. Morskiej w Gdyni wraz z przebudową istniejącego układu komunikacyjnego</t>
  </si>
  <si>
    <t>"Bothnian Green Logistic Corridor" - Program dla Regionu Morza Bałtyckiego</t>
  </si>
  <si>
    <t>URZĄD MIASTA GDYNI -      BIURO ROZWOJU MIASTA</t>
  </si>
  <si>
    <t>SEGMENT - Program Inteligentna Energia Europa 2007-2013</t>
  </si>
  <si>
    <t>ZARZĄD DRÓG I ZIELENI</t>
  </si>
  <si>
    <t>DYN@MO 50% (DYNamic Citizens @ctive for Mobility) - 7 Program Ramowy (FP7-SST-CIVITAS-2011-MOVE)</t>
  </si>
  <si>
    <t>DYN@MO 75% (DYNamic Citizens @ctive for Mobility) - 7 Program Ramowy (FP7-SST-CIVITAS-2011-MOVE)</t>
  </si>
  <si>
    <t>DYN@MO 100% (DYNamic Citizens @ctive for Mobility) - 7 Program Ramowy (FP7-SST-CIVITAS-2011-MOVE)</t>
  </si>
  <si>
    <t>ENTER.HUB - EFRR, Program URBZCT II</t>
  </si>
  <si>
    <t>CASCADE - Program Inteligentna Energia Europa</t>
  </si>
  <si>
    <t>BIURO PLANOWANIA PRZESTRZENNEGO</t>
  </si>
  <si>
    <t>Pomorski Park Naukowo-Technologiczny - rozbudowa etap 3  -  Program Operacyjny Innowacyjna Gospodarka</t>
  </si>
  <si>
    <t>GDYŃSKIE CENTRUM INNOWACJI</t>
  </si>
  <si>
    <t>Pomorski Park Naukowo-Technologiczny - rozbudowa etap 4  -  Regionalny Program Operacyjny dla Województwa Pomorskiego na lata 2007-2013</t>
  </si>
  <si>
    <t>Promocja innowacyjnego przemysłu modowego w obszarze Morza Błtyckiego - Baltic Fashion - Program Współpracy Transgranicznej Południowy Bałtyk 2007-2013</t>
  </si>
  <si>
    <t>Integracja oraz edukacja studentów, absolwentów i MSP (mikro, małych i srednich przedsiębiorstw) w zakresie zarządzania wzornnictwem przemysłowym DesignEntrepreneurSHIP - Program Współpracy Transgranicznej Południowy Bałtyk 2007-2013</t>
  </si>
  <si>
    <t>Wymiennikownia - innowacyjna przestrzeń współpracy na rzecz młodzieży - Szwajcarsko-Polski Program Współpracy</t>
  </si>
  <si>
    <t>Kurs - Partycypacja! - Szwajcarsko-Polski Program Współpracy</t>
  </si>
  <si>
    <t xml:space="preserve">Dynamika morskiego rynku pracy i atrakcyjne otoczenie miast portowych Południowego Bałtyku (SB Professionalns) - Program Współpracy Transgranicznej Południowy Bałtyk 2007-2013 </t>
  </si>
  <si>
    <t>URZĄD MIASTA GDYNI -WYDZIAŁ POLITYKI GOSPODARCZEJ I NIERUCHOMOŚCI</t>
  </si>
  <si>
    <t>Good governance and cooperation - response to common chalenges in public finance (Dobre zarządzanie i współpraca odpowiedzią na wyzwania w sferze finansów publicznych)  - Program Współpracy Transgranicznej Litwa-Polska-Rosja 2007-2013</t>
  </si>
  <si>
    <t>URZĄD MIASTA GDYNI - WYDZIAŁ INTEGRACJI EUROPEJSKIEJ</t>
  </si>
  <si>
    <t>Rozwój elektronicznych usług publicznych w Gdyni - Regionalny Program Operacyjny dla Województwa Pomorskiego na lata 2007-2013</t>
  </si>
  <si>
    <t>URZĄD MIASTA GDYNI - WYDZIAŁ INFORMATYKI</t>
  </si>
  <si>
    <t>COMENIUS - Program „Uczenie się przez całe życie"  Fundacja Rozwoju Systemu Edukacji</t>
  </si>
  <si>
    <t>ZESPÓŁ SZKÓŁ NR 14</t>
  </si>
  <si>
    <t>COMENIUS (2012-2014) - Program „Uczenie się przez całe życie"  Fundacja Rozwoju Systemu Edukacji</t>
  </si>
  <si>
    <t>GIMNAZJUM NR 1</t>
  </si>
  <si>
    <t>ZESPÓŁ SZKÓŁ NR 12</t>
  </si>
  <si>
    <t xml:space="preserve">ZESPÓŁ SPORTOWYCH SZKÓŁ OGÓLNOKSZTAŁCĄCYCH </t>
  </si>
  <si>
    <t>GIMNAZJUM NR 2</t>
  </si>
  <si>
    <t>ZESPÓŁ SZKÓŁ NR 7</t>
  </si>
  <si>
    <t>ZESPÓŁ SZKÓŁ NR 5</t>
  </si>
  <si>
    <t>ZESPÓŁ SZKÓL ADMINISTRACYJNO- EKONOMICZNYCH</t>
  </si>
  <si>
    <t>Leonardo da Vinci (2012-2014) - Program "Uczenie się przez całe życie" Fundacja Rozwoju Systemu Edukacji</t>
  </si>
  <si>
    <t>ZESPÓŁ SZKÓŁ ADMINISTRACYJNO-EKONOMICZNYCH</t>
  </si>
  <si>
    <t>ZESPÓŁ SZKÓŁ CHŁODNICZYCH I ELEKTRONICZNYCH</t>
  </si>
  <si>
    <t>ZESPÓŁ SZKÓŁ HOTELARSKO-GASTRONOMICZNYCH</t>
  </si>
  <si>
    <t>Przebudowa i rozbudowa Szkoły Muzycznej w Gdyni wraz z zakupem niezbędnego wyposażenia - Program Operacyjny Infrastruktura i Środowisko</t>
  </si>
  <si>
    <t>URZĄD MIASTA GDYNI - WYDZIAŁ BUDYNKÓW</t>
  </si>
  <si>
    <t>Dojrzała Przedsiebiorczość - Innowacyjny model preinkubacji przedsiebiorczej osób 50+ - Program Operacyjny Kapitał Ludzki 2007-2013</t>
  </si>
  <si>
    <t>(Niepełno)Sprawni, Aktywni, Kreatywni - Program Operacyjny Kapitał Ludzki 2007-2013</t>
  </si>
  <si>
    <t>Urzędnik na plus III - program Operacyjny Kapitał Ludzki 2007-2013</t>
  </si>
  <si>
    <t>Laboratorium edukcji - Program Operacyjny Kapitał Ludzki 2007-2013</t>
  </si>
  <si>
    <t>Praktyka czyni mistrza - nowatorski program praktyk na studiach pedagogicznych PWSH - Program Operacyjny Kapitał Ludzki 2007-2013</t>
  </si>
  <si>
    <t>URZĄD MIASTA GDYNI - WYDZIAŁ EDUKACJI</t>
  </si>
  <si>
    <t>"Odkryj moje możliwości" - Wyrównywanie szans edukacyjnych uczniów z grup o utrudnionym dostepie do edukacji oraz zmniejszenie różnic w jakości usług edukacyjnych - Program Operacyjny Kapitał Ludzki 2007-2013</t>
  </si>
  <si>
    <t>Pluszowy Misiaczek - wsparcie najmłodszych gdyńskich przedszkolaków na starcie - Program Operacyjny Kapitał Ludzki 2007-2013</t>
  </si>
  <si>
    <t>Rodzina bliżej siebie - Projekt systemowy - Program Operacyjny Kapitał Ludzki 2007-2013</t>
  </si>
  <si>
    <t>MIEJSKI OŚRODEK POMOCY SPOŁECZNEJ</t>
  </si>
  <si>
    <t>Ochrona wód Zatoki Gdańskiej - budowa i modernizacja systemu odprowadzania wód opadowych w Gdyni Etap I - Program Operacyjny Infrastruktura I Środowisko</t>
  </si>
  <si>
    <t>URZĄD MIASTA GDYNI -WYDZIAŁ INWESTYCJI</t>
  </si>
  <si>
    <t>Budowa małej infrastruktury służącej ochronie przyrody na obszarze rezerwatu Kępa Redłowska w Gdyni - Program Operacyjny Infrastruktura i Środowisko oraz Narodowy Fundusz Ochrony Środowiska i Gospodarki Wodnej</t>
  </si>
  <si>
    <t xml:space="preserve">URZĄD MIASTA GDYNI -      BIURO OGRODNIKA MIASTA </t>
  </si>
  <si>
    <t>Rozbudowa przystani rybackiej w Gdyni - Obłuże - etap I - poprawa warunków bezpieczeństwa i higieny pracy oraz poprawa jakości produktów rybnych pochodzących z połowów w wodach morskich - Program Operacyjny Zrównoważony rozwój sektora rygołówstwa i nabrze</t>
  </si>
  <si>
    <t>Rozbudowa przystani rybackiej w Gdyni - Obłuże - etap II - poprawa warunków bezpieczeństwa i higieny pracy przy wodowaniu i wyciąganiu na brzeg łodzi rybackich - Program Operacyjny Zrównoważony rozwój sektora rygołówstwa i nabrzeznych obszarów rybackich 2</t>
  </si>
  <si>
    <t xml:space="preserve">Rozbudowa przystani rybackiej w Gdyni - Oksywie - etap II - poprawa warunków bezpieczeństwa i higieny pracy przy wodowaniu i wyciąganiu na brzeg łodzi rybackich - Program Operacyjny Zrównoważony rozwój sektora rygołówstwa i nabrzeznych obszarów rybackich </t>
  </si>
  <si>
    <t>PYDOS - Przeciwdziałanie wykluczeniu młodzieży poprzez sport - Program Współpracy Transgranicznej Południowy Bałtyk na lata 2007-2013</t>
  </si>
  <si>
    <t>GDYŃSKI OŚRODEK SPORTU I REKREACJI</t>
  </si>
  <si>
    <t xml:space="preserve">Uwaga: W kol. 11 ujęto przewidywane wykonanie za cały rok 2013 </t>
  </si>
  <si>
    <t>Załącznik nr 3</t>
  </si>
  <si>
    <t>Załącznik nr 1</t>
  </si>
  <si>
    <t>Informacja o  wykonaniu umów, których realizacja w roku budżetowym i w latach następnych jest niezbędna dla zapewnienia ciągłości działania jednostki i których płatności przypadają w okresie dłuższym niż rok</t>
  </si>
  <si>
    <t>Łącznie nakłady do 30.06.2013r. (kol. 9+11)</t>
  </si>
  <si>
    <t>Stopień realizacji planu w %                                   (kol. 13/7)</t>
  </si>
  <si>
    <t xml:space="preserve">Uwaga: W kol. 12 ujęto przewidywane wykonanie za cały rok 2013 </t>
  </si>
  <si>
    <t>Łączne wykonanie do 30.06.2013 (kol. 8 + 9)</t>
  </si>
  <si>
    <t>Stopień realizacji planu          (kol. 11/6)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</si>
</sst>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"/>
    <numFmt numFmtId="170" formatCode="#,##0.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0.0%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#,##0\ &quot;zł&quot;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57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9">
    <xf numFmtId="0" fontId="0" fillId="0" borderId="0" xfId="0" applyAlignment="1">
      <alignment/>
    </xf>
    <xf numFmtId="3" fontId="22" fillId="0" borderId="10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 applyProtection="1">
      <alignment/>
      <protection locked="0"/>
    </xf>
    <xf numFmtId="3" fontId="22" fillId="0" borderId="12" xfId="0" applyNumberFormat="1" applyFont="1" applyFill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17" xfId="0" applyNumberFormat="1" applyFont="1" applyFill="1" applyBorder="1" applyAlignment="1" applyProtection="1">
      <alignment/>
      <protection locked="0"/>
    </xf>
    <xf numFmtId="3" fontId="2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3" fontId="26" fillId="0" borderId="21" xfId="0" applyNumberFormat="1" applyFont="1" applyFill="1" applyBorder="1" applyAlignment="1" applyProtection="1">
      <alignment/>
      <protection locked="0"/>
    </xf>
    <xf numFmtId="3" fontId="26" fillId="0" borderId="12" xfId="0" applyNumberFormat="1" applyFont="1" applyFill="1" applyBorder="1" applyAlignment="1" applyProtection="1">
      <alignment/>
      <protection locked="0"/>
    </xf>
    <xf numFmtId="3" fontId="26" fillId="0" borderId="22" xfId="0" applyNumberFormat="1" applyFont="1" applyFill="1" applyBorder="1" applyAlignment="1" applyProtection="1">
      <alignment/>
      <protection locked="0"/>
    </xf>
    <xf numFmtId="0" fontId="26" fillId="0" borderId="23" xfId="0" applyFont="1" applyFill="1" applyBorder="1" applyAlignment="1">
      <alignment vertical="center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3" fontId="26" fillId="0" borderId="16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0" fontId="25" fillId="0" borderId="23" xfId="0" applyFont="1" applyFill="1" applyBorder="1" applyAlignment="1">
      <alignment vertical="center"/>
    </xf>
    <xf numFmtId="0" fontId="25" fillId="0" borderId="23" xfId="0" applyFont="1" applyFill="1" applyBorder="1" applyAlignment="1" applyProtection="1">
      <alignment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" fontId="26" fillId="0" borderId="25" xfId="0" applyNumberFormat="1" applyFont="1" applyFill="1" applyBorder="1" applyAlignment="1" applyProtection="1">
      <alignment/>
      <protection locked="0"/>
    </xf>
    <xf numFmtId="3" fontId="26" fillId="0" borderId="26" xfId="0" applyNumberFormat="1" applyFont="1" applyFill="1" applyBorder="1" applyAlignment="1" applyProtection="1">
      <alignment/>
      <protection locked="0"/>
    </xf>
    <xf numFmtId="3" fontId="22" fillId="0" borderId="27" xfId="0" applyNumberFormat="1" applyFont="1" applyFill="1" applyBorder="1" applyAlignment="1">
      <alignment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Fill="1" applyBorder="1" applyProtection="1">
      <alignment/>
      <protection locked="0"/>
    </xf>
    <xf numFmtId="3" fontId="20" fillId="0" borderId="10" xfId="0" applyNumberFormat="1" applyFont="1" applyFill="1" applyBorder="1" applyAlignment="1" applyProtection="1">
      <alignment/>
      <protection locked="0"/>
    </xf>
    <xf numFmtId="3" fontId="20" fillId="0" borderId="21" xfId="0" applyNumberFormat="1" applyFont="1" applyFill="1" applyBorder="1" applyAlignment="1" applyProtection="1">
      <alignment/>
      <protection locked="0"/>
    </xf>
    <xf numFmtId="3" fontId="20" fillId="0" borderId="14" xfId="0" applyNumberFormat="1" applyFont="1" applyFill="1" applyBorder="1" applyAlignment="1" applyProtection="1">
      <alignment/>
      <protection locked="0"/>
    </xf>
    <xf numFmtId="3" fontId="20" fillId="0" borderId="12" xfId="0" applyNumberFormat="1" applyFont="1" applyFill="1" applyBorder="1" applyAlignment="1" applyProtection="1">
      <alignment/>
      <protection locked="0"/>
    </xf>
    <xf numFmtId="3" fontId="20" fillId="0" borderId="19" xfId="0" applyNumberFormat="1" applyFont="1" applyFill="1" applyBorder="1" applyAlignment="1" applyProtection="1">
      <alignment/>
      <protection locked="0"/>
    </xf>
    <xf numFmtId="3" fontId="20" fillId="0" borderId="22" xfId="0" applyNumberFormat="1" applyFont="1" applyFill="1" applyBorder="1" applyAlignment="1" applyProtection="1">
      <alignment/>
      <protection locked="0"/>
    </xf>
    <xf numFmtId="0" fontId="20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22" fillId="0" borderId="10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 applyProtection="1">
      <alignment/>
      <protection locked="0"/>
    </xf>
    <xf numFmtId="3" fontId="22" fillId="0" borderId="19" xfId="0" applyNumberFormat="1" applyFont="1" applyFill="1" applyBorder="1" applyAlignment="1" applyProtection="1">
      <alignment/>
      <protection locked="0"/>
    </xf>
    <xf numFmtId="3" fontId="20" fillId="0" borderId="26" xfId="0" applyNumberFormat="1" applyFont="1" applyFill="1" applyBorder="1" applyAlignment="1" applyProtection="1">
      <alignment/>
      <protection locked="0"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3" fontId="22" fillId="0" borderId="16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>
      <alignment/>
    </xf>
    <xf numFmtId="3" fontId="22" fillId="0" borderId="34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center"/>
    </xf>
    <xf numFmtId="3" fontId="20" fillId="0" borderId="36" xfId="0" applyNumberFormat="1" applyFont="1" applyFill="1" applyBorder="1" applyAlignment="1" applyProtection="1">
      <alignment/>
      <protection locked="0"/>
    </xf>
    <xf numFmtId="3" fontId="22" fillId="0" borderId="10" xfId="52" applyNumberFormat="1" applyFont="1" applyFill="1" applyBorder="1" applyAlignment="1">
      <alignment vertical="center"/>
      <protection/>
    </xf>
    <xf numFmtId="3" fontId="22" fillId="0" borderId="0" xfId="0" applyNumberFormat="1" applyFont="1" applyFill="1" applyBorder="1" applyAlignment="1" applyProtection="1">
      <alignment/>
      <protection locked="0"/>
    </xf>
    <xf numFmtId="3" fontId="22" fillId="0" borderId="14" xfId="52" applyNumberFormat="1" applyFont="1" applyFill="1" applyBorder="1" applyAlignment="1">
      <alignment vertical="center"/>
      <protection/>
    </xf>
    <xf numFmtId="3" fontId="22" fillId="0" borderId="0" xfId="0" applyNumberFormat="1" applyFont="1" applyFill="1" applyBorder="1" applyAlignment="1">
      <alignment/>
    </xf>
    <xf numFmtId="3" fontId="22" fillId="0" borderId="15" xfId="52" applyNumberFormat="1" applyFont="1" applyFill="1" applyBorder="1" applyAlignment="1">
      <alignment vertical="center"/>
      <protection/>
    </xf>
    <xf numFmtId="0" fontId="20" fillId="0" borderId="10" xfId="52" applyFont="1" applyFill="1" applyBorder="1">
      <alignment/>
      <protection/>
    </xf>
    <xf numFmtId="3" fontId="20" fillId="0" borderId="21" xfId="52" applyNumberFormat="1" applyFont="1" applyFill="1" applyBorder="1" applyProtection="1">
      <alignment/>
      <protection locked="0"/>
    </xf>
    <xf numFmtId="3" fontId="22" fillId="0" borderId="21" xfId="52" applyNumberFormat="1" applyFont="1" applyFill="1" applyBorder="1" applyProtection="1">
      <alignment/>
      <protection locked="0"/>
    </xf>
    <xf numFmtId="3" fontId="22" fillId="0" borderId="11" xfId="52" applyNumberFormat="1" applyFont="1" applyFill="1" applyBorder="1" applyProtection="1">
      <alignment/>
      <protection locked="0"/>
    </xf>
    <xf numFmtId="0" fontId="0" fillId="0" borderId="0" xfId="52" applyFill="1">
      <alignment/>
      <protection/>
    </xf>
    <xf numFmtId="0" fontId="20" fillId="0" borderId="14" xfId="52" applyFont="1" applyFill="1" applyBorder="1">
      <alignment/>
      <protection/>
    </xf>
    <xf numFmtId="3" fontId="20" fillId="0" borderId="14" xfId="52" applyNumberFormat="1" applyFont="1" applyFill="1" applyBorder="1" applyProtection="1">
      <alignment/>
      <protection locked="0"/>
    </xf>
    <xf numFmtId="3" fontId="20" fillId="0" borderId="12" xfId="52" applyNumberFormat="1" applyFont="1" applyFill="1" applyBorder="1" applyProtection="1">
      <alignment/>
      <protection locked="0"/>
    </xf>
    <xf numFmtId="3" fontId="22" fillId="0" borderId="12" xfId="52" applyNumberFormat="1" applyFont="1" applyFill="1" applyBorder="1" applyProtection="1">
      <alignment/>
      <protection locked="0"/>
    </xf>
    <xf numFmtId="3" fontId="22" fillId="0" borderId="13" xfId="52" applyNumberFormat="1" applyFont="1" applyFill="1" applyBorder="1" applyProtection="1">
      <alignment/>
      <protection locked="0"/>
    </xf>
    <xf numFmtId="3" fontId="22" fillId="0" borderId="14" xfId="52" applyNumberFormat="1" applyFont="1" applyFill="1" applyBorder="1">
      <alignment/>
      <protection/>
    </xf>
    <xf numFmtId="3" fontId="22" fillId="0" borderId="12" xfId="52" applyNumberFormat="1" applyFont="1" applyFill="1" applyBorder="1">
      <alignment/>
      <protection/>
    </xf>
    <xf numFmtId="3" fontId="22" fillId="0" borderId="13" xfId="52" applyNumberFormat="1" applyFont="1" applyFill="1" applyBorder="1">
      <alignment/>
      <protection/>
    </xf>
    <xf numFmtId="0" fontId="20" fillId="0" borderId="15" xfId="52" applyFont="1" applyFill="1" applyBorder="1">
      <alignment/>
      <protection/>
    </xf>
    <xf numFmtId="3" fontId="22" fillId="0" borderId="15" xfId="52" applyNumberFormat="1" applyFont="1" applyFill="1" applyBorder="1">
      <alignment/>
      <protection/>
    </xf>
    <xf numFmtId="3" fontId="22" fillId="0" borderId="16" xfId="52" applyNumberFormat="1" applyFont="1" applyFill="1" applyBorder="1">
      <alignment/>
      <protection/>
    </xf>
    <xf numFmtId="3" fontId="22" fillId="0" borderId="37" xfId="52" applyNumberFormat="1" applyFont="1" applyFill="1" applyBorder="1">
      <alignment/>
      <protection/>
    </xf>
    <xf numFmtId="0" fontId="22" fillId="0" borderId="10" xfId="52" applyFont="1" applyFill="1" applyBorder="1">
      <alignment/>
      <protection/>
    </xf>
    <xf numFmtId="0" fontId="22" fillId="0" borderId="14" xfId="52" applyFont="1" applyFill="1" applyBorder="1">
      <alignment/>
      <protection/>
    </xf>
    <xf numFmtId="0" fontId="22" fillId="0" borderId="15" xfId="52" applyFont="1" applyFill="1" applyBorder="1">
      <alignment/>
      <protection/>
    </xf>
    <xf numFmtId="0" fontId="22" fillId="0" borderId="19" xfId="52" applyFont="1" applyFill="1" applyBorder="1">
      <alignment/>
      <protection/>
    </xf>
    <xf numFmtId="3" fontId="20" fillId="0" borderId="22" xfId="52" applyNumberFormat="1" applyFont="1" applyFill="1" applyBorder="1" applyProtection="1">
      <alignment/>
      <protection locked="0"/>
    </xf>
    <xf numFmtId="3" fontId="22" fillId="0" borderId="17" xfId="52" applyNumberFormat="1" applyFont="1" applyFill="1" applyBorder="1" applyProtection="1">
      <alignment/>
      <protection locked="0"/>
    </xf>
    <xf numFmtId="3" fontId="22" fillId="0" borderId="18" xfId="52" applyNumberFormat="1" applyFont="1" applyFill="1" applyBorder="1">
      <alignment/>
      <protection/>
    </xf>
    <xf numFmtId="0" fontId="22" fillId="0" borderId="14" xfId="52" applyFont="1" applyFill="1" applyBorder="1" applyAlignment="1">
      <alignment horizontal="left"/>
      <protection/>
    </xf>
    <xf numFmtId="3" fontId="20" fillId="0" borderId="19" xfId="52" applyNumberFormat="1" applyFont="1" applyFill="1" applyBorder="1" applyProtection="1">
      <alignment/>
      <protection locked="0"/>
    </xf>
    <xf numFmtId="0" fontId="25" fillId="0" borderId="31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3" fontId="0" fillId="0" borderId="0" xfId="52" applyNumberFormat="1" applyFill="1">
      <alignment/>
      <protection/>
    </xf>
    <xf numFmtId="0" fontId="21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3" fontId="22" fillId="0" borderId="19" xfId="52" applyNumberFormat="1" applyFont="1" applyFill="1" applyBorder="1" applyAlignment="1">
      <alignment vertical="center"/>
      <protection/>
    </xf>
    <xf numFmtId="0" fontId="20" fillId="0" borderId="39" xfId="0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39" xfId="0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 applyProtection="1">
      <alignment/>
      <protection locked="0"/>
    </xf>
    <xf numFmtId="3" fontId="22" fillId="0" borderId="43" xfId="0" applyNumberFormat="1" applyFont="1" applyFill="1" applyBorder="1" applyAlignment="1" applyProtection="1">
      <alignment/>
      <protection locked="0"/>
    </xf>
    <xf numFmtId="3" fontId="22" fillId="0" borderId="43" xfId="0" applyNumberFormat="1" applyFont="1" applyFill="1" applyBorder="1" applyAlignment="1">
      <alignment/>
    </xf>
    <xf numFmtId="3" fontId="22" fillId="0" borderId="44" xfId="0" applyNumberFormat="1" applyFont="1" applyFill="1" applyBorder="1" applyAlignment="1">
      <alignment/>
    </xf>
    <xf numFmtId="3" fontId="22" fillId="0" borderId="45" xfId="0" applyNumberFormat="1" applyFont="1" applyFill="1" applyBorder="1" applyAlignment="1" applyProtection="1">
      <alignment/>
      <protection locked="0"/>
    </xf>
    <xf numFmtId="3" fontId="22" fillId="0" borderId="42" xfId="52" applyNumberFormat="1" applyFont="1" applyFill="1" applyBorder="1" applyProtection="1">
      <alignment/>
      <protection locked="0"/>
    </xf>
    <xf numFmtId="3" fontId="22" fillId="0" borderId="43" xfId="52" applyNumberFormat="1" applyFont="1" applyFill="1" applyBorder="1" applyProtection="1">
      <alignment/>
      <protection locked="0"/>
    </xf>
    <xf numFmtId="3" fontId="22" fillId="0" borderId="43" xfId="52" applyNumberFormat="1" applyFont="1" applyFill="1" applyBorder="1">
      <alignment/>
      <protection/>
    </xf>
    <xf numFmtId="3" fontId="22" fillId="0" borderId="44" xfId="52" applyNumberFormat="1" applyFont="1" applyFill="1" applyBorder="1">
      <alignment/>
      <protection/>
    </xf>
    <xf numFmtId="3" fontId="22" fillId="0" borderId="46" xfId="0" applyNumberFormat="1" applyFont="1" applyFill="1" applyBorder="1" applyAlignment="1">
      <alignment/>
    </xf>
    <xf numFmtId="3" fontId="22" fillId="0" borderId="45" xfId="52" applyNumberFormat="1" applyFont="1" applyFill="1" applyBorder="1" applyProtection="1">
      <alignment/>
      <protection locked="0"/>
    </xf>
    <xf numFmtId="3" fontId="20" fillId="0" borderId="25" xfId="0" applyNumberFormat="1" applyFont="1" applyFill="1" applyBorder="1" applyAlignment="1" applyProtection="1">
      <alignment/>
      <protection locked="0"/>
    </xf>
    <xf numFmtId="179" fontId="22" fillId="0" borderId="26" xfId="57" applyNumberFormat="1" applyFont="1" applyFill="1" applyBorder="1" applyAlignment="1">
      <alignment/>
    </xf>
    <xf numFmtId="3" fontId="20" fillId="0" borderId="47" xfId="0" applyNumberFormat="1" applyFont="1" applyFill="1" applyBorder="1" applyAlignment="1" applyProtection="1">
      <alignment/>
      <protection locked="0"/>
    </xf>
    <xf numFmtId="3" fontId="20" fillId="0" borderId="48" xfId="0" applyNumberFormat="1" applyFont="1" applyFill="1" applyBorder="1" applyAlignment="1" applyProtection="1">
      <alignment/>
      <protection locked="0"/>
    </xf>
    <xf numFmtId="3" fontId="20" fillId="0" borderId="49" xfId="0" applyNumberFormat="1" applyFont="1" applyFill="1" applyBorder="1" applyAlignment="1" applyProtection="1">
      <alignment/>
      <protection locked="0"/>
    </xf>
    <xf numFmtId="3" fontId="22" fillId="0" borderId="50" xfId="0" applyNumberFormat="1" applyFont="1" applyFill="1" applyBorder="1" applyAlignment="1">
      <alignment/>
    </xf>
    <xf numFmtId="3" fontId="22" fillId="0" borderId="51" xfId="0" applyNumberFormat="1" applyFont="1" applyFill="1" applyBorder="1" applyAlignment="1">
      <alignment/>
    </xf>
    <xf numFmtId="3" fontId="22" fillId="0" borderId="48" xfId="0" applyNumberFormat="1" applyFont="1" applyFill="1" applyBorder="1" applyAlignment="1" applyProtection="1">
      <alignment/>
      <protection locked="0"/>
    </xf>
    <xf numFmtId="3" fontId="20" fillId="0" borderId="11" xfId="0" applyNumberFormat="1" applyFont="1" applyFill="1" applyBorder="1" applyAlignment="1" applyProtection="1">
      <alignment/>
      <protection locked="0"/>
    </xf>
    <xf numFmtId="3" fontId="20" fillId="0" borderId="13" xfId="0" applyNumberFormat="1" applyFont="1" applyFill="1" applyBorder="1" applyAlignment="1" applyProtection="1">
      <alignment/>
      <protection locked="0"/>
    </xf>
    <xf numFmtId="3" fontId="22" fillId="0" borderId="52" xfId="0" applyNumberFormat="1" applyFont="1" applyFill="1" applyBorder="1" applyAlignment="1">
      <alignment/>
    </xf>
    <xf numFmtId="179" fontId="22" fillId="0" borderId="14" xfId="57" applyNumberFormat="1" applyFont="1" applyFill="1" applyBorder="1" applyAlignment="1">
      <alignment/>
    </xf>
    <xf numFmtId="179" fontId="22" fillId="0" borderId="15" xfId="57" applyNumberFormat="1" applyFont="1" applyFill="1" applyBorder="1" applyAlignment="1">
      <alignment/>
    </xf>
    <xf numFmtId="179" fontId="22" fillId="0" borderId="24" xfId="57" applyNumberFormat="1" applyFont="1" applyFill="1" applyBorder="1" applyAlignment="1">
      <alignment/>
    </xf>
    <xf numFmtId="3" fontId="22" fillId="0" borderId="37" xfId="0" applyNumberFormat="1" applyFont="1" applyFill="1" applyBorder="1" applyAlignment="1" applyProtection="1">
      <alignment/>
      <protection locked="0"/>
    </xf>
    <xf numFmtId="3" fontId="26" fillId="0" borderId="42" xfId="0" applyNumberFormat="1" applyFont="1" applyFill="1" applyBorder="1" applyAlignment="1" applyProtection="1">
      <alignment/>
      <protection locked="0"/>
    </xf>
    <xf numFmtId="3" fontId="26" fillId="0" borderId="43" xfId="0" applyNumberFormat="1" applyFont="1" applyFill="1" applyBorder="1" applyAlignment="1" applyProtection="1">
      <alignment/>
      <protection locked="0"/>
    </xf>
    <xf numFmtId="3" fontId="26" fillId="0" borderId="44" xfId="0" applyNumberFormat="1" applyFont="1" applyFill="1" applyBorder="1" applyAlignment="1" applyProtection="1">
      <alignment/>
      <protection locked="0"/>
    </xf>
    <xf numFmtId="0" fontId="20" fillId="0" borderId="53" xfId="0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 applyProtection="1">
      <alignment/>
      <protection locked="0"/>
    </xf>
    <xf numFmtId="3" fontId="20" fillId="0" borderId="11" xfId="52" applyNumberFormat="1" applyFont="1" applyFill="1" applyBorder="1" applyProtection="1">
      <alignment/>
      <protection locked="0"/>
    </xf>
    <xf numFmtId="3" fontId="20" fillId="0" borderId="13" xfId="52" applyNumberFormat="1" applyFont="1" applyFill="1" applyBorder="1" applyProtection="1">
      <alignment/>
      <protection locked="0"/>
    </xf>
    <xf numFmtId="3" fontId="20" fillId="0" borderId="17" xfId="52" applyNumberFormat="1" applyFont="1" applyFill="1" applyBorder="1" applyProtection="1">
      <alignment/>
      <protection locked="0"/>
    </xf>
    <xf numFmtId="3" fontId="20" fillId="24" borderId="21" xfId="0" applyNumberFormat="1" applyFont="1" applyFill="1" applyBorder="1" applyAlignment="1" applyProtection="1">
      <alignment/>
      <protection locked="0"/>
    </xf>
    <xf numFmtId="0" fontId="24" fillId="22" borderId="0" xfId="0" applyFont="1" applyFill="1" applyAlignment="1">
      <alignment horizontal="center"/>
    </xf>
    <xf numFmtId="0" fontId="22" fillId="22" borderId="39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 applyProtection="1">
      <alignment horizontal="center" vertical="center" wrapText="1"/>
      <protection locked="0"/>
    </xf>
    <xf numFmtId="0" fontId="20" fillId="22" borderId="29" xfId="0" applyFont="1" applyFill="1" applyBorder="1" applyAlignment="1" applyProtection="1">
      <alignment horizontal="center" vertical="center" wrapText="1"/>
      <protection locked="0"/>
    </xf>
    <xf numFmtId="0" fontId="20" fillId="22" borderId="30" xfId="0" applyFont="1" applyFill="1" applyBorder="1" applyAlignment="1" applyProtection="1">
      <alignment horizontal="center" vertical="center" wrapText="1"/>
      <protection locked="0"/>
    </xf>
    <xf numFmtId="0" fontId="20" fillId="22" borderId="28" xfId="52" applyFont="1" applyFill="1" applyBorder="1" applyAlignment="1" applyProtection="1">
      <alignment horizontal="center" vertical="center" wrapText="1"/>
      <protection locked="0"/>
    </xf>
    <xf numFmtId="0" fontId="20" fillId="22" borderId="29" xfId="52" applyFont="1" applyFill="1" applyBorder="1" applyAlignment="1" applyProtection="1">
      <alignment horizontal="center" vertical="center" wrapText="1"/>
      <protection locked="0"/>
    </xf>
    <xf numFmtId="0" fontId="20" fillId="22" borderId="30" xfId="52" applyFont="1" applyFill="1" applyBorder="1" applyAlignment="1" applyProtection="1">
      <alignment horizontal="center" vertical="center" wrapText="1"/>
      <protection locked="0"/>
    </xf>
    <xf numFmtId="0" fontId="22" fillId="22" borderId="28" xfId="52" applyFont="1" applyFill="1" applyBorder="1" applyAlignment="1" applyProtection="1">
      <alignment horizontal="center" vertical="center" wrapText="1"/>
      <protection locked="0"/>
    </xf>
    <xf numFmtId="0" fontId="22" fillId="22" borderId="29" xfId="52" applyFont="1" applyFill="1" applyBorder="1" applyAlignment="1" applyProtection="1">
      <alignment horizontal="center" vertical="center" wrapText="1"/>
      <protection locked="0"/>
    </xf>
    <xf numFmtId="0" fontId="22" fillId="22" borderId="30" xfId="52" applyFont="1" applyFill="1" applyBorder="1" applyAlignment="1" applyProtection="1">
      <alignment horizontal="center" vertical="center" wrapText="1"/>
      <protection locked="0"/>
    </xf>
    <xf numFmtId="0" fontId="25" fillId="22" borderId="23" xfId="0" applyFont="1" applyFill="1" applyBorder="1" applyAlignment="1" applyProtection="1">
      <alignment horizontal="center" vertical="center" wrapText="1"/>
      <protection locked="0"/>
    </xf>
    <xf numFmtId="0" fontId="25" fillId="22" borderId="0" xfId="0" applyFont="1" applyFill="1" applyBorder="1" applyAlignment="1" applyProtection="1">
      <alignment horizontal="center" vertical="center" wrapText="1"/>
      <protection locked="0"/>
    </xf>
    <xf numFmtId="3" fontId="22" fillId="10" borderId="10" xfId="0" applyNumberFormat="1" applyFont="1" applyFill="1" applyBorder="1" applyAlignment="1">
      <alignment vertical="center"/>
    </xf>
    <xf numFmtId="0" fontId="20" fillId="10" borderId="10" xfId="0" applyFont="1" applyFill="1" applyBorder="1" applyAlignment="1">
      <alignment/>
    </xf>
    <xf numFmtId="3" fontId="22" fillId="10" borderId="10" xfId="0" applyNumberFormat="1" applyFont="1" applyFill="1" applyBorder="1" applyAlignment="1" applyProtection="1">
      <alignment/>
      <protection locked="0"/>
    </xf>
    <xf numFmtId="3" fontId="20" fillId="10" borderId="21" xfId="0" applyNumberFormat="1" applyFont="1" applyFill="1" applyBorder="1" applyAlignment="1" applyProtection="1">
      <alignment/>
      <protection locked="0"/>
    </xf>
    <xf numFmtId="3" fontId="20" fillId="10" borderId="47" xfId="0" applyNumberFormat="1" applyFont="1" applyFill="1" applyBorder="1" applyAlignment="1" applyProtection="1">
      <alignment/>
      <protection locked="0"/>
    </xf>
    <xf numFmtId="3" fontId="20" fillId="10" borderId="10" xfId="0" applyNumberFormat="1" applyFont="1" applyFill="1" applyBorder="1" applyAlignment="1" applyProtection="1">
      <alignment/>
      <protection locked="0"/>
    </xf>
    <xf numFmtId="0" fontId="20" fillId="10" borderId="14" xfId="0" applyFont="1" applyFill="1" applyBorder="1" applyAlignment="1">
      <alignment/>
    </xf>
    <xf numFmtId="3" fontId="20" fillId="10" borderId="14" xfId="0" applyNumberFormat="1" applyFont="1" applyFill="1" applyBorder="1" applyAlignment="1" applyProtection="1">
      <alignment/>
      <protection locked="0"/>
    </xf>
    <xf numFmtId="3" fontId="20" fillId="10" borderId="12" xfId="0" applyNumberFormat="1" applyFont="1" applyFill="1" applyBorder="1" applyAlignment="1" applyProtection="1">
      <alignment/>
      <protection locked="0"/>
    </xf>
    <xf numFmtId="3" fontId="20" fillId="10" borderId="48" xfId="0" applyNumberFormat="1" applyFont="1" applyFill="1" applyBorder="1" applyAlignment="1" applyProtection="1">
      <alignment/>
      <protection locked="0"/>
    </xf>
    <xf numFmtId="3" fontId="22" fillId="10" borderId="14" xfId="0" applyNumberFormat="1" applyFont="1" applyFill="1" applyBorder="1" applyAlignment="1" applyProtection="1">
      <alignment/>
      <protection locked="0"/>
    </xf>
    <xf numFmtId="3" fontId="22" fillId="10" borderId="14" xfId="0" applyNumberFormat="1" applyFont="1" applyFill="1" applyBorder="1" applyAlignment="1">
      <alignment vertical="center"/>
    </xf>
    <xf numFmtId="3" fontId="22" fillId="10" borderId="14" xfId="0" applyNumberFormat="1" applyFont="1" applyFill="1" applyBorder="1" applyAlignment="1">
      <alignment/>
    </xf>
    <xf numFmtId="3" fontId="22" fillId="10" borderId="12" xfId="0" applyNumberFormat="1" applyFont="1" applyFill="1" applyBorder="1" applyAlignment="1">
      <alignment/>
    </xf>
    <xf numFmtId="3" fontId="22" fillId="10" borderId="13" xfId="0" applyNumberFormat="1" applyFont="1" applyFill="1" applyBorder="1" applyAlignment="1">
      <alignment/>
    </xf>
    <xf numFmtId="179" fontId="22" fillId="10" borderId="14" xfId="57" applyNumberFormat="1" applyFont="1" applyFill="1" applyBorder="1" applyAlignment="1">
      <alignment/>
    </xf>
    <xf numFmtId="3" fontId="22" fillId="10" borderId="15" xfId="0" applyNumberFormat="1" applyFont="1" applyFill="1" applyBorder="1" applyAlignment="1">
      <alignment vertical="center"/>
    </xf>
    <xf numFmtId="0" fontId="20" fillId="10" borderId="15" xfId="0" applyFont="1" applyFill="1" applyBorder="1" applyAlignment="1">
      <alignment/>
    </xf>
    <xf numFmtId="3" fontId="22" fillId="10" borderId="15" xfId="0" applyNumberFormat="1" applyFont="1" applyFill="1" applyBorder="1" applyAlignment="1">
      <alignment/>
    </xf>
    <xf numFmtId="3" fontId="22" fillId="10" borderId="16" xfId="0" applyNumberFormat="1" applyFont="1" applyFill="1" applyBorder="1" applyAlignment="1">
      <alignment/>
    </xf>
    <xf numFmtId="3" fontId="22" fillId="10" borderId="37" xfId="0" applyNumberFormat="1" applyFont="1" applyFill="1" applyBorder="1" applyAlignment="1">
      <alignment/>
    </xf>
    <xf numFmtId="179" fontId="22" fillId="10" borderId="15" xfId="57" applyNumberFormat="1" applyFont="1" applyFill="1" applyBorder="1" applyAlignment="1">
      <alignment/>
    </xf>
    <xf numFmtId="3" fontId="20" fillId="24" borderId="12" xfId="0" applyNumberFormat="1" applyFont="1" applyFill="1" applyBorder="1" applyAlignment="1" applyProtection="1">
      <alignment/>
      <protection locked="0"/>
    </xf>
    <xf numFmtId="3" fontId="22" fillId="24" borderId="12" xfId="0" applyNumberFormat="1" applyFont="1" applyFill="1" applyBorder="1" applyAlignment="1">
      <alignment/>
    </xf>
    <xf numFmtId="3" fontId="20" fillId="24" borderId="21" xfId="52" applyNumberFormat="1" applyFont="1" applyFill="1" applyBorder="1" applyProtection="1">
      <alignment/>
      <protection locked="0"/>
    </xf>
    <xf numFmtId="3" fontId="20" fillId="24" borderId="12" xfId="52" applyNumberFormat="1" applyFont="1" applyFill="1" applyBorder="1" applyProtection="1">
      <alignment/>
      <protection locked="0"/>
    </xf>
    <xf numFmtId="3" fontId="22" fillId="24" borderId="12" xfId="52" applyNumberFormat="1" applyFont="1" applyFill="1" applyBorder="1">
      <alignment/>
      <protection/>
    </xf>
    <xf numFmtId="3" fontId="22" fillId="24" borderId="16" xfId="52" applyNumberFormat="1" applyFont="1" applyFill="1" applyBorder="1">
      <alignment/>
      <protection/>
    </xf>
    <xf numFmtId="3" fontId="22" fillId="24" borderId="16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 applyProtection="1">
      <alignment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>
      <alignment vertical="center"/>
    </xf>
    <xf numFmtId="0" fontId="20" fillId="0" borderId="28" xfId="0" applyFont="1" applyFill="1" applyBorder="1" applyAlignment="1" applyProtection="1">
      <alignment vertical="center" wrapText="1"/>
      <protection locked="0"/>
    </xf>
    <xf numFmtId="0" fontId="20" fillId="0" borderId="29" xfId="0" applyFont="1" applyFill="1" applyBorder="1" applyAlignment="1" applyProtection="1">
      <alignment vertical="center" wrapText="1"/>
      <protection locked="0"/>
    </xf>
    <xf numFmtId="0" fontId="20" fillId="0" borderId="30" xfId="0" applyFont="1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28" xfId="52" applyFont="1" applyFill="1" applyBorder="1" applyAlignment="1" applyProtection="1">
      <alignment horizontal="center"/>
      <protection locked="0"/>
    </xf>
    <xf numFmtId="0" fontId="20" fillId="0" borderId="19" xfId="52" applyFont="1" applyFill="1" applyBorder="1" applyAlignment="1" applyProtection="1">
      <alignment horizontal="center"/>
      <protection locked="0"/>
    </xf>
    <xf numFmtId="0" fontId="20" fillId="22" borderId="28" xfId="0" applyFont="1" applyFill="1" applyBorder="1" applyAlignment="1">
      <alignment horizontal="center" vertical="center" wrapText="1"/>
    </xf>
    <xf numFmtId="0" fontId="20" fillId="22" borderId="3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center"/>
      <protection locked="0"/>
    </xf>
    <xf numFmtId="0" fontId="20" fillId="0" borderId="29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35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31" xfId="0" applyNumberFormat="1" applyFont="1" applyFill="1" applyBorder="1" applyAlignment="1" applyProtection="1">
      <alignment/>
      <protection locked="0"/>
    </xf>
    <xf numFmtId="3" fontId="22" fillId="0" borderId="21" xfId="0" applyNumberFormat="1" applyFont="1" applyFill="1" applyBorder="1" applyAlignment="1" applyProtection="1">
      <alignment/>
      <protection locked="0"/>
    </xf>
    <xf numFmtId="3" fontId="22" fillId="0" borderId="36" xfId="0" applyNumberFormat="1" applyFont="1" applyFill="1" applyBorder="1" applyAlignment="1" applyProtection="1">
      <alignment/>
      <protection locked="0"/>
    </xf>
    <xf numFmtId="179" fontId="22" fillId="0" borderId="57" xfId="0" applyNumberFormat="1" applyFont="1" applyFill="1" applyBorder="1" applyAlignment="1" applyProtection="1">
      <alignment/>
      <protection locked="0"/>
    </xf>
    <xf numFmtId="0" fontId="22" fillId="0" borderId="14" xfId="0" applyFont="1" applyFill="1" applyBorder="1" applyAlignment="1">
      <alignment/>
    </xf>
    <xf numFmtId="3" fontId="22" fillId="0" borderId="32" xfId="0" applyNumberFormat="1" applyFont="1" applyFill="1" applyBorder="1" applyAlignment="1" applyProtection="1">
      <alignment/>
      <protection locked="0"/>
    </xf>
    <xf numFmtId="0" fontId="20" fillId="0" borderId="30" xfId="52" applyFont="1" applyFill="1" applyBorder="1" applyAlignment="1" applyProtection="1">
      <alignment horizontal="center"/>
      <protection locked="0"/>
    </xf>
    <xf numFmtId="3" fontId="22" fillId="0" borderId="22" xfId="0" applyNumberFormat="1" applyFont="1" applyFill="1" applyBorder="1" applyAlignment="1" applyProtection="1">
      <alignment/>
      <protection locked="0"/>
    </xf>
    <xf numFmtId="3" fontId="22" fillId="0" borderId="58" xfId="0" applyNumberFormat="1" applyFont="1" applyFill="1" applyBorder="1" applyAlignment="1" applyProtection="1">
      <alignment/>
      <protection locked="0"/>
    </xf>
    <xf numFmtId="179" fontId="22" fillId="0" borderId="26" xfId="0" applyNumberFormat="1" applyFont="1" applyFill="1" applyBorder="1" applyAlignment="1" applyProtection="1">
      <alignment/>
      <protection locked="0"/>
    </xf>
    <xf numFmtId="3" fontId="22" fillId="0" borderId="32" xfId="0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3" fontId="22" fillId="0" borderId="33" xfId="0" applyNumberFormat="1" applyFont="1" applyFill="1" applyBorder="1" applyAlignment="1">
      <alignment/>
    </xf>
    <xf numFmtId="3" fontId="22" fillId="0" borderId="59" xfId="0" applyNumberFormat="1" applyFont="1" applyFill="1" applyBorder="1" applyAlignment="1" applyProtection="1">
      <alignment/>
      <protection locked="0"/>
    </xf>
    <xf numFmtId="3" fontId="22" fillId="0" borderId="27" xfId="0" applyNumberFormat="1" applyFont="1" applyFill="1" applyBorder="1" applyAlignment="1" applyProtection="1">
      <alignment/>
      <protection locked="0"/>
    </xf>
    <xf numFmtId="3" fontId="22" fillId="0" borderId="44" xfId="0" applyNumberFormat="1" applyFont="1" applyFill="1" applyBorder="1" applyAlignment="1" applyProtection="1">
      <alignment/>
      <protection locked="0"/>
    </xf>
    <xf numFmtId="179" fontId="22" fillId="0" borderId="24" xfId="0" applyNumberFormat="1" applyFont="1" applyFill="1" applyBorder="1" applyAlignment="1" applyProtection="1">
      <alignment/>
      <protection locked="0"/>
    </xf>
    <xf numFmtId="3" fontId="22" fillId="0" borderId="31" xfId="54" applyNumberFormat="1" applyFont="1" applyFill="1" applyBorder="1" applyProtection="1">
      <alignment/>
      <protection locked="0"/>
    </xf>
    <xf numFmtId="179" fontId="22" fillId="0" borderId="25" xfId="0" applyNumberFormat="1" applyFont="1" applyFill="1" applyBorder="1" applyAlignment="1" applyProtection="1">
      <alignment/>
      <protection locked="0"/>
    </xf>
    <xf numFmtId="3" fontId="22" fillId="0" borderId="32" xfId="54" applyNumberFormat="1" applyFont="1" applyFill="1" applyBorder="1" applyProtection="1">
      <alignment/>
      <protection locked="0"/>
    </xf>
    <xf numFmtId="3" fontId="22" fillId="0" borderId="32" xfId="54" applyNumberFormat="1" applyFont="1" applyFill="1" applyBorder="1">
      <alignment/>
      <protection/>
    </xf>
    <xf numFmtId="3" fontId="22" fillId="0" borderId="33" xfId="54" applyNumberFormat="1" applyFont="1" applyFill="1" applyBorder="1">
      <alignment/>
      <protection/>
    </xf>
    <xf numFmtId="3" fontId="22" fillId="0" borderId="18" xfId="0" applyNumberFormat="1" applyFont="1" applyFill="1" applyBorder="1" applyAlignment="1" applyProtection="1">
      <alignment/>
      <protection locked="0"/>
    </xf>
    <xf numFmtId="179" fontId="22" fillId="0" borderId="60" xfId="0" applyNumberFormat="1" applyFont="1" applyFill="1" applyBorder="1" applyAlignment="1" applyProtection="1">
      <alignment/>
      <protection locked="0"/>
    </xf>
    <xf numFmtId="179" fontId="22" fillId="0" borderId="61" xfId="0" applyNumberFormat="1" applyFont="1" applyFill="1" applyBorder="1" applyAlignment="1" applyProtection="1">
      <alignment/>
      <protection locked="0"/>
    </xf>
    <xf numFmtId="3" fontId="22" fillId="0" borderId="25" xfId="0" applyNumberFormat="1" applyFont="1" applyFill="1" applyBorder="1" applyAlignment="1" applyProtection="1">
      <alignment/>
      <protection locked="0"/>
    </xf>
    <xf numFmtId="3" fontId="22" fillId="0" borderId="26" xfId="0" applyNumberFormat="1" applyFont="1" applyFill="1" applyBorder="1" applyAlignment="1" applyProtection="1">
      <alignment/>
      <protection locked="0"/>
    </xf>
    <xf numFmtId="3" fontId="22" fillId="0" borderId="26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217" fontId="22" fillId="0" borderId="11" xfId="0" applyNumberFormat="1" applyFont="1" applyFill="1" applyBorder="1" applyAlignment="1" applyProtection="1">
      <alignment/>
      <protection locked="0"/>
    </xf>
    <xf numFmtId="217" fontId="22" fillId="0" borderId="13" xfId="0" applyNumberFormat="1" applyFont="1" applyFill="1" applyBorder="1" applyAlignment="1" applyProtection="1">
      <alignment/>
      <protection locked="0"/>
    </xf>
    <xf numFmtId="217" fontId="22" fillId="0" borderId="13" xfId="0" applyNumberFormat="1" applyFont="1" applyFill="1" applyBorder="1" applyAlignment="1">
      <alignment/>
    </xf>
    <xf numFmtId="217" fontId="22" fillId="0" borderId="37" xfId="0" applyNumberFormat="1" applyFont="1" applyFill="1" applyBorder="1" applyAlignment="1">
      <alignment/>
    </xf>
    <xf numFmtId="3" fontId="22" fillId="0" borderId="12" xfId="53" applyNumberFormat="1" applyFont="1" applyFill="1" applyBorder="1" applyProtection="1">
      <alignment/>
      <protection locked="0"/>
    </xf>
    <xf numFmtId="3" fontId="22" fillId="0" borderId="62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22" fillId="0" borderId="12" xfId="54" applyNumberFormat="1" applyFont="1" applyFill="1" applyBorder="1" applyProtection="1">
      <alignment/>
      <protection locked="0"/>
    </xf>
    <xf numFmtId="3" fontId="22" fillId="0" borderId="10" xfId="54" applyNumberFormat="1" applyFont="1" applyFill="1" applyBorder="1" applyAlignment="1">
      <alignment vertical="center"/>
      <protection/>
    </xf>
    <xf numFmtId="0" fontId="22" fillId="0" borderId="10" xfId="54" applyFont="1" applyFill="1" applyBorder="1">
      <alignment/>
      <protection/>
    </xf>
    <xf numFmtId="3" fontId="22" fillId="0" borderId="21" xfId="54" applyNumberFormat="1" applyFont="1" applyFill="1" applyBorder="1" applyProtection="1">
      <alignment/>
      <protection locked="0"/>
    </xf>
    <xf numFmtId="3" fontId="22" fillId="0" borderId="22" xfId="54" applyNumberFormat="1" applyFont="1" applyFill="1" applyBorder="1" applyProtection="1">
      <alignment/>
      <protection locked="0"/>
    </xf>
    <xf numFmtId="3" fontId="22" fillId="0" borderId="17" xfId="54" applyNumberFormat="1" applyFont="1" applyFill="1" applyBorder="1" applyProtection="1">
      <alignment/>
      <protection locked="0"/>
    </xf>
    <xf numFmtId="179" fontId="22" fillId="0" borderId="25" xfId="54" applyNumberFormat="1" applyFont="1" applyFill="1" applyBorder="1" applyAlignment="1" applyProtection="1">
      <alignment/>
      <protection locked="0"/>
    </xf>
    <xf numFmtId="0" fontId="22" fillId="0" borderId="14" xfId="54" applyFont="1" applyFill="1" applyBorder="1">
      <alignment/>
      <protection/>
    </xf>
    <xf numFmtId="3" fontId="22" fillId="0" borderId="13" xfId="54" applyNumberFormat="1" applyFont="1" applyFill="1" applyBorder="1" applyProtection="1">
      <alignment/>
      <protection locked="0"/>
    </xf>
    <xf numFmtId="179" fontId="22" fillId="0" borderId="26" xfId="54" applyNumberFormat="1" applyFont="1" applyFill="1" applyBorder="1" applyAlignment="1" applyProtection="1">
      <alignment/>
      <protection locked="0"/>
    </xf>
    <xf numFmtId="3" fontId="22" fillId="0" borderId="14" xfId="54" applyNumberFormat="1" applyFont="1" applyFill="1" applyBorder="1" applyAlignment="1">
      <alignment vertical="center"/>
      <protection/>
    </xf>
    <xf numFmtId="3" fontId="22" fillId="0" borderId="12" xfId="54" applyNumberFormat="1" applyFont="1" applyFill="1" applyBorder="1">
      <alignment/>
      <protection/>
    </xf>
    <xf numFmtId="3" fontId="22" fillId="0" borderId="13" xfId="54" applyNumberFormat="1" applyFont="1" applyFill="1" applyBorder="1">
      <alignment/>
      <protection/>
    </xf>
    <xf numFmtId="0" fontId="22" fillId="0" borderId="15" xfId="54" applyFont="1" applyFill="1" applyBorder="1">
      <alignment/>
      <protection/>
    </xf>
    <xf numFmtId="3" fontId="22" fillId="0" borderId="16" xfId="54" applyNumberFormat="1" applyFont="1" applyFill="1" applyBorder="1">
      <alignment/>
      <protection/>
    </xf>
    <xf numFmtId="3" fontId="22" fillId="0" borderId="18" xfId="54" applyNumberFormat="1" applyFont="1" applyFill="1" applyBorder="1">
      <alignment/>
      <protection/>
    </xf>
    <xf numFmtId="3" fontId="22" fillId="0" borderId="51" xfId="54" applyNumberFormat="1" applyFont="1" applyFill="1" applyBorder="1">
      <alignment/>
      <protection/>
    </xf>
    <xf numFmtId="179" fontId="22" fillId="0" borderId="24" xfId="54" applyNumberFormat="1" applyFont="1" applyFill="1" applyBorder="1" applyAlignment="1" applyProtection="1">
      <alignment/>
      <protection locked="0"/>
    </xf>
    <xf numFmtId="3" fontId="22" fillId="0" borderId="11" xfId="54" applyNumberFormat="1" applyFont="1" applyFill="1" applyBorder="1" applyProtection="1">
      <alignment/>
      <protection locked="0"/>
    </xf>
    <xf numFmtId="3" fontId="22" fillId="0" borderId="37" xfId="54" applyNumberFormat="1" applyFont="1" applyFill="1" applyBorder="1">
      <alignment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2" fillId="0" borderId="39" xfId="0" applyFont="1" applyFill="1" applyBorder="1" applyAlignment="1">
      <alignment horizontal="center"/>
    </xf>
    <xf numFmtId="3" fontId="22" fillId="0" borderId="31" xfId="0" applyNumberFormat="1" applyFont="1" applyFill="1" applyBorder="1" applyAlignment="1" applyProtection="1">
      <alignment/>
      <protection locked="0"/>
    </xf>
    <xf numFmtId="3" fontId="22" fillId="0" borderId="21" xfId="0" applyNumberFormat="1" applyFont="1" applyFill="1" applyBorder="1" applyAlignment="1" applyProtection="1">
      <alignment/>
      <protection locked="0"/>
    </xf>
    <xf numFmtId="3" fontId="22" fillId="0" borderId="32" xfId="0" applyNumberFormat="1" applyFont="1" applyFill="1" applyBorder="1" applyAlignment="1" applyProtection="1">
      <alignment/>
      <protection locked="0"/>
    </xf>
    <xf numFmtId="3" fontId="22" fillId="0" borderId="12" xfId="0" applyNumberFormat="1" applyFont="1" applyFill="1" applyBorder="1" applyAlignment="1" applyProtection="1">
      <alignment/>
      <protection locked="0"/>
    </xf>
    <xf numFmtId="3" fontId="22" fillId="0" borderId="32" xfId="0" applyNumberFormat="1" applyFont="1" applyFill="1" applyBorder="1" applyAlignment="1">
      <alignment/>
    </xf>
    <xf numFmtId="3" fontId="22" fillId="0" borderId="33" xfId="0" applyNumberFormat="1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/>
      <protection locked="0"/>
    </xf>
    <xf numFmtId="3" fontId="22" fillId="0" borderId="12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64" xfId="0" applyNumberFormat="1" applyFont="1" applyFill="1" applyBorder="1" applyAlignment="1" applyProtection="1">
      <alignment/>
      <protection locked="0"/>
    </xf>
    <xf numFmtId="3" fontId="22" fillId="0" borderId="22" xfId="0" applyNumberFormat="1" applyFont="1" applyFill="1" applyBorder="1" applyAlignment="1" applyProtection="1">
      <alignment/>
      <protection locked="0"/>
    </xf>
    <xf numFmtId="3" fontId="22" fillId="0" borderId="65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22" fillId="0" borderId="64" xfId="54" applyNumberFormat="1" applyFont="1" applyFill="1" applyBorder="1" applyProtection="1">
      <alignment/>
      <protection locked="0"/>
    </xf>
    <xf numFmtId="3" fontId="22" fillId="0" borderId="22" xfId="54" applyNumberFormat="1" applyFont="1" applyFill="1" applyBorder="1" applyProtection="1">
      <alignment/>
      <protection locked="0"/>
    </xf>
    <xf numFmtId="3" fontId="22" fillId="0" borderId="32" xfId="54" applyNumberFormat="1" applyFont="1" applyFill="1" applyBorder="1" applyProtection="1">
      <alignment/>
      <protection locked="0"/>
    </xf>
    <xf numFmtId="3" fontId="22" fillId="0" borderId="12" xfId="54" applyNumberFormat="1" applyFont="1" applyFill="1" applyBorder="1" applyProtection="1">
      <alignment/>
      <protection locked="0"/>
    </xf>
    <xf numFmtId="3" fontId="22" fillId="0" borderId="32" xfId="54" applyNumberFormat="1" applyFont="1" applyFill="1" applyBorder="1">
      <alignment/>
      <protection/>
    </xf>
    <xf numFmtId="3" fontId="22" fillId="0" borderId="12" xfId="54" applyNumberFormat="1" applyFont="1" applyFill="1" applyBorder="1">
      <alignment/>
      <protection/>
    </xf>
    <xf numFmtId="3" fontId="22" fillId="0" borderId="65" xfId="54" applyNumberFormat="1" applyFont="1" applyFill="1" applyBorder="1">
      <alignment/>
      <protection/>
    </xf>
    <xf numFmtId="3" fontId="22" fillId="0" borderId="18" xfId="54" applyNumberFormat="1" applyFont="1" applyFill="1" applyBorder="1">
      <alignment/>
      <protection/>
    </xf>
    <xf numFmtId="3" fontId="22" fillId="0" borderId="31" xfId="54" applyNumberFormat="1" applyFont="1" applyFill="1" applyBorder="1" applyProtection="1">
      <alignment/>
      <protection locked="0"/>
    </xf>
    <xf numFmtId="3" fontId="22" fillId="0" borderId="21" xfId="54" applyNumberFormat="1" applyFont="1" applyFill="1" applyBorder="1" applyProtection="1">
      <alignment/>
      <protection locked="0"/>
    </xf>
    <xf numFmtId="3" fontId="22" fillId="0" borderId="33" xfId="54" applyNumberFormat="1" applyFont="1" applyFill="1" applyBorder="1">
      <alignment/>
      <protection/>
    </xf>
    <xf numFmtId="3" fontId="22" fillId="0" borderId="16" xfId="54" applyNumberFormat="1" applyFont="1" applyFill="1" applyBorder="1">
      <alignment/>
      <protection/>
    </xf>
    <xf numFmtId="3" fontId="2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5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38" xfId="0" applyFont="1" applyBorder="1" applyAlignment="1">
      <alignment horizontal="center" vertical="center" wrapText="1"/>
    </xf>
    <xf numFmtId="3" fontId="22" fillId="0" borderId="20" xfId="52" applyNumberFormat="1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vertical="center"/>
      <protection/>
    </xf>
    <xf numFmtId="3" fontId="26" fillId="0" borderId="66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22" fillId="0" borderId="29" xfId="52" applyFont="1" applyFill="1" applyBorder="1" applyAlignment="1">
      <alignment horizontal="center" vertical="center"/>
      <protection/>
    </xf>
    <xf numFmtId="0" fontId="20" fillId="0" borderId="29" xfId="52" applyFont="1" applyFill="1" applyBorder="1" applyAlignment="1" applyProtection="1">
      <alignment vertical="center" wrapText="1"/>
      <protection locked="0"/>
    </xf>
    <xf numFmtId="0" fontId="20" fillId="0" borderId="30" xfId="52" applyFont="1" applyFill="1" applyBorder="1" applyAlignment="1" applyProtection="1">
      <alignment vertical="center" wrapText="1"/>
      <protection locked="0"/>
    </xf>
    <xf numFmtId="0" fontId="20" fillId="0" borderId="29" xfId="52" applyFont="1" applyFill="1" applyBorder="1" applyAlignment="1" applyProtection="1">
      <alignment horizontal="center" vertical="center"/>
      <protection locked="0"/>
    </xf>
    <xf numFmtId="0" fontId="20" fillId="0" borderId="30" xfId="52" applyFont="1" applyFill="1" applyBorder="1" applyAlignment="1" applyProtection="1">
      <alignment horizontal="center" vertical="center"/>
      <protection locked="0"/>
    </xf>
    <xf numFmtId="0" fontId="20" fillId="0" borderId="29" xfId="52" applyFont="1" applyFill="1" applyBorder="1" applyAlignment="1" applyProtection="1">
      <alignment horizontal="center" vertical="center" wrapText="1"/>
      <protection locked="0"/>
    </xf>
    <xf numFmtId="0" fontId="22" fillId="0" borderId="28" xfId="52" applyFont="1" applyFill="1" applyBorder="1" applyAlignment="1">
      <alignment horizontal="center" vertical="center"/>
      <protection/>
    </xf>
    <xf numFmtId="0" fontId="22" fillId="0" borderId="30" xfId="52" applyFont="1" applyFill="1" applyBorder="1" applyAlignment="1">
      <alignment horizontal="center" vertical="center"/>
      <protection/>
    </xf>
    <xf numFmtId="0" fontId="20" fillId="0" borderId="28" xfId="52" applyFont="1" applyFill="1" applyBorder="1" applyAlignment="1" applyProtection="1">
      <alignment vertical="center" wrapText="1"/>
      <protection locked="0"/>
    </xf>
    <xf numFmtId="0" fontId="20" fillId="0" borderId="28" xfId="52" applyFont="1" applyFill="1" applyBorder="1" applyAlignment="1" applyProtection="1">
      <alignment horizontal="center" vertical="center"/>
      <protection locked="0"/>
    </xf>
    <xf numFmtId="0" fontId="20" fillId="0" borderId="28" xfId="52" applyFont="1" applyFill="1" applyBorder="1" applyAlignment="1" applyProtection="1">
      <alignment horizontal="center" vertical="center" wrapText="1"/>
      <protection locked="0"/>
    </xf>
    <xf numFmtId="0" fontId="20" fillId="0" borderId="30" xfId="52" applyFont="1" applyFill="1" applyBorder="1" applyAlignment="1" applyProtection="1">
      <alignment horizontal="center" vertical="center" wrapText="1"/>
      <protection locked="0"/>
    </xf>
    <xf numFmtId="0" fontId="20" fillId="0" borderId="20" xfId="52" applyFont="1" applyFill="1" applyBorder="1" applyAlignment="1" applyProtection="1">
      <alignment horizontal="center"/>
      <protection locked="0"/>
    </xf>
    <xf numFmtId="0" fontId="20" fillId="0" borderId="29" xfId="52" applyFont="1" applyFill="1" applyBorder="1" applyAlignment="1" applyProtection="1">
      <alignment horizontal="center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2" fillId="0" borderId="6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 wrapText="1"/>
    </xf>
    <xf numFmtId="0" fontId="21" fillId="0" borderId="39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0" fillId="0" borderId="68" xfId="0" applyFont="1" applyFill="1" applyBorder="1" applyAlignment="1" applyProtection="1">
      <alignment horizontal="center" vertical="center" wrapText="1"/>
      <protection locked="0"/>
    </xf>
    <xf numFmtId="49" fontId="20" fillId="0" borderId="28" xfId="52" applyNumberFormat="1" applyFont="1" applyFill="1" applyBorder="1" applyAlignment="1" applyProtection="1">
      <alignment horizontal="center" vertical="center"/>
      <protection locked="0"/>
    </xf>
    <xf numFmtId="49" fontId="20" fillId="0" borderId="29" xfId="52" applyNumberFormat="1" applyFont="1" applyFill="1" applyBorder="1" applyAlignment="1" applyProtection="1">
      <alignment horizontal="center" vertical="center"/>
      <protection locked="0"/>
    </xf>
    <xf numFmtId="49" fontId="20" fillId="0" borderId="3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/>
      <protection locked="0"/>
    </xf>
    <xf numFmtId="0" fontId="22" fillId="0" borderId="29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vertical="center" wrapText="1"/>
      <protection locked="0"/>
    </xf>
    <xf numFmtId="0" fontId="22" fillId="0" borderId="29" xfId="0" applyFont="1" applyFill="1" applyBorder="1" applyAlignment="1" applyProtection="1">
      <alignment vertical="center" wrapText="1"/>
      <protection locked="0"/>
    </xf>
    <xf numFmtId="0" fontId="22" fillId="0" borderId="30" xfId="0" applyFont="1" applyFill="1" applyBorder="1" applyAlignment="1" applyProtection="1">
      <alignment vertical="center" wrapText="1"/>
      <protection locked="0"/>
    </xf>
    <xf numFmtId="3" fontId="22" fillId="0" borderId="57" xfId="0" applyNumberFormat="1" applyFont="1" applyFill="1" applyBorder="1" applyAlignment="1" applyProtection="1">
      <alignment horizontal="center" vertical="center"/>
      <protection locked="0"/>
    </xf>
    <xf numFmtId="3" fontId="22" fillId="0" borderId="66" xfId="0" applyNumberFormat="1" applyFont="1" applyFill="1" applyBorder="1" applyAlignment="1" applyProtection="1">
      <alignment horizontal="center" vertical="center"/>
      <protection locked="0"/>
    </xf>
    <xf numFmtId="3" fontId="22" fillId="0" borderId="69" xfId="0" applyNumberFormat="1" applyFont="1" applyFill="1" applyBorder="1" applyAlignment="1" applyProtection="1">
      <alignment horizontal="center" vertical="center"/>
      <protection locked="0"/>
    </xf>
    <xf numFmtId="3" fontId="22" fillId="0" borderId="20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30" xfId="0" applyFont="1" applyFill="1" applyBorder="1" applyAlignment="1" applyProtection="1">
      <alignment horizontal="center"/>
      <protection locked="0"/>
    </xf>
    <xf numFmtId="3" fontId="22" fillId="0" borderId="29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0" fontId="22" fillId="0" borderId="28" xfId="0" applyFont="1" applyFill="1" applyBorder="1" applyAlignment="1" applyProtection="1">
      <alignment horizontal="left" vertical="center" wrapText="1"/>
      <protection locked="0"/>
    </xf>
    <xf numFmtId="0" fontId="22" fillId="0" borderId="29" xfId="0" applyFont="1" applyFill="1" applyBorder="1" applyAlignment="1" applyProtection="1">
      <alignment horizontal="left" vertical="center" wrapText="1"/>
      <protection locked="0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0" fontId="22" fillId="0" borderId="28" xfId="54" applyFont="1" applyFill="1" applyBorder="1" applyAlignment="1" applyProtection="1">
      <alignment horizontal="center"/>
      <protection locked="0"/>
    </xf>
    <xf numFmtId="0" fontId="22" fillId="0" borderId="29" xfId="54" applyFont="1" applyFill="1" applyBorder="1" applyAlignment="1" applyProtection="1">
      <alignment horizontal="center"/>
      <protection locked="0"/>
    </xf>
    <xf numFmtId="0" fontId="22" fillId="0" borderId="19" xfId="54" applyFont="1" applyFill="1" applyBorder="1" applyAlignment="1" applyProtection="1">
      <alignment horizontal="center"/>
      <protection locked="0"/>
    </xf>
    <xf numFmtId="3" fontId="22" fillId="0" borderId="20" xfId="54" applyNumberFormat="1" applyFont="1" applyFill="1" applyBorder="1" applyAlignment="1">
      <alignment vertical="center"/>
      <protection/>
    </xf>
    <xf numFmtId="3" fontId="22" fillId="0" borderId="19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 applyProtection="1">
      <alignment horizontal="center"/>
      <protection locked="0"/>
    </xf>
    <xf numFmtId="0" fontId="22" fillId="0" borderId="30" xfId="54" applyFont="1" applyFill="1" applyBorder="1" applyAlignment="1" applyProtection="1">
      <alignment horizontal="center"/>
      <protection locked="0"/>
    </xf>
    <xf numFmtId="3" fontId="22" fillId="0" borderId="29" xfId="54" applyNumberFormat="1" applyFont="1" applyFill="1" applyBorder="1" applyAlignment="1">
      <alignment vertical="center"/>
      <protection/>
    </xf>
    <xf numFmtId="3" fontId="22" fillId="0" borderId="30" xfId="54" applyNumberFormat="1" applyFont="1" applyFill="1" applyBorder="1" applyAlignment="1">
      <alignment vertical="center"/>
      <protection/>
    </xf>
    <xf numFmtId="0" fontId="22" fillId="0" borderId="28" xfId="54" applyFont="1" applyFill="1" applyBorder="1" applyAlignment="1">
      <alignment horizontal="center" vertical="center"/>
      <protection/>
    </xf>
    <xf numFmtId="0" fontId="22" fillId="0" borderId="29" xfId="54" applyFont="1" applyFill="1" applyBorder="1" applyAlignment="1">
      <alignment horizontal="center" vertical="center"/>
      <protection/>
    </xf>
    <xf numFmtId="0" fontId="22" fillId="0" borderId="30" xfId="54" applyFont="1" applyFill="1" applyBorder="1" applyAlignment="1">
      <alignment horizontal="center" vertical="center"/>
      <protection/>
    </xf>
    <xf numFmtId="0" fontId="22" fillId="0" borderId="28" xfId="54" applyFont="1" applyFill="1" applyBorder="1" applyAlignment="1" applyProtection="1">
      <alignment vertical="center" wrapText="1"/>
      <protection locked="0"/>
    </xf>
    <xf numFmtId="0" fontId="22" fillId="0" borderId="29" xfId="54" applyFont="1" applyFill="1" applyBorder="1" applyAlignment="1" applyProtection="1">
      <alignment vertical="center" wrapText="1"/>
      <protection locked="0"/>
    </xf>
    <xf numFmtId="0" fontId="22" fillId="0" borderId="30" xfId="54" applyFont="1" applyFill="1" applyBorder="1" applyAlignment="1" applyProtection="1">
      <alignment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/>
    </xf>
    <xf numFmtId="3" fontId="22" fillId="0" borderId="29" xfId="0" applyNumberFormat="1" applyFont="1" applyFill="1" applyBorder="1" applyAlignment="1">
      <alignment horizontal="right" vertical="center"/>
    </xf>
    <xf numFmtId="3" fontId="22" fillId="0" borderId="30" xfId="0" applyNumberFormat="1" applyFont="1" applyFill="1" applyBorder="1" applyAlignment="1">
      <alignment horizontal="right" vertical="center"/>
    </xf>
    <xf numFmtId="0" fontId="22" fillId="0" borderId="28" xfId="54" applyFont="1" applyFill="1" applyBorder="1" applyAlignment="1" applyProtection="1">
      <alignment horizontal="center" vertical="center" wrapText="1"/>
      <protection locked="0"/>
    </xf>
    <xf numFmtId="0" fontId="22" fillId="0" borderId="29" xfId="54" applyFont="1" applyFill="1" applyBorder="1" applyAlignment="1" applyProtection="1">
      <alignment horizontal="center" vertical="center" wrapText="1"/>
      <protection locked="0"/>
    </xf>
    <xf numFmtId="0" fontId="22" fillId="0" borderId="30" xfId="54" applyFont="1" applyFill="1" applyBorder="1" applyAlignment="1" applyProtection="1">
      <alignment horizontal="center" vertical="center" wrapText="1"/>
      <protection locked="0"/>
    </xf>
    <xf numFmtId="3" fontId="28" fillId="0" borderId="20" xfId="54" applyNumberFormat="1" applyFont="1" applyFill="1" applyBorder="1" applyAlignment="1">
      <alignment vertical="center"/>
      <protection/>
    </xf>
    <xf numFmtId="3" fontId="28" fillId="0" borderId="19" xfId="54" applyNumberFormat="1" applyFont="1" applyFill="1" applyBorder="1" applyAlignment="1">
      <alignment vertical="center"/>
      <protection/>
    </xf>
    <xf numFmtId="3" fontId="28" fillId="0" borderId="29" xfId="54" applyNumberFormat="1" applyFont="1" applyFill="1" applyBorder="1" applyAlignment="1">
      <alignment vertical="center"/>
      <protection/>
    </xf>
    <xf numFmtId="3" fontId="28" fillId="0" borderId="30" xfId="54" applyNumberFormat="1" applyFont="1" applyFill="1" applyBorder="1" applyAlignment="1">
      <alignment vertical="center"/>
      <protection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8" xfId="44" applyFont="1" applyFill="1" applyBorder="1" applyAlignment="1" applyProtection="1">
      <alignment vertical="center" wrapText="1"/>
      <protection locked="0"/>
    </xf>
    <xf numFmtId="0" fontId="22" fillId="0" borderId="29" xfId="44" applyFont="1" applyFill="1" applyBorder="1" applyAlignment="1" applyProtection="1">
      <alignment vertical="center" wrapText="1"/>
      <protection locked="0"/>
    </xf>
    <xf numFmtId="0" fontId="22" fillId="0" borderId="30" xfId="44" applyFont="1" applyFill="1" applyBorder="1" applyAlignment="1" applyProtection="1">
      <alignment vertical="center" wrapText="1"/>
      <protection locked="0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8" xfId="53" applyFont="1" applyBorder="1" applyAlignment="1">
      <alignment horizontal="center" vertical="center" wrapText="1"/>
      <protection/>
    </xf>
    <xf numFmtId="0" fontId="22" fillId="0" borderId="30" xfId="53" applyFont="1" applyBorder="1" applyAlignment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3" fontId="22" fillId="0" borderId="0" xfId="52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20" fillId="10" borderId="20" xfId="0" applyFont="1" applyFill="1" applyBorder="1" applyAlignment="1" applyProtection="1">
      <alignment horizontal="center"/>
      <protection locked="0"/>
    </xf>
    <xf numFmtId="0" fontId="20" fillId="10" borderId="29" xfId="0" applyFont="1" applyFill="1" applyBorder="1" applyAlignment="1" applyProtection="1">
      <alignment horizontal="center"/>
      <protection locked="0"/>
    </xf>
    <xf numFmtId="0" fontId="20" fillId="10" borderId="30" xfId="0" applyFont="1" applyFill="1" applyBorder="1" applyAlignment="1" applyProtection="1">
      <alignment horizontal="center"/>
      <protection locked="0"/>
    </xf>
    <xf numFmtId="3" fontId="22" fillId="10" borderId="20" xfId="0" applyNumberFormat="1" applyFont="1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20" fillId="10" borderId="28" xfId="0" applyFont="1" applyFill="1" applyBorder="1" applyAlignment="1" applyProtection="1">
      <alignment horizontal="center" vertical="center" wrapText="1"/>
      <protection locked="0"/>
    </xf>
    <xf numFmtId="0" fontId="20" fillId="10" borderId="29" xfId="0" applyFont="1" applyFill="1" applyBorder="1" applyAlignment="1" applyProtection="1">
      <alignment horizontal="center" vertical="center" wrapText="1"/>
      <protection locked="0"/>
    </xf>
    <xf numFmtId="0" fontId="20" fillId="10" borderId="30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0" fillId="10" borderId="28" xfId="0" applyFont="1" applyFill="1" applyBorder="1" applyAlignment="1" applyProtection="1">
      <alignment vertical="center" wrapText="1"/>
      <protection locked="0"/>
    </xf>
    <xf numFmtId="0" fontId="20" fillId="10" borderId="29" xfId="0" applyFont="1" applyFill="1" applyBorder="1" applyAlignment="1" applyProtection="1">
      <alignment vertical="center" wrapText="1"/>
      <protection locked="0"/>
    </xf>
    <xf numFmtId="0" fontId="20" fillId="10" borderId="30" xfId="0" applyFont="1" applyFill="1" applyBorder="1" applyAlignment="1" applyProtection="1">
      <alignment vertical="center" wrapText="1"/>
      <protection locked="0"/>
    </xf>
    <xf numFmtId="0" fontId="20" fillId="10" borderId="28" xfId="0" applyFont="1" applyFill="1" applyBorder="1" applyAlignment="1" applyProtection="1">
      <alignment horizontal="center" vertical="center"/>
      <protection locked="0"/>
    </xf>
    <xf numFmtId="0" fontId="20" fillId="10" borderId="29" xfId="0" applyFont="1" applyFill="1" applyBorder="1" applyAlignment="1" applyProtection="1">
      <alignment horizontal="center" vertical="center"/>
      <protection locked="0"/>
    </xf>
    <xf numFmtId="0" fontId="20" fillId="10" borderId="30" xfId="0" applyFont="1" applyFill="1" applyBorder="1" applyAlignment="1" applyProtection="1">
      <alignment horizontal="center" vertical="center"/>
      <protection locked="0"/>
    </xf>
    <xf numFmtId="0" fontId="20" fillId="10" borderId="28" xfId="0" applyFont="1" applyFill="1" applyBorder="1" applyAlignment="1" applyProtection="1">
      <alignment horizontal="center"/>
      <protection locked="0"/>
    </xf>
    <xf numFmtId="0" fontId="20" fillId="10" borderId="19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dsięwzięcia pozostałe do WPF ASIA" xfId="52"/>
    <cellStyle name="Normalny_Sprawozdanie nakłady VI 2012" xfId="53"/>
    <cellStyle name="Normalny_WPF na wrzesień 2011 AUTOPOPRAWK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wanie\Asia\Moje%20dokumenty\Bud&#380;et%202012\WPF\Za&#322;%20nr%202%20cz%202%20i%203%2027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do URM cz. 2 "/>
      <sheetName val="zał. nr 2 do URM cz. 3"/>
    </sheetNames>
    <sheetDataSet>
      <sheetData sheetId="0">
        <row r="350">
          <cell r="H350">
            <v>0</v>
          </cell>
          <cell r="I350">
            <v>292500</v>
          </cell>
          <cell r="J350">
            <v>0</v>
          </cell>
          <cell r="K350">
            <v>0</v>
          </cell>
          <cell r="L350">
            <v>0</v>
          </cell>
        </row>
        <row r="351">
          <cell r="H351">
            <v>115903179</v>
          </cell>
          <cell r="I351">
            <v>114286217</v>
          </cell>
          <cell r="J351">
            <v>156595005</v>
          </cell>
          <cell r="K351">
            <v>146045717</v>
          </cell>
          <cell r="L351">
            <v>11400000</v>
          </cell>
        </row>
      </sheetData>
      <sheetData sheetId="1">
        <row r="472">
          <cell r="I472">
            <v>12011535</v>
          </cell>
          <cell r="J472">
            <v>7389147</v>
          </cell>
          <cell r="K472">
            <v>2311734</v>
          </cell>
          <cell r="L472">
            <v>1553378</v>
          </cell>
          <cell r="M472">
            <v>184800</v>
          </cell>
        </row>
        <row r="473">
          <cell r="I473">
            <v>30000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I476">
            <v>376831</v>
          </cell>
          <cell r="J476">
            <v>16556</v>
          </cell>
          <cell r="K476">
            <v>0</v>
          </cell>
          <cell r="L476">
            <v>0</v>
          </cell>
          <cell r="M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I478">
            <v>12388366</v>
          </cell>
          <cell r="J478">
            <v>7405703</v>
          </cell>
          <cell r="K478">
            <v>2311734</v>
          </cell>
          <cell r="L478">
            <v>1553378</v>
          </cell>
          <cell r="M478">
            <v>184800</v>
          </cell>
        </row>
        <row r="479">
          <cell r="I479">
            <v>30000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YN@MO%2050%%20(DYNamic%20Citizens%20@ctive%20for%20Mobility)%20-%207%20Program%20Ramowy%20(FP7-SST-CIVITAS-2011-MOVE)" TargetMode="External" /><Relationship Id="rId2" Type="http://schemas.openxmlformats.org/officeDocument/2006/relationships/hyperlink" Target="mailto:DYN@MO%2075%%20(DYNamic%20Citizens%20@ctive%20for%20Mobility)%20-%207%20Program%20Ramowy%20(FP7-SST-CIVITAS-2011-MOVE)" TargetMode="External" /><Relationship Id="rId3" Type="http://schemas.openxmlformats.org/officeDocument/2006/relationships/hyperlink" Target="mailto:DYN@MO%20100%%20(DYNamic%20Citizens%20@ctive%20for%20Mobility)%20-%207%20Program%20Ramowy%20(FP7-SST-CIVITAS-2011-MOVE)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8"/>
  <sheetViews>
    <sheetView zoomScaleSheetLayoutView="100" workbookViewId="0" topLeftCell="A1">
      <pane xSplit="9" ySplit="5" topLeftCell="J6" activePane="bottomRight" state="frozen"/>
      <selection pane="topLeft" activeCell="D311" sqref="D311:D318"/>
      <selection pane="topRight" activeCell="D311" sqref="D311:D318"/>
      <selection pane="bottomLeft" activeCell="D311" sqref="D311:D318"/>
      <selection pane="bottomRight" activeCell="G16" sqref="G16:G17"/>
    </sheetView>
  </sheetViews>
  <sheetFormatPr defaultColWidth="9.140625" defaultRowHeight="12.75"/>
  <cols>
    <col min="1" max="1" width="3.28125" style="21" customWidth="1"/>
    <col min="2" max="2" width="28.57421875" style="21" customWidth="1"/>
    <col min="3" max="3" width="8.421875" style="22" customWidth="1"/>
    <col min="4" max="4" width="12.28125" style="22" customWidth="1"/>
    <col min="5" max="5" width="12.28125" style="162" hidden="1" customWidth="1"/>
    <col min="6" max="6" width="7.57421875" style="22" customWidth="1"/>
    <col min="7" max="7" width="11.00390625" style="21" customWidth="1"/>
    <col min="8" max="8" width="16.00390625" style="21" customWidth="1"/>
    <col min="9" max="9" width="10.421875" style="77" customWidth="1"/>
    <col min="10" max="10" width="10.7109375" style="77" hidden="1" customWidth="1"/>
    <col min="11" max="11" width="10.57421875" style="77" bestFit="1" customWidth="1"/>
    <col min="12" max="13" width="9.421875" style="77" customWidth="1"/>
    <col min="14" max="14" width="9.28125" style="77" customWidth="1"/>
    <col min="15" max="38" width="9.140625" style="77" hidden="1" customWidth="1"/>
    <col min="39" max="39" width="9.140625" style="21" customWidth="1"/>
    <col min="40" max="40" width="11.140625" style="21" customWidth="1"/>
    <col min="41" max="16384" width="9.140625" style="21" customWidth="1"/>
  </cols>
  <sheetData>
    <row r="1" ht="12.75">
      <c r="N1" s="487" t="s">
        <v>229</v>
      </c>
    </row>
    <row r="3" spans="1:38" s="13" customFormat="1" ht="31.5" customHeight="1" thickBot="1">
      <c r="A3" s="340" t="s">
        <v>230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</row>
    <row r="4" spans="1:38" s="14" customFormat="1" ht="27.75" customHeight="1" thickBot="1">
      <c r="A4" s="379" t="s">
        <v>0</v>
      </c>
      <c r="B4" s="381" t="s">
        <v>1</v>
      </c>
      <c r="C4" s="383" t="s">
        <v>2</v>
      </c>
      <c r="D4" s="383" t="s">
        <v>3</v>
      </c>
      <c r="E4" s="225" t="s">
        <v>79</v>
      </c>
      <c r="F4" s="389" t="s">
        <v>4</v>
      </c>
      <c r="G4" s="391" t="s">
        <v>5</v>
      </c>
      <c r="H4" s="385" t="s">
        <v>6</v>
      </c>
      <c r="I4" s="387" t="s">
        <v>138</v>
      </c>
      <c r="J4" s="344" t="s">
        <v>139</v>
      </c>
      <c r="K4" s="344" t="s">
        <v>140</v>
      </c>
      <c r="L4" s="344" t="s">
        <v>141</v>
      </c>
      <c r="M4" s="346" t="s">
        <v>234</v>
      </c>
      <c r="N4" s="344" t="s">
        <v>235</v>
      </c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5"/>
    </row>
    <row r="5" spans="1:38" s="14" customFormat="1" ht="36" customHeight="1" thickBot="1">
      <c r="A5" s="380"/>
      <c r="B5" s="382"/>
      <c r="C5" s="384"/>
      <c r="D5" s="384"/>
      <c r="E5" s="226"/>
      <c r="F5" s="390"/>
      <c r="G5" s="392"/>
      <c r="H5" s="386"/>
      <c r="I5" s="388"/>
      <c r="J5" s="345"/>
      <c r="K5" s="345"/>
      <c r="L5" s="345"/>
      <c r="M5" s="347"/>
      <c r="N5" s="345"/>
      <c r="O5" s="126">
        <v>2018</v>
      </c>
      <c r="P5" s="78">
        <v>2019</v>
      </c>
      <c r="Q5" s="78">
        <v>2020</v>
      </c>
      <c r="R5" s="78">
        <v>2021</v>
      </c>
      <c r="S5" s="78">
        <v>2022</v>
      </c>
      <c r="T5" s="78">
        <v>2023</v>
      </c>
      <c r="U5" s="78">
        <v>2024</v>
      </c>
      <c r="V5" s="78">
        <v>2025</v>
      </c>
      <c r="W5" s="78">
        <v>2026</v>
      </c>
      <c r="X5" s="78">
        <v>2027</v>
      </c>
      <c r="Y5" s="78">
        <v>2028</v>
      </c>
      <c r="Z5" s="78">
        <v>2029</v>
      </c>
      <c r="AA5" s="78">
        <v>2030</v>
      </c>
      <c r="AB5" s="79">
        <v>2031</v>
      </c>
      <c r="AC5" s="79">
        <v>2032</v>
      </c>
      <c r="AD5" s="79">
        <v>2033</v>
      </c>
      <c r="AE5" s="79">
        <v>2034</v>
      </c>
      <c r="AF5" s="79">
        <v>2035</v>
      </c>
      <c r="AG5" s="79">
        <v>2036</v>
      </c>
      <c r="AH5" s="79">
        <v>2036</v>
      </c>
      <c r="AI5" s="79">
        <v>2037</v>
      </c>
      <c r="AJ5" s="79">
        <v>2038</v>
      </c>
      <c r="AK5" s="79">
        <v>2039</v>
      </c>
      <c r="AL5" s="79">
        <v>2040</v>
      </c>
    </row>
    <row r="6" spans="1:14" s="121" customFormat="1" ht="12.75" customHeight="1" thickBot="1">
      <c r="A6" s="122">
        <v>1</v>
      </c>
      <c r="B6" s="119">
        <v>2</v>
      </c>
      <c r="C6" s="122">
        <v>3</v>
      </c>
      <c r="D6" s="122">
        <v>4</v>
      </c>
      <c r="E6" s="163"/>
      <c r="F6" s="122">
        <v>5</v>
      </c>
      <c r="G6" s="122">
        <v>6</v>
      </c>
      <c r="H6" s="117">
        <v>7</v>
      </c>
      <c r="I6" s="119">
        <v>8</v>
      </c>
      <c r="J6" s="119">
        <v>9</v>
      </c>
      <c r="K6" s="119">
        <v>9</v>
      </c>
      <c r="L6" s="119">
        <v>10</v>
      </c>
      <c r="M6" s="156">
        <v>11</v>
      </c>
      <c r="N6" s="119">
        <v>12</v>
      </c>
    </row>
    <row r="7" spans="1:38" s="13" customFormat="1" ht="12.75" customHeight="1">
      <c r="A7" s="354">
        <v>1</v>
      </c>
      <c r="B7" s="214" t="s">
        <v>100</v>
      </c>
      <c r="C7" s="208">
        <v>71012</v>
      </c>
      <c r="D7" s="211" t="s">
        <v>8</v>
      </c>
      <c r="E7" s="164"/>
      <c r="F7" s="217">
        <v>2012</v>
      </c>
      <c r="G7" s="81" t="s">
        <v>9</v>
      </c>
      <c r="H7" s="15" t="s">
        <v>10</v>
      </c>
      <c r="I7" s="60">
        <v>108240</v>
      </c>
      <c r="J7" s="61">
        <v>108240</v>
      </c>
      <c r="K7" s="61">
        <v>54120</v>
      </c>
      <c r="L7" s="61">
        <v>108240</v>
      </c>
      <c r="M7" s="146">
        <f>SUM(I7,K7)</f>
        <v>162360</v>
      </c>
      <c r="N7" s="60"/>
      <c r="O7" s="12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13" customFormat="1" ht="12.75">
      <c r="A8" s="348"/>
      <c r="B8" s="215"/>
      <c r="C8" s="209"/>
      <c r="D8" s="362"/>
      <c r="E8" s="165"/>
      <c r="F8" s="228"/>
      <c r="G8" s="341">
        <v>324720</v>
      </c>
      <c r="H8" s="16" t="s">
        <v>11</v>
      </c>
      <c r="I8" s="62"/>
      <c r="J8" s="63"/>
      <c r="K8" s="63"/>
      <c r="L8" s="63"/>
      <c r="M8" s="147">
        <f aca="true" t="shared" si="0" ref="M8:M71">SUM(I8,K8)</f>
        <v>0</v>
      </c>
      <c r="N8" s="62"/>
      <c r="O8" s="12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13" customFormat="1" ht="12.75">
      <c r="A9" s="348"/>
      <c r="B9" s="215"/>
      <c r="C9" s="209"/>
      <c r="D9" s="362"/>
      <c r="E9" s="165"/>
      <c r="F9" s="228"/>
      <c r="G9" s="342"/>
      <c r="H9" s="16" t="s">
        <v>64</v>
      </c>
      <c r="I9" s="62"/>
      <c r="J9" s="63"/>
      <c r="K9" s="63"/>
      <c r="L9" s="63"/>
      <c r="M9" s="147">
        <f t="shared" si="0"/>
        <v>0</v>
      </c>
      <c r="N9" s="62"/>
      <c r="O9" s="12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13" customFormat="1" ht="12.75">
      <c r="A10" s="348"/>
      <c r="B10" s="215"/>
      <c r="C10" s="209"/>
      <c r="D10" s="362"/>
      <c r="E10" s="165"/>
      <c r="F10" s="212"/>
      <c r="G10" s="83" t="s">
        <v>13</v>
      </c>
      <c r="H10" s="16" t="s">
        <v>14</v>
      </c>
      <c r="I10" s="62"/>
      <c r="J10" s="63"/>
      <c r="K10" s="63"/>
      <c r="L10" s="63"/>
      <c r="M10" s="147">
        <f t="shared" si="0"/>
        <v>0</v>
      </c>
      <c r="N10" s="62"/>
      <c r="O10" s="12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13" customFormat="1" ht="12.75">
      <c r="A11" s="348"/>
      <c r="B11" s="215"/>
      <c r="C11" s="209"/>
      <c r="D11" s="362"/>
      <c r="E11" s="165" t="s">
        <v>101</v>
      </c>
      <c r="F11" s="227">
        <v>2014</v>
      </c>
      <c r="G11" s="341">
        <v>0</v>
      </c>
      <c r="H11" s="16" t="s">
        <v>15</v>
      </c>
      <c r="I11" s="62"/>
      <c r="J11" s="63"/>
      <c r="K11" s="63"/>
      <c r="L11" s="63"/>
      <c r="M11" s="147">
        <f t="shared" si="0"/>
        <v>0</v>
      </c>
      <c r="N11" s="62"/>
      <c r="O11" s="12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13" customFormat="1" ht="12.75">
      <c r="A12" s="348"/>
      <c r="B12" s="215"/>
      <c r="C12" s="209"/>
      <c r="D12" s="362"/>
      <c r="E12" s="165"/>
      <c r="F12" s="228"/>
      <c r="G12" s="342"/>
      <c r="H12" s="16" t="s">
        <v>16</v>
      </c>
      <c r="I12" s="62"/>
      <c r="J12" s="63"/>
      <c r="K12" s="63"/>
      <c r="L12" s="63"/>
      <c r="M12" s="147">
        <f t="shared" si="0"/>
        <v>0</v>
      </c>
      <c r="N12" s="62"/>
      <c r="O12" s="12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13" customFormat="1" ht="12.75">
      <c r="A13" s="348"/>
      <c r="B13" s="215"/>
      <c r="C13" s="209"/>
      <c r="D13" s="362"/>
      <c r="E13" s="165"/>
      <c r="F13" s="228"/>
      <c r="G13" s="83" t="s">
        <v>17</v>
      </c>
      <c r="H13" s="16" t="s">
        <v>18</v>
      </c>
      <c r="I13" s="6">
        <f aca="true" t="shared" si="1" ref="I13:AL13">I7+I9+I11</f>
        <v>108240</v>
      </c>
      <c r="J13" s="7">
        <f t="shared" si="1"/>
        <v>108240</v>
      </c>
      <c r="K13" s="7">
        <f t="shared" si="1"/>
        <v>54120</v>
      </c>
      <c r="L13" s="7">
        <f t="shared" si="1"/>
        <v>108240</v>
      </c>
      <c r="M13" s="123">
        <f t="shared" si="0"/>
        <v>162360</v>
      </c>
      <c r="N13" s="149">
        <f>M13/G8</f>
        <v>0.5</v>
      </c>
      <c r="O13" s="129">
        <f t="shared" si="1"/>
        <v>0</v>
      </c>
      <c r="P13" s="7">
        <f t="shared" si="1"/>
        <v>0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7">
        <f t="shared" si="1"/>
        <v>0</v>
      </c>
      <c r="U13" s="7">
        <f t="shared" si="1"/>
        <v>0</v>
      </c>
      <c r="V13" s="7">
        <f t="shared" si="1"/>
        <v>0</v>
      </c>
      <c r="W13" s="7">
        <f t="shared" si="1"/>
        <v>0</v>
      </c>
      <c r="X13" s="7">
        <f t="shared" si="1"/>
        <v>0</v>
      </c>
      <c r="Y13" s="7">
        <f t="shared" si="1"/>
        <v>0</v>
      </c>
      <c r="Z13" s="7">
        <f t="shared" si="1"/>
        <v>0</v>
      </c>
      <c r="AA13" s="7">
        <f t="shared" si="1"/>
        <v>0</v>
      </c>
      <c r="AB13" s="7">
        <f t="shared" si="1"/>
        <v>0</v>
      </c>
      <c r="AC13" s="7">
        <f t="shared" si="1"/>
        <v>0</v>
      </c>
      <c r="AD13" s="7">
        <f t="shared" si="1"/>
        <v>0</v>
      </c>
      <c r="AE13" s="7">
        <f t="shared" si="1"/>
        <v>0</v>
      </c>
      <c r="AF13" s="7">
        <f t="shared" si="1"/>
        <v>0</v>
      </c>
      <c r="AG13" s="7">
        <f t="shared" si="1"/>
        <v>0</v>
      </c>
      <c r="AH13" s="7">
        <f t="shared" si="1"/>
        <v>0</v>
      </c>
      <c r="AI13" s="7">
        <f t="shared" si="1"/>
        <v>0</v>
      </c>
      <c r="AJ13" s="7">
        <f t="shared" si="1"/>
        <v>0</v>
      </c>
      <c r="AK13" s="7">
        <f t="shared" si="1"/>
        <v>0</v>
      </c>
      <c r="AL13" s="7">
        <f t="shared" si="1"/>
        <v>0</v>
      </c>
    </row>
    <row r="14" spans="1:38" s="13" customFormat="1" ht="13.5" thickBot="1">
      <c r="A14" s="355"/>
      <c r="B14" s="207"/>
      <c r="C14" s="210"/>
      <c r="D14" s="363"/>
      <c r="E14" s="166"/>
      <c r="F14" s="216"/>
      <c r="G14" s="85">
        <v>324720</v>
      </c>
      <c r="H14" s="17" t="s">
        <v>19</v>
      </c>
      <c r="I14" s="9">
        <f aca="true" t="shared" si="2" ref="I14:AL14">I8+I10+I12</f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24">
        <f t="shared" si="0"/>
        <v>0</v>
      </c>
      <c r="N14" s="150"/>
      <c r="O14" s="130">
        <f t="shared" si="2"/>
        <v>0</v>
      </c>
      <c r="P14" s="10">
        <f t="shared" si="2"/>
        <v>0</v>
      </c>
      <c r="Q14" s="10">
        <f t="shared" si="2"/>
        <v>0</v>
      </c>
      <c r="R14" s="10">
        <f t="shared" si="2"/>
        <v>0</v>
      </c>
      <c r="S14" s="10">
        <f t="shared" si="2"/>
        <v>0</v>
      </c>
      <c r="T14" s="10">
        <f t="shared" si="2"/>
        <v>0</v>
      </c>
      <c r="U14" s="10">
        <f t="shared" si="2"/>
        <v>0</v>
      </c>
      <c r="V14" s="10">
        <f t="shared" si="2"/>
        <v>0</v>
      </c>
      <c r="W14" s="10">
        <f t="shared" si="2"/>
        <v>0</v>
      </c>
      <c r="X14" s="10">
        <f t="shared" si="2"/>
        <v>0</v>
      </c>
      <c r="Y14" s="10">
        <f t="shared" si="2"/>
        <v>0</v>
      </c>
      <c r="Z14" s="10">
        <f t="shared" si="2"/>
        <v>0</v>
      </c>
      <c r="AA14" s="10">
        <f t="shared" si="2"/>
        <v>0</v>
      </c>
      <c r="AB14" s="10">
        <f t="shared" si="2"/>
        <v>0</v>
      </c>
      <c r="AC14" s="10">
        <f t="shared" si="2"/>
        <v>0</v>
      </c>
      <c r="AD14" s="10">
        <f t="shared" si="2"/>
        <v>0</v>
      </c>
      <c r="AE14" s="10">
        <f t="shared" si="2"/>
        <v>0</v>
      </c>
      <c r="AF14" s="10">
        <f t="shared" si="2"/>
        <v>0</v>
      </c>
      <c r="AG14" s="10">
        <f t="shared" si="2"/>
        <v>0</v>
      </c>
      <c r="AH14" s="10">
        <f t="shared" si="2"/>
        <v>0</v>
      </c>
      <c r="AI14" s="10">
        <f t="shared" si="2"/>
        <v>0</v>
      </c>
      <c r="AJ14" s="10">
        <f t="shared" si="2"/>
        <v>0</v>
      </c>
      <c r="AK14" s="10">
        <f t="shared" si="2"/>
        <v>0</v>
      </c>
      <c r="AL14" s="10">
        <f t="shared" si="2"/>
        <v>0</v>
      </c>
    </row>
    <row r="15" spans="1:38" ht="12.75" customHeight="1">
      <c r="A15" s="354">
        <v>2</v>
      </c>
      <c r="B15" s="214" t="s">
        <v>63</v>
      </c>
      <c r="C15" s="208">
        <v>71095</v>
      </c>
      <c r="D15" s="211" t="s">
        <v>8</v>
      </c>
      <c r="E15" s="164"/>
      <c r="F15" s="217">
        <v>2010</v>
      </c>
      <c r="G15" s="81" t="s">
        <v>9</v>
      </c>
      <c r="H15" s="15" t="s">
        <v>10</v>
      </c>
      <c r="I15" s="60">
        <v>250000</v>
      </c>
      <c r="J15" s="61">
        <v>100000</v>
      </c>
      <c r="K15" s="61">
        <v>50000</v>
      </c>
      <c r="L15" s="61">
        <v>100000</v>
      </c>
      <c r="M15" s="146">
        <f t="shared" si="0"/>
        <v>300000</v>
      </c>
      <c r="N15" s="60"/>
      <c r="O15" s="12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s="348"/>
      <c r="B16" s="215"/>
      <c r="C16" s="209"/>
      <c r="D16" s="362"/>
      <c r="E16" s="165"/>
      <c r="F16" s="228"/>
      <c r="G16" s="341">
        <v>350000</v>
      </c>
      <c r="H16" s="16" t="s">
        <v>11</v>
      </c>
      <c r="I16" s="62"/>
      <c r="J16" s="63"/>
      <c r="K16" s="63"/>
      <c r="L16" s="63"/>
      <c r="M16" s="147">
        <f t="shared" si="0"/>
        <v>0</v>
      </c>
      <c r="N16" s="62"/>
      <c r="O16" s="12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2.75">
      <c r="A17" s="348"/>
      <c r="B17" s="215"/>
      <c r="C17" s="209"/>
      <c r="D17" s="362"/>
      <c r="E17" s="165"/>
      <c r="F17" s="228"/>
      <c r="G17" s="342"/>
      <c r="H17" s="16" t="s">
        <v>64</v>
      </c>
      <c r="I17" s="62"/>
      <c r="J17" s="63"/>
      <c r="K17" s="63"/>
      <c r="L17" s="63"/>
      <c r="M17" s="147">
        <f t="shared" si="0"/>
        <v>0</v>
      </c>
      <c r="N17" s="62"/>
      <c r="O17" s="12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2.75">
      <c r="A18" s="348"/>
      <c r="B18" s="215"/>
      <c r="C18" s="209"/>
      <c r="D18" s="362"/>
      <c r="E18" s="165"/>
      <c r="F18" s="212"/>
      <c r="G18" s="83" t="s">
        <v>13</v>
      </c>
      <c r="H18" s="16" t="s">
        <v>14</v>
      </c>
      <c r="I18" s="62"/>
      <c r="J18" s="63"/>
      <c r="K18" s="63"/>
      <c r="L18" s="63"/>
      <c r="M18" s="147">
        <f t="shared" si="0"/>
        <v>0</v>
      </c>
      <c r="N18" s="62"/>
      <c r="O18" s="12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2.75">
      <c r="A19" s="348"/>
      <c r="B19" s="215"/>
      <c r="C19" s="209"/>
      <c r="D19" s="362"/>
      <c r="E19" s="165" t="s">
        <v>97</v>
      </c>
      <c r="F19" s="227">
        <v>2013</v>
      </c>
      <c r="G19" s="341">
        <v>0</v>
      </c>
      <c r="H19" s="16" t="s">
        <v>15</v>
      </c>
      <c r="I19" s="62"/>
      <c r="J19" s="63"/>
      <c r="K19" s="63"/>
      <c r="L19" s="63"/>
      <c r="M19" s="147">
        <f t="shared" si="0"/>
        <v>0</v>
      </c>
      <c r="N19" s="62"/>
      <c r="O19" s="12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2.75">
      <c r="A20" s="348"/>
      <c r="B20" s="215"/>
      <c r="C20" s="209"/>
      <c r="D20" s="362"/>
      <c r="E20" s="165"/>
      <c r="F20" s="228"/>
      <c r="G20" s="342"/>
      <c r="H20" s="16" t="s">
        <v>16</v>
      </c>
      <c r="I20" s="62"/>
      <c r="J20" s="63"/>
      <c r="K20" s="63"/>
      <c r="L20" s="63"/>
      <c r="M20" s="147">
        <f t="shared" si="0"/>
        <v>0</v>
      </c>
      <c r="N20" s="62"/>
      <c r="O20" s="12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2.75">
      <c r="A21" s="348"/>
      <c r="B21" s="215"/>
      <c r="C21" s="209"/>
      <c r="D21" s="362"/>
      <c r="E21" s="165"/>
      <c r="F21" s="228"/>
      <c r="G21" s="83" t="s">
        <v>17</v>
      </c>
      <c r="H21" s="16" t="s">
        <v>18</v>
      </c>
      <c r="I21" s="6">
        <f aca="true" t="shared" si="3" ref="I21:AL21">I15+I17+I19</f>
        <v>250000</v>
      </c>
      <c r="J21" s="7">
        <f t="shared" si="3"/>
        <v>100000</v>
      </c>
      <c r="K21" s="7">
        <f t="shared" si="3"/>
        <v>50000</v>
      </c>
      <c r="L21" s="7">
        <f t="shared" si="3"/>
        <v>100000</v>
      </c>
      <c r="M21" s="123">
        <f t="shared" si="0"/>
        <v>300000</v>
      </c>
      <c r="N21" s="149">
        <f>M21/G16</f>
        <v>0.8571428571428571</v>
      </c>
      <c r="O21" s="129">
        <f t="shared" si="3"/>
        <v>0</v>
      </c>
      <c r="P21" s="7">
        <f t="shared" si="3"/>
        <v>0</v>
      </c>
      <c r="Q21" s="7">
        <f t="shared" si="3"/>
        <v>0</v>
      </c>
      <c r="R21" s="7">
        <f t="shared" si="3"/>
        <v>0</v>
      </c>
      <c r="S21" s="7">
        <f t="shared" si="3"/>
        <v>0</v>
      </c>
      <c r="T21" s="7">
        <f t="shared" si="3"/>
        <v>0</v>
      </c>
      <c r="U21" s="7">
        <f t="shared" si="3"/>
        <v>0</v>
      </c>
      <c r="V21" s="7">
        <f t="shared" si="3"/>
        <v>0</v>
      </c>
      <c r="W21" s="7">
        <f t="shared" si="3"/>
        <v>0</v>
      </c>
      <c r="X21" s="7">
        <f t="shared" si="3"/>
        <v>0</v>
      </c>
      <c r="Y21" s="7">
        <f t="shared" si="3"/>
        <v>0</v>
      </c>
      <c r="Z21" s="7">
        <f t="shared" si="3"/>
        <v>0</v>
      </c>
      <c r="AA21" s="7">
        <f t="shared" si="3"/>
        <v>0</v>
      </c>
      <c r="AB21" s="7">
        <f t="shared" si="3"/>
        <v>0</v>
      </c>
      <c r="AC21" s="7">
        <f t="shared" si="3"/>
        <v>0</v>
      </c>
      <c r="AD21" s="7">
        <f t="shared" si="3"/>
        <v>0</v>
      </c>
      <c r="AE21" s="7">
        <f t="shared" si="3"/>
        <v>0</v>
      </c>
      <c r="AF21" s="7">
        <f t="shared" si="3"/>
        <v>0</v>
      </c>
      <c r="AG21" s="7">
        <f t="shared" si="3"/>
        <v>0</v>
      </c>
      <c r="AH21" s="7">
        <f t="shared" si="3"/>
        <v>0</v>
      </c>
      <c r="AI21" s="7">
        <f t="shared" si="3"/>
        <v>0</v>
      </c>
      <c r="AJ21" s="7">
        <f t="shared" si="3"/>
        <v>0</v>
      </c>
      <c r="AK21" s="7">
        <f t="shared" si="3"/>
        <v>0</v>
      </c>
      <c r="AL21" s="7">
        <f t="shared" si="3"/>
        <v>0</v>
      </c>
    </row>
    <row r="22" spans="1:38" ht="13.5" thickBot="1">
      <c r="A22" s="355"/>
      <c r="B22" s="207"/>
      <c r="C22" s="210"/>
      <c r="D22" s="363"/>
      <c r="E22" s="166"/>
      <c r="F22" s="216"/>
      <c r="G22" s="85">
        <v>350000</v>
      </c>
      <c r="H22" s="17" t="s">
        <v>19</v>
      </c>
      <c r="I22" s="9">
        <f aca="true" t="shared" si="4" ref="I22:AL22">I16+I18+I20</f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24">
        <f t="shared" si="0"/>
        <v>0</v>
      </c>
      <c r="N22" s="150"/>
      <c r="O22" s="130">
        <f t="shared" si="4"/>
        <v>0</v>
      </c>
      <c r="P22" s="10">
        <f t="shared" si="4"/>
        <v>0</v>
      </c>
      <c r="Q22" s="10">
        <f t="shared" si="4"/>
        <v>0</v>
      </c>
      <c r="R22" s="10">
        <f t="shared" si="4"/>
        <v>0</v>
      </c>
      <c r="S22" s="10">
        <f t="shared" si="4"/>
        <v>0</v>
      </c>
      <c r="T22" s="10">
        <f t="shared" si="4"/>
        <v>0</v>
      </c>
      <c r="U22" s="10">
        <f t="shared" si="4"/>
        <v>0</v>
      </c>
      <c r="V22" s="10">
        <f t="shared" si="4"/>
        <v>0</v>
      </c>
      <c r="W22" s="10">
        <f t="shared" si="4"/>
        <v>0</v>
      </c>
      <c r="X22" s="10">
        <f t="shared" si="4"/>
        <v>0</v>
      </c>
      <c r="Y22" s="10">
        <f t="shared" si="4"/>
        <v>0</v>
      </c>
      <c r="Z22" s="10">
        <f t="shared" si="4"/>
        <v>0</v>
      </c>
      <c r="AA22" s="10">
        <f t="shared" si="4"/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si="4"/>
        <v>0</v>
      </c>
      <c r="AF22" s="10">
        <f t="shared" si="4"/>
        <v>0</v>
      </c>
      <c r="AG22" s="10">
        <f t="shared" si="4"/>
        <v>0</v>
      </c>
      <c r="AH22" s="10">
        <f t="shared" si="4"/>
        <v>0</v>
      </c>
      <c r="AI22" s="10">
        <f t="shared" si="4"/>
        <v>0</v>
      </c>
      <c r="AJ22" s="10">
        <f t="shared" si="4"/>
        <v>0</v>
      </c>
      <c r="AK22" s="10">
        <f t="shared" si="4"/>
        <v>0</v>
      </c>
      <c r="AL22" s="10">
        <f t="shared" si="4"/>
        <v>0</v>
      </c>
    </row>
    <row r="23" spans="1:38" s="13" customFormat="1" ht="12.75" customHeight="1">
      <c r="A23" s="354">
        <v>3</v>
      </c>
      <c r="B23" s="214" t="s">
        <v>74</v>
      </c>
      <c r="C23" s="208">
        <v>71095</v>
      </c>
      <c r="D23" s="211" t="s">
        <v>145</v>
      </c>
      <c r="E23" s="164"/>
      <c r="F23" s="217">
        <v>2011</v>
      </c>
      <c r="G23" s="81" t="s">
        <v>9</v>
      </c>
      <c r="H23" s="15" t="s">
        <v>10</v>
      </c>
      <c r="I23" s="60">
        <v>17272</v>
      </c>
      <c r="J23" s="61">
        <f>9909+5019</f>
        <v>14928</v>
      </c>
      <c r="K23" s="61">
        <v>4017</v>
      </c>
      <c r="L23" s="61">
        <v>14928</v>
      </c>
      <c r="M23" s="146">
        <f t="shared" si="0"/>
        <v>21289</v>
      </c>
      <c r="N23" s="60"/>
      <c r="O23" s="12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13" customFormat="1" ht="12.75">
      <c r="A24" s="348"/>
      <c r="B24" s="215"/>
      <c r="C24" s="209"/>
      <c r="D24" s="362"/>
      <c r="E24" s="165"/>
      <c r="F24" s="228"/>
      <c r="G24" s="341">
        <v>132200</v>
      </c>
      <c r="H24" s="16" t="s">
        <v>11</v>
      </c>
      <c r="I24" s="62"/>
      <c r="J24" s="63"/>
      <c r="K24" s="63"/>
      <c r="L24" s="63"/>
      <c r="M24" s="147">
        <f t="shared" si="0"/>
        <v>0</v>
      </c>
      <c r="N24" s="62"/>
      <c r="O24" s="12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13" customFormat="1" ht="12.75">
      <c r="A25" s="348"/>
      <c r="B25" s="215"/>
      <c r="C25" s="209"/>
      <c r="D25" s="362"/>
      <c r="E25" s="165"/>
      <c r="F25" s="228"/>
      <c r="G25" s="342"/>
      <c r="H25" s="16" t="s">
        <v>12</v>
      </c>
      <c r="I25" s="62"/>
      <c r="J25" s="63"/>
      <c r="K25" s="63"/>
      <c r="L25" s="63"/>
      <c r="M25" s="147">
        <f t="shared" si="0"/>
        <v>0</v>
      </c>
      <c r="N25" s="62"/>
      <c r="O25" s="12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s="13" customFormat="1" ht="12.75">
      <c r="A26" s="348"/>
      <c r="B26" s="215"/>
      <c r="C26" s="209"/>
      <c r="D26" s="362"/>
      <c r="E26" s="165"/>
      <c r="F26" s="212"/>
      <c r="G26" s="83" t="s">
        <v>13</v>
      </c>
      <c r="H26" s="16" t="s">
        <v>14</v>
      </c>
      <c r="I26" s="62"/>
      <c r="J26" s="63"/>
      <c r="K26" s="63"/>
      <c r="L26" s="63"/>
      <c r="M26" s="147">
        <f t="shared" si="0"/>
        <v>0</v>
      </c>
      <c r="N26" s="62"/>
      <c r="O26" s="12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13" customFormat="1" ht="12.75">
      <c r="A27" s="348"/>
      <c r="B27" s="215"/>
      <c r="C27" s="209"/>
      <c r="D27" s="362"/>
      <c r="E27" s="165"/>
      <c r="F27" s="227">
        <v>2013</v>
      </c>
      <c r="G27" s="341">
        <v>0</v>
      </c>
      <c r="H27" s="16" t="s">
        <v>15</v>
      </c>
      <c r="I27" s="62">
        <v>67237</v>
      </c>
      <c r="J27" s="63">
        <f>15491+17272</f>
        <v>32763</v>
      </c>
      <c r="K27" s="63">
        <v>11664</v>
      </c>
      <c r="L27" s="63">
        <v>32763</v>
      </c>
      <c r="M27" s="147">
        <f t="shared" si="0"/>
        <v>78901</v>
      </c>
      <c r="N27" s="62"/>
      <c r="O27" s="12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3" customFormat="1" ht="12.75">
      <c r="A28" s="348"/>
      <c r="B28" s="215"/>
      <c r="C28" s="209"/>
      <c r="D28" s="362"/>
      <c r="E28" s="165"/>
      <c r="F28" s="228"/>
      <c r="G28" s="342"/>
      <c r="H28" s="16" t="s">
        <v>16</v>
      </c>
      <c r="I28" s="62"/>
      <c r="J28" s="63"/>
      <c r="K28" s="63"/>
      <c r="L28" s="63"/>
      <c r="M28" s="147">
        <f t="shared" si="0"/>
        <v>0</v>
      </c>
      <c r="N28" s="62"/>
      <c r="O28" s="12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3" customFormat="1" ht="12.75">
      <c r="A29" s="348"/>
      <c r="B29" s="215"/>
      <c r="C29" s="209"/>
      <c r="D29" s="362"/>
      <c r="E29" s="165"/>
      <c r="F29" s="228"/>
      <c r="G29" s="83" t="s">
        <v>17</v>
      </c>
      <c r="H29" s="16" t="s">
        <v>18</v>
      </c>
      <c r="I29" s="6">
        <f aca="true" t="shared" si="5" ref="I29:AL29">I23+I25+I27</f>
        <v>84509</v>
      </c>
      <c r="J29" s="7">
        <f t="shared" si="5"/>
        <v>47691</v>
      </c>
      <c r="K29" s="7">
        <f t="shared" si="5"/>
        <v>15681</v>
      </c>
      <c r="L29" s="7">
        <f t="shared" si="5"/>
        <v>47691</v>
      </c>
      <c r="M29" s="123">
        <f t="shared" si="0"/>
        <v>100190</v>
      </c>
      <c r="N29" s="149">
        <f>M29/G24</f>
        <v>0.7578668683812405</v>
      </c>
      <c r="O29" s="129">
        <f t="shared" si="5"/>
        <v>0</v>
      </c>
      <c r="P29" s="7">
        <f t="shared" si="5"/>
        <v>0</v>
      </c>
      <c r="Q29" s="7">
        <f t="shared" si="5"/>
        <v>0</v>
      </c>
      <c r="R29" s="7">
        <f t="shared" si="5"/>
        <v>0</v>
      </c>
      <c r="S29" s="7">
        <f t="shared" si="5"/>
        <v>0</v>
      </c>
      <c r="T29" s="7">
        <f t="shared" si="5"/>
        <v>0</v>
      </c>
      <c r="U29" s="7">
        <f t="shared" si="5"/>
        <v>0</v>
      </c>
      <c r="V29" s="7">
        <f t="shared" si="5"/>
        <v>0</v>
      </c>
      <c r="W29" s="7">
        <f t="shared" si="5"/>
        <v>0</v>
      </c>
      <c r="X29" s="7">
        <f t="shared" si="5"/>
        <v>0</v>
      </c>
      <c r="Y29" s="7">
        <f t="shared" si="5"/>
        <v>0</v>
      </c>
      <c r="Z29" s="7">
        <f t="shared" si="5"/>
        <v>0</v>
      </c>
      <c r="AA29" s="7">
        <f t="shared" si="5"/>
        <v>0</v>
      </c>
      <c r="AB29" s="7">
        <f t="shared" si="5"/>
        <v>0</v>
      </c>
      <c r="AC29" s="7">
        <f t="shared" si="5"/>
        <v>0</v>
      </c>
      <c r="AD29" s="7">
        <f t="shared" si="5"/>
        <v>0</v>
      </c>
      <c r="AE29" s="7">
        <f t="shared" si="5"/>
        <v>0</v>
      </c>
      <c r="AF29" s="7">
        <f t="shared" si="5"/>
        <v>0</v>
      </c>
      <c r="AG29" s="7">
        <f t="shared" si="5"/>
        <v>0</v>
      </c>
      <c r="AH29" s="7">
        <f t="shared" si="5"/>
        <v>0</v>
      </c>
      <c r="AI29" s="7">
        <f t="shared" si="5"/>
        <v>0</v>
      </c>
      <c r="AJ29" s="7">
        <f t="shared" si="5"/>
        <v>0</v>
      </c>
      <c r="AK29" s="7">
        <f t="shared" si="5"/>
        <v>0</v>
      </c>
      <c r="AL29" s="7">
        <f t="shared" si="5"/>
        <v>0</v>
      </c>
    </row>
    <row r="30" spans="1:38" s="13" customFormat="1" ht="13.5" thickBot="1">
      <c r="A30" s="355"/>
      <c r="B30" s="207"/>
      <c r="C30" s="210"/>
      <c r="D30" s="363"/>
      <c r="E30" s="166"/>
      <c r="F30" s="216"/>
      <c r="G30" s="85">
        <v>132200</v>
      </c>
      <c r="H30" s="17" t="s">
        <v>19</v>
      </c>
      <c r="I30" s="9">
        <f aca="true" t="shared" si="6" ref="I30:AL30">I24+I26+I28</f>
        <v>0</v>
      </c>
      <c r="J30" s="10">
        <f t="shared" si="6"/>
        <v>0</v>
      </c>
      <c r="K30" s="10">
        <f t="shared" si="6"/>
        <v>0</v>
      </c>
      <c r="L30" s="10">
        <f t="shared" si="6"/>
        <v>0</v>
      </c>
      <c r="M30" s="124">
        <f t="shared" si="0"/>
        <v>0</v>
      </c>
      <c r="N30" s="150"/>
      <c r="O30" s="130">
        <f t="shared" si="6"/>
        <v>0</v>
      </c>
      <c r="P30" s="10">
        <f t="shared" si="6"/>
        <v>0</v>
      </c>
      <c r="Q30" s="10">
        <f t="shared" si="6"/>
        <v>0</v>
      </c>
      <c r="R30" s="10">
        <f t="shared" si="6"/>
        <v>0</v>
      </c>
      <c r="S30" s="10">
        <f t="shared" si="6"/>
        <v>0</v>
      </c>
      <c r="T30" s="10">
        <f t="shared" si="6"/>
        <v>0</v>
      </c>
      <c r="U30" s="10">
        <f t="shared" si="6"/>
        <v>0</v>
      </c>
      <c r="V30" s="10">
        <f t="shared" si="6"/>
        <v>0</v>
      </c>
      <c r="W30" s="10">
        <f t="shared" si="6"/>
        <v>0</v>
      </c>
      <c r="X30" s="10">
        <f t="shared" si="6"/>
        <v>0</v>
      </c>
      <c r="Y30" s="10">
        <f t="shared" si="6"/>
        <v>0</v>
      </c>
      <c r="Z30" s="10">
        <f t="shared" si="6"/>
        <v>0</v>
      </c>
      <c r="AA30" s="10">
        <f t="shared" si="6"/>
        <v>0</v>
      </c>
      <c r="AB30" s="10">
        <f t="shared" si="6"/>
        <v>0</v>
      </c>
      <c r="AC30" s="10">
        <f t="shared" si="6"/>
        <v>0</v>
      </c>
      <c r="AD30" s="10">
        <f t="shared" si="6"/>
        <v>0</v>
      </c>
      <c r="AE30" s="10">
        <f t="shared" si="6"/>
        <v>0</v>
      </c>
      <c r="AF30" s="10">
        <f t="shared" si="6"/>
        <v>0</v>
      </c>
      <c r="AG30" s="10">
        <f t="shared" si="6"/>
        <v>0</v>
      </c>
      <c r="AH30" s="10">
        <f t="shared" si="6"/>
        <v>0</v>
      </c>
      <c r="AI30" s="10">
        <f t="shared" si="6"/>
        <v>0</v>
      </c>
      <c r="AJ30" s="10">
        <f t="shared" si="6"/>
        <v>0</v>
      </c>
      <c r="AK30" s="10">
        <f t="shared" si="6"/>
        <v>0</v>
      </c>
      <c r="AL30" s="10">
        <f t="shared" si="6"/>
        <v>0</v>
      </c>
    </row>
    <row r="31" spans="1:38" s="13" customFormat="1" ht="12.75" customHeight="1">
      <c r="A31" s="354">
        <v>4</v>
      </c>
      <c r="B31" s="214" t="s">
        <v>75</v>
      </c>
      <c r="C31" s="208">
        <v>71095</v>
      </c>
      <c r="D31" s="211" t="s">
        <v>145</v>
      </c>
      <c r="E31" s="164"/>
      <c r="F31" s="217">
        <v>2011</v>
      </c>
      <c r="G31" s="81" t="s">
        <v>9</v>
      </c>
      <c r="H31" s="15" t="s">
        <v>10</v>
      </c>
      <c r="I31" s="60">
        <v>56658</v>
      </c>
      <c r="J31" s="61">
        <v>1556</v>
      </c>
      <c r="K31" s="61">
        <v>1547</v>
      </c>
      <c r="L31" s="61">
        <v>1556</v>
      </c>
      <c r="M31" s="146">
        <f t="shared" si="0"/>
        <v>58205</v>
      </c>
      <c r="N31" s="60"/>
      <c r="O31" s="12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3" customFormat="1" ht="12.75">
      <c r="A32" s="348"/>
      <c r="B32" s="215"/>
      <c r="C32" s="209"/>
      <c r="D32" s="362"/>
      <c r="E32" s="165"/>
      <c r="F32" s="228"/>
      <c r="G32" s="341">
        <v>378037</v>
      </c>
      <c r="H32" s="16" t="s">
        <v>11</v>
      </c>
      <c r="I32" s="62">
        <v>63648</v>
      </c>
      <c r="J32" s="63"/>
      <c r="K32" s="63"/>
      <c r="L32" s="63"/>
      <c r="M32" s="147">
        <f t="shared" si="0"/>
        <v>63648</v>
      </c>
      <c r="N32" s="62"/>
      <c r="O32" s="12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3" customFormat="1" ht="12.75">
      <c r="A33" s="348"/>
      <c r="B33" s="215"/>
      <c r="C33" s="209"/>
      <c r="D33" s="362"/>
      <c r="E33" s="165"/>
      <c r="F33" s="228"/>
      <c r="G33" s="342"/>
      <c r="H33" s="16" t="s">
        <v>12</v>
      </c>
      <c r="I33" s="62"/>
      <c r="J33" s="63"/>
      <c r="K33" s="63"/>
      <c r="L33" s="63"/>
      <c r="M33" s="147">
        <f t="shared" si="0"/>
        <v>0</v>
      </c>
      <c r="N33" s="62"/>
      <c r="O33" s="128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3" customFormat="1" ht="11.25" customHeight="1">
      <c r="A34" s="348"/>
      <c r="B34" s="215"/>
      <c r="C34" s="209"/>
      <c r="D34" s="362"/>
      <c r="E34" s="165"/>
      <c r="F34" s="212"/>
      <c r="G34" s="83" t="s">
        <v>13</v>
      </c>
      <c r="H34" s="16" t="s">
        <v>14</v>
      </c>
      <c r="I34" s="62"/>
      <c r="J34" s="63"/>
      <c r="K34" s="63"/>
      <c r="L34" s="63"/>
      <c r="M34" s="147">
        <f t="shared" si="0"/>
        <v>0</v>
      </c>
      <c r="N34" s="62"/>
      <c r="O34" s="12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3" customFormat="1" ht="12.75">
      <c r="A35" s="348"/>
      <c r="B35" s="215"/>
      <c r="C35" s="209"/>
      <c r="D35" s="362"/>
      <c r="E35" s="165"/>
      <c r="F35" s="227">
        <v>2013</v>
      </c>
      <c r="G35" s="341">
        <v>63648</v>
      </c>
      <c r="H35" s="16" t="s">
        <v>15</v>
      </c>
      <c r="I35" s="62">
        <v>319823</v>
      </c>
      <c r="J35" s="63"/>
      <c r="K35" s="63"/>
      <c r="L35" s="63"/>
      <c r="M35" s="147">
        <f t="shared" si="0"/>
        <v>319823</v>
      </c>
      <c r="N35" s="62"/>
      <c r="O35" s="12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3" customFormat="1" ht="12.75">
      <c r="A36" s="348"/>
      <c r="B36" s="215"/>
      <c r="C36" s="209"/>
      <c r="D36" s="362"/>
      <c r="E36" s="165"/>
      <c r="F36" s="228"/>
      <c r="G36" s="342"/>
      <c r="H36" s="16" t="s">
        <v>16</v>
      </c>
      <c r="I36" s="62"/>
      <c r="J36" s="63"/>
      <c r="K36" s="63"/>
      <c r="L36" s="63"/>
      <c r="M36" s="147">
        <f t="shared" si="0"/>
        <v>0</v>
      </c>
      <c r="N36" s="62"/>
      <c r="O36" s="12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3" customFormat="1" ht="12.75">
      <c r="A37" s="348"/>
      <c r="B37" s="215"/>
      <c r="C37" s="209"/>
      <c r="D37" s="362"/>
      <c r="E37" s="165"/>
      <c r="F37" s="228"/>
      <c r="G37" s="83" t="s">
        <v>17</v>
      </c>
      <c r="H37" s="16" t="s">
        <v>18</v>
      </c>
      <c r="I37" s="6">
        <f aca="true" t="shared" si="7" ref="I37:AL37">I31+I33+I35</f>
        <v>376481</v>
      </c>
      <c r="J37" s="7">
        <f t="shared" si="7"/>
        <v>1556</v>
      </c>
      <c r="K37" s="7">
        <f t="shared" si="7"/>
        <v>1547</v>
      </c>
      <c r="L37" s="7">
        <f t="shared" si="7"/>
        <v>1556</v>
      </c>
      <c r="M37" s="123">
        <f t="shared" si="0"/>
        <v>378028</v>
      </c>
      <c r="N37" s="149">
        <f>M37/G32</f>
        <v>0.9999761928065243</v>
      </c>
      <c r="O37" s="129">
        <f t="shared" si="7"/>
        <v>0</v>
      </c>
      <c r="P37" s="7">
        <f t="shared" si="7"/>
        <v>0</v>
      </c>
      <c r="Q37" s="7">
        <f t="shared" si="7"/>
        <v>0</v>
      </c>
      <c r="R37" s="7">
        <f t="shared" si="7"/>
        <v>0</v>
      </c>
      <c r="S37" s="7">
        <f t="shared" si="7"/>
        <v>0</v>
      </c>
      <c r="T37" s="7">
        <f t="shared" si="7"/>
        <v>0</v>
      </c>
      <c r="U37" s="7">
        <f t="shared" si="7"/>
        <v>0</v>
      </c>
      <c r="V37" s="7">
        <f t="shared" si="7"/>
        <v>0</v>
      </c>
      <c r="W37" s="7">
        <f t="shared" si="7"/>
        <v>0</v>
      </c>
      <c r="X37" s="7">
        <f t="shared" si="7"/>
        <v>0</v>
      </c>
      <c r="Y37" s="7">
        <f t="shared" si="7"/>
        <v>0</v>
      </c>
      <c r="Z37" s="7">
        <f t="shared" si="7"/>
        <v>0</v>
      </c>
      <c r="AA37" s="7">
        <f t="shared" si="7"/>
        <v>0</v>
      </c>
      <c r="AB37" s="7">
        <f t="shared" si="7"/>
        <v>0</v>
      </c>
      <c r="AC37" s="7">
        <f t="shared" si="7"/>
        <v>0</v>
      </c>
      <c r="AD37" s="7">
        <f t="shared" si="7"/>
        <v>0</v>
      </c>
      <c r="AE37" s="7">
        <f t="shared" si="7"/>
        <v>0</v>
      </c>
      <c r="AF37" s="7">
        <f t="shared" si="7"/>
        <v>0</v>
      </c>
      <c r="AG37" s="7">
        <f t="shared" si="7"/>
        <v>0</v>
      </c>
      <c r="AH37" s="7">
        <f t="shared" si="7"/>
        <v>0</v>
      </c>
      <c r="AI37" s="7">
        <f t="shared" si="7"/>
        <v>0</v>
      </c>
      <c r="AJ37" s="7">
        <f t="shared" si="7"/>
        <v>0</v>
      </c>
      <c r="AK37" s="7">
        <f t="shared" si="7"/>
        <v>0</v>
      </c>
      <c r="AL37" s="7">
        <f t="shared" si="7"/>
        <v>0</v>
      </c>
    </row>
    <row r="38" spans="1:38" s="13" customFormat="1" ht="13.5" thickBot="1">
      <c r="A38" s="355"/>
      <c r="B38" s="207"/>
      <c r="C38" s="210"/>
      <c r="D38" s="363"/>
      <c r="E38" s="166"/>
      <c r="F38" s="216"/>
      <c r="G38" s="85">
        <v>441685</v>
      </c>
      <c r="H38" s="17" t="s">
        <v>19</v>
      </c>
      <c r="I38" s="9">
        <f aca="true" t="shared" si="8" ref="I38:AL38">I32+I34+I36</f>
        <v>63648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24">
        <f t="shared" si="0"/>
        <v>63648</v>
      </c>
      <c r="N38" s="150">
        <f>M38/G35</f>
        <v>1</v>
      </c>
      <c r="O38" s="130">
        <f t="shared" si="8"/>
        <v>0</v>
      </c>
      <c r="P38" s="10">
        <f t="shared" si="8"/>
        <v>0</v>
      </c>
      <c r="Q38" s="10">
        <f t="shared" si="8"/>
        <v>0</v>
      </c>
      <c r="R38" s="10">
        <f t="shared" si="8"/>
        <v>0</v>
      </c>
      <c r="S38" s="10">
        <f t="shared" si="8"/>
        <v>0</v>
      </c>
      <c r="T38" s="10">
        <f t="shared" si="8"/>
        <v>0</v>
      </c>
      <c r="U38" s="10">
        <f t="shared" si="8"/>
        <v>0</v>
      </c>
      <c r="V38" s="10">
        <f t="shared" si="8"/>
        <v>0</v>
      </c>
      <c r="W38" s="10">
        <f t="shared" si="8"/>
        <v>0</v>
      </c>
      <c r="X38" s="10">
        <f t="shared" si="8"/>
        <v>0</v>
      </c>
      <c r="Y38" s="10">
        <f t="shared" si="8"/>
        <v>0</v>
      </c>
      <c r="Z38" s="10">
        <f t="shared" si="8"/>
        <v>0</v>
      </c>
      <c r="AA38" s="10">
        <f t="shared" si="8"/>
        <v>0</v>
      </c>
      <c r="AB38" s="10">
        <f t="shared" si="8"/>
        <v>0</v>
      </c>
      <c r="AC38" s="10">
        <f t="shared" si="8"/>
        <v>0</v>
      </c>
      <c r="AD38" s="10">
        <f t="shared" si="8"/>
        <v>0</v>
      </c>
      <c r="AE38" s="10">
        <f t="shared" si="8"/>
        <v>0</v>
      </c>
      <c r="AF38" s="10">
        <f t="shared" si="8"/>
        <v>0</v>
      </c>
      <c r="AG38" s="10">
        <f t="shared" si="8"/>
        <v>0</v>
      </c>
      <c r="AH38" s="10">
        <f t="shared" si="8"/>
        <v>0</v>
      </c>
      <c r="AI38" s="10">
        <f t="shared" si="8"/>
        <v>0</v>
      </c>
      <c r="AJ38" s="10">
        <f t="shared" si="8"/>
        <v>0</v>
      </c>
      <c r="AK38" s="10">
        <f t="shared" si="8"/>
        <v>0</v>
      </c>
      <c r="AL38" s="10">
        <f t="shared" si="8"/>
        <v>0</v>
      </c>
    </row>
    <row r="39" spans="1:38" s="13" customFormat="1" ht="15" customHeight="1">
      <c r="A39" s="354">
        <v>5</v>
      </c>
      <c r="B39" s="214" t="s">
        <v>133</v>
      </c>
      <c r="C39" s="211" t="s">
        <v>134</v>
      </c>
      <c r="D39" s="211" t="s">
        <v>145</v>
      </c>
      <c r="E39" s="164"/>
      <c r="F39" s="217">
        <v>2012</v>
      </c>
      <c r="G39" s="81" t="s">
        <v>9</v>
      </c>
      <c r="H39" s="15" t="s">
        <v>10</v>
      </c>
      <c r="I39" s="60">
        <f>80000+60000</f>
        <v>140000</v>
      </c>
      <c r="J39" s="61">
        <f>460000</f>
        <v>460000</v>
      </c>
      <c r="K39" s="61">
        <v>428844</v>
      </c>
      <c r="L39" s="61">
        <v>460000</v>
      </c>
      <c r="M39" s="146">
        <f t="shared" si="0"/>
        <v>568844</v>
      </c>
      <c r="N39" s="60"/>
      <c r="O39" s="12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s="13" customFormat="1" ht="15" customHeight="1">
      <c r="A40" s="348"/>
      <c r="B40" s="215"/>
      <c r="C40" s="362"/>
      <c r="D40" s="362"/>
      <c r="E40" s="165"/>
      <c r="F40" s="228"/>
      <c r="G40" s="341">
        <v>600000</v>
      </c>
      <c r="H40" s="16" t="s">
        <v>11</v>
      </c>
      <c r="I40" s="62"/>
      <c r="J40" s="63"/>
      <c r="K40" s="63"/>
      <c r="L40" s="63"/>
      <c r="M40" s="147">
        <f t="shared" si="0"/>
        <v>0</v>
      </c>
      <c r="N40" s="62"/>
      <c r="O40" s="12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3" customFormat="1" ht="15" customHeight="1">
      <c r="A41" s="348"/>
      <c r="B41" s="215"/>
      <c r="C41" s="362"/>
      <c r="D41" s="362"/>
      <c r="E41" s="165"/>
      <c r="F41" s="228"/>
      <c r="G41" s="342"/>
      <c r="H41" s="16" t="s">
        <v>12</v>
      </c>
      <c r="I41" s="62"/>
      <c r="J41" s="63"/>
      <c r="K41" s="63"/>
      <c r="L41" s="63"/>
      <c r="M41" s="147">
        <f t="shared" si="0"/>
        <v>0</v>
      </c>
      <c r="N41" s="62"/>
      <c r="O41" s="12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3" customFormat="1" ht="15" customHeight="1">
      <c r="A42" s="348"/>
      <c r="B42" s="215"/>
      <c r="C42" s="362"/>
      <c r="D42" s="362"/>
      <c r="E42" s="165"/>
      <c r="F42" s="212"/>
      <c r="G42" s="83" t="s">
        <v>13</v>
      </c>
      <c r="H42" s="16" t="s">
        <v>14</v>
      </c>
      <c r="I42" s="62"/>
      <c r="J42" s="63"/>
      <c r="K42" s="63"/>
      <c r="L42" s="63"/>
      <c r="M42" s="147">
        <f t="shared" si="0"/>
        <v>0</v>
      </c>
      <c r="N42" s="62"/>
      <c r="O42" s="12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3" customFormat="1" ht="15" customHeight="1">
      <c r="A43" s="348"/>
      <c r="B43" s="215"/>
      <c r="C43" s="362"/>
      <c r="D43" s="362"/>
      <c r="E43" s="165" t="s">
        <v>103</v>
      </c>
      <c r="F43" s="227">
        <v>2013</v>
      </c>
      <c r="G43" s="341">
        <v>0</v>
      </c>
      <c r="H43" s="16" t="s">
        <v>15</v>
      </c>
      <c r="I43" s="62"/>
      <c r="J43" s="63"/>
      <c r="K43" s="63"/>
      <c r="L43" s="63"/>
      <c r="M43" s="147">
        <f t="shared" si="0"/>
        <v>0</v>
      </c>
      <c r="N43" s="62"/>
      <c r="O43" s="12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3" customFormat="1" ht="15" customHeight="1">
      <c r="A44" s="348"/>
      <c r="B44" s="215"/>
      <c r="C44" s="362"/>
      <c r="D44" s="362"/>
      <c r="E44" s="165"/>
      <c r="F44" s="228"/>
      <c r="G44" s="342"/>
      <c r="H44" s="16" t="s">
        <v>16</v>
      </c>
      <c r="I44" s="62"/>
      <c r="J44" s="63"/>
      <c r="K44" s="63"/>
      <c r="L44" s="63"/>
      <c r="M44" s="147">
        <f t="shared" si="0"/>
        <v>0</v>
      </c>
      <c r="N44" s="62"/>
      <c r="O44" s="12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3" customFormat="1" ht="15" customHeight="1">
      <c r="A45" s="348"/>
      <c r="B45" s="215"/>
      <c r="C45" s="362"/>
      <c r="D45" s="362"/>
      <c r="E45" s="165"/>
      <c r="F45" s="228"/>
      <c r="G45" s="83" t="s">
        <v>17</v>
      </c>
      <c r="H45" s="16" t="s">
        <v>18</v>
      </c>
      <c r="I45" s="6">
        <f aca="true" t="shared" si="9" ref="I45:AL45">I39+I41+I43</f>
        <v>140000</v>
      </c>
      <c r="J45" s="7">
        <f t="shared" si="9"/>
        <v>460000</v>
      </c>
      <c r="K45" s="7">
        <f t="shared" si="9"/>
        <v>428844</v>
      </c>
      <c r="L45" s="7">
        <f t="shared" si="9"/>
        <v>460000</v>
      </c>
      <c r="M45" s="123">
        <f t="shared" si="0"/>
        <v>568844</v>
      </c>
      <c r="N45" s="149">
        <f>M45/G40</f>
        <v>0.9480733333333333</v>
      </c>
      <c r="O45" s="129">
        <f t="shared" si="9"/>
        <v>0</v>
      </c>
      <c r="P45" s="7">
        <f t="shared" si="9"/>
        <v>0</v>
      </c>
      <c r="Q45" s="7">
        <f t="shared" si="9"/>
        <v>0</v>
      </c>
      <c r="R45" s="7">
        <f t="shared" si="9"/>
        <v>0</v>
      </c>
      <c r="S45" s="7">
        <f t="shared" si="9"/>
        <v>0</v>
      </c>
      <c r="T45" s="7">
        <f t="shared" si="9"/>
        <v>0</v>
      </c>
      <c r="U45" s="7">
        <f t="shared" si="9"/>
        <v>0</v>
      </c>
      <c r="V45" s="7">
        <f t="shared" si="9"/>
        <v>0</v>
      </c>
      <c r="W45" s="7">
        <f t="shared" si="9"/>
        <v>0</v>
      </c>
      <c r="X45" s="7">
        <f t="shared" si="9"/>
        <v>0</v>
      </c>
      <c r="Y45" s="7">
        <f t="shared" si="9"/>
        <v>0</v>
      </c>
      <c r="Z45" s="7">
        <f t="shared" si="9"/>
        <v>0</v>
      </c>
      <c r="AA45" s="7">
        <f t="shared" si="9"/>
        <v>0</v>
      </c>
      <c r="AB45" s="7">
        <f t="shared" si="9"/>
        <v>0</v>
      </c>
      <c r="AC45" s="7">
        <f t="shared" si="9"/>
        <v>0</v>
      </c>
      <c r="AD45" s="7">
        <f t="shared" si="9"/>
        <v>0</v>
      </c>
      <c r="AE45" s="7">
        <f t="shared" si="9"/>
        <v>0</v>
      </c>
      <c r="AF45" s="7">
        <f t="shared" si="9"/>
        <v>0</v>
      </c>
      <c r="AG45" s="7">
        <f t="shared" si="9"/>
        <v>0</v>
      </c>
      <c r="AH45" s="7">
        <f t="shared" si="9"/>
        <v>0</v>
      </c>
      <c r="AI45" s="7">
        <f t="shared" si="9"/>
        <v>0</v>
      </c>
      <c r="AJ45" s="7">
        <f t="shared" si="9"/>
        <v>0</v>
      </c>
      <c r="AK45" s="7">
        <f t="shared" si="9"/>
        <v>0</v>
      </c>
      <c r="AL45" s="7">
        <f t="shared" si="9"/>
        <v>0</v>
      </c>
    </row>
    <row r="46" spans="1:38" s="13" customFormat="1" ht="15" customHeight="1" thickBot="1">
      <c r="A46" s="355"/>
      <c r="B46" s="207"/>
      <c r="C46" s="363"/>
      <c r="D46" s="363"/>
      <c r="E46" s="166"/>
      <c r="F46" s="216"/>
      <c r="G46" s="85">
        <v>600000</v>
      </c>
      <c r="H46" s="17" t="s">
        <v>19</v>
      </c>
      <c r="I46" s="9">
        <f aca="true" t="shared" si="10" ref="I46:AL46">I40+I42+I44</f>
        <v>0</v>
      </c>
      <c r="J46" s="10">
        <f t="shared" si="10"/>
        <v>0</v>
      </c>
      <c r="K46" s="10">
        <f t="shared" si="10"/>
        <v>0</v>
      </c>
      <c r="L46" s="10">
        <f t="shared" si="10"/>
        <v>0</v>
      </c>
      <c r="M46" s="124">
        <f t="shared" si="0"/>
        <v>0</v>
      </c>
      <c r="N46" s="150"/>
      <c r="O46" s="130">
        <f t="shared" si="10"/>
        <v>0</v>
      </c>
      <c r="P46" s="10">
        <f t="shared" si="10"/>
        <v>0</v>
      </c>
      <c r="Q46" s="10">
        <f t="shared" si="10"/>
        <v>0</v>
      </c>
      <c r="R46" s="10">
        <f t="shared" si="10"/>
        <v>0</v>
      </c>
      <c r="S46" s="10">
        <f t="shared" si="10"/>
        <v>0</v>
      </c>
      <c r="T46" s="10">
        <f t="shared" si="10"/>
        <v>0</v>
      </c>
      <c r="U46" s="10">
        <f t="shared" si="10"/>
        <v>0</v>
      </c>
      <c r="V46" s="10">
        <f t="shared" si="10"/>
        <v>0</v>
      </c>
      <c r="W46" s="10">
        <f t="shared" si="10"/>
        <v>0</v>
      </c>
      <c r="X46" s="10">
        <f t="shared" si="10"/>
        <v>0</v>
      </c>
      <c r="Y46" s="10">
        <f t="shared" si="10"/>
        <v>0</v>
      </c>
      <c r="Z46" s="10">
        <f t="shared" si="10"/>
        <v>0</v>
      </c>
      <c r="AA46" s="10">
        <f t="shared" si="10"/>
        <v>0</v>
      </c>
      <c r="AB46" s="10">
        <f t="shared" si="10"/>
        <v>0</v>
      </c>
      <c r="AC46" s="10">
        <f t="shared" si="10"/>
        <v>0</v>
      </c>
      <c r="AD46" s="10">
        <f t="shared" si="10"/>
        <v>0</v>
      </c>
      <c r="AE46" s="10">
        <f t="shared" si="10"/>
        <v>0</v>
      </c>
      <c r="AF46" s="10">
        <f t="shared" si="10"/>
        <v>0</v>
      </c>
      <c r="AG46" s="10">
        <f t="shared" si="10"/>
        <v>0</v>
      </c>
      <c r="AH46" s="10">
        <f t="shared" si="10"/>
        <v>0</v>
      </c>
      <c r="AI46" s="10">
        <f t="shared" si="10"/>
        <v>0</v>
      </c>
      <c r="AJ46" s="10">
        <f t="shared" si="10"/>
        <v>0</v>
      </c>
      <c r="AK46" s="10">
        <f t="shared" si="10"/>
        <v>0</v>
      </c>
      <c r="AL46" s="10">
        <f t="shared" si="10"/>
        <v>0</v>
      </c>
    </row>
    <row r="47" spans="1:38" s="13" customFormat="1" ht="15.75" customHeight="1">
      <c r="A47" s="354">
        <v>6</v>
      </c>
      <c r="B47" s="214" t="s">
        <v>107</v>
      </c>
      <c r="C47" s="208">
        <v>75421</v>
      </c>
      <c r="D47" s="211" t="s">
        <v>8</v>
      </c>
      <c r="E47" s="164"/>
      <c r="F47" s="217">
        <v>2011</v>
      </c>
      <c r="G47" s="81" t="s">
        <v>9</v>
      </c>
      <c r="H47" s="15" t="s">
        <v>10</v>
      </c>
      <c r="I47" s="60">
        <v>656700</v>
      </c>
      <c r="J47" s="61">
        <v>316800</v>
      </c>
      <c r="K47" s="61">
        <v>112000</v>
      </c>
      <c r="L47" s="61">
        <v>316800</v>
      </c>
      <c r="M47" s="146">
        <f t="shared" si="0"/>
        <v>768700</v>
      </c>
      <c r="N47" s="60"/>
      <c r="O47" s="12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13" customFormat="1" ht="15.75" customHeight="1">
      <c r="A48" s="348"/>
      <c r="B48" s="215"/>
      <c r="C48" s="209"/>
      <c r="D48" s="362"/>
      <c r="E48" s="165"/>
      <c r="F48" s="228"/>
      <c r="G48" s="341">
        <v>1029590</v>
      </c>
      <c r="H48" s="16" t="s">
        <v>11</v>
      </c>
      <c r="I48" s="62"/>
      <c r="J48" s="63"/>
      <c r="K48" s="63"/>
      <c r="L48" s="63"/>
      <c r="M48" s="147">
        <f t="shared" si="0"/>
        <v>0</v>
      </c>
      <c r="N48" s="62"/>
      <c r="O48" s="12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3" customFormat="1" ht="15.75" customHeight="1">
      <c r="A49" s="348"/>
      <c r="B49" s="215"/>
      <c r="C49" s="209"/>
      <c r="D49" s="362"/>
      <c r="E49" s="165"/>
      <c r="F49" s="228"/>
      <c r="G49" s="342"/>
      <c r="H49" s="16" t="s">
        <v>12</v>
      </c>
      <c r="I49" s="62"/>
      <c r="J49" s="63"/>
      <c r="K49" s="63"/>
      <c r="L49" s="63"/>
      <c r="M49" s="147">
        <f t="shared" si="0"/>
        <v>0</v>
      </c>
      <c r="N49" s="62"/>
      <c r="O49" s="128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3" customFormat="1" ht="15.75" customHeight="1">
      <c r="A50" s="348"/>
      <c r="B50" s="215"/>
      <c r="C50" s="209"/>
      <c r="D50" s="362"/>
      <c r="E50" s="165"/>
      <c r="F50" s="212"/>
      <c r="G50" s="83" t="s">
        <v>13</v>
      </c>
      <c r="H50" s="16" t="s">
        <v>14</v>
      </c>
      <c r="I50" s="62"/>
      <c r="J50" s="63"/>
      <c r="K50" s="63"/>
      <c r="L50" s="63"/>
      <c r="M50" s="147">
        <f t="shared" si="0"/>
        <v>0</v>
      </c>
      <c r="N50" s="62"/>
      <c r="O50" s="128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3" customFormat="1" ht="15.75" customHeight="1">
      <c r="A51" s="348"/>
      <c r="B51" s="215"/>
      <c r="C51" s="209"/>
      <c r="D51" s="362"/>
      <c r="E51" s="165" t="s">
        <v>103</v>
      </c>
      <c r="F51" s="227">
        <v>2015</v>
      </c>
      <c r="G51" s="341">
        <v>0</v>
      </c>
      <c r="H51" s="16" t="s">
        <v>15</v>
      </c>
      <c r="I51" s="62"/>
      <c r="J51" s="63"/>
      <c r="K51" s="63"/>
      <c r="L51" s="63"/>
      <c r="M51" s="147">
        <f t="shared" si="0"/>
        <v>0</v>
      </c>
      <c r="N51" s="62"/>
      <c r="O51" s="128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13" customFormat="1" ht="15.75" customHeight="1">
      <c r="A52" s="348"/>
      <c r="B52" s="215"/>
      <c r="C52" s="209"/>
      <c r="D52" s="362"/>
      <c r="E52" s="165"/>
      <c r="F52" s="228"/>
      <c r="G52" s="342"/>
      <c r="H52" s="16" t="s">
        <v>16</v>
      </c>
      <c r="I52" s="62"/>
      <c r="J52" s="63"/>
      <c r="K52" s="63"/>
      <c r="L52" s="63"/>
      <c r="M52" s="147">
        <f t="shared" si="0"/>
        <v>0</v>
      </c>
      <c r="N52" s="62"/>
      <c r="O52" s="128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s="13" customFormat="1" ht="15.75" customHeight="1">
      <c r="A53" s="348"/>
      <c r="B53" s="215"/>
      <c r="C53" s="209"/>
      <c r="D53" s="362"/>
      <c r="E53" s="165"/>
      <c r="F53" s="228"/>
      <c r="G53" s="83" t="s">
        <v>17</v>
      </c>
      <c r="H53" s="16" t="s">
        <v>18</v>
      </c>
      <c r="I53" s="6">
        <f aca="true" t="shared" si="11" ref="I53:AL53">I47+I49+I51</f>
        <v>656700</v>
      </c>
      <c r="J53" s="7">
        <f t="shared" si="11"/>
        <v>316800</v>
      </c>
      <c r="K53" s="7">
        <f t="shared" si="11"/>
        <v>112000</v>
      </c>
      <c r="L53" s="7">
        <f t="shared" si="11"/>
        <v>316800</v>
      </c>
      <c r="M53" s="123">
        <f t="shared" si="0"/>
        <v>768700</v>
      </c>
      <c r="N53" s="149">
        <f>M53/G48</f>
        <v>0.74660787303684</v>
      </c>
      <c r="O53" s="129">
        <f t="shared" si="11"/>
        <v>0</v>
      </c>
      <c r="P53" s="7">
        <f t="shared" si="11"/>
        <v>0</v>
      </c>
      <c r="Q53" s="7">
        <f t="shared" si="11"/>
        <v>0</v>
      </c>
      <c r="R53" s="7">
        <f t="shared" si="11"/>
        <v>0</v>
      </c>
      <c r="S53" s="7">
        <f t="shared" si="11"/>
        <v>0</v>
      </c>
      <c r="T53" s="7">
        <f t="shared" si="11"/>
        <v>0</v>
      </c>
      <c r="U53" s="7">
        <f t="shared" si="11"/>
        <v>0</v>
      </c>
      <c r="V53" s="7">
        <f t="shared" si="11"/>
        <v>0</v>
      </c>
      <c r="W53" s="7">
        <f t="shared" si="11"/>
        <v>0</v>
      </c>
      <c r="X53" s="7">
        <f t="shared" si="11"/>
        <v>0</v>
      </c>
      <c r="Y53" s="7">
        <f t="shared" si="11"/>
        <v>0</v>
      </c>
      <c r="Z53" s="7">
        <f t="shared" si="11"/>
        <v>0</v>
      </c>
      <c r="AA53" s="7">
        <f t="shared" si="11"/>
        <v>0</v>
      </c>
      <c r="AB53" s="7">
        <f t="shared" si="11"/>
        <v>0</v>
      </c>
      <c r="AC53" s="7">
        <f t="shared" si="11"/>
        <v>0</v>
      </c>
      <c r="AD53" s="7">
        <f t="shared" si="11"/>
        <v>0</v>
      </c>
      <c r="AE53" s="7">
        <f t="shared" si="11"/>
        <v>0</v>
      </c>
      <c r="AF53" s="7">
        <f t="shared" si="11"/>
        <v>0</v>
      </c>
      <c r="AG53" s="7">
        <f t="shared" si="11"/>
        <v>0</v>
      </c>
      <c r="AH53" s="7">
        <f t="shared" si="11"/>
        <v>0</v>
      </c>
      <c r="AI53" s="7">
        <f t="shared" si="11"/>
        <v>0</v>
      </c>
      <c r="AJ53" s="7">
        <f t="shared" si="11"/>
        <v>0</v>
      </c>
      <c r="AK53" s="7">
        <f t="shared" si="11"/>
        <v>0</v>
      </c>
      <c r="AL53" s="7">
        <f t="shared" si="11"/>
        <v>0</v>
      </c>
    </row>
    <row r="54" spans="1:38" s="13" customFormat="1" ht="15.75" customHeight="1" thickBot="1">
      <c r="A54" s="348"/>
      <c r="B54" s="207"/>
      <c r="C54" s="210"/>
      <c r="D54" s="363"/>
      <c r="E54" s="166"/>
      <c r="F54" s="216"/>
      <c r="G54" s="85">
        <v>1029590</v>
      </c>
      <c r="H54" s="17" t="s">
        <v>19</v>
      </c>
      <c r="I54" s="9">
        <f aca="true" t="shared" si="12" ref="I54:AL54">I48+I50+I52</f>
        <v>0</v>
      </c>
      <c r="J54" s="10">
        <f t="shared" si="12"/>
        <v>0</v>
      </c>
      <c r="K54" s="10">
        <f t="shared" si="12"/>
        <v>0</v>
      </c>
      <c r="L54" s="10">
        <f t="shared" si="12"/>
        <v>0</v>
      </c>
      <c r="M54" s="124">
        <f t="shared" si="0"/>
        <v>0</v>
      </c>
      <c r="N54" s="149"/>
      <c r="O54" s="130">
        <f t="shared" si="12"/>
        <v>0</v>
      </c>
      <c r="P54" s="10">
        <f t="shared" si="12"/>
        <v>0</v>
      </c>
      <c r="Q54" s="10">
        <f t="shared" si="12"/>
        <v>0</v>
      </c>
      <c r="R54" s="10">
        <f t="shared" si="12"/>
        <v>0</v>
      </c>
      <c r="S54" s="10">
        <f t="shared" si="12"/>
        <v>0</v>
      </c>
      <c r="T54" s="10">
        <f t="shared" si="12"/>
        <v>0</v>
      </c>
      <c r="U54" s="10">
        <f t="shared" si="12"/>
        <v>0</v>
      </c>
      <c r="V54" s="10">
        <f t="shared" si="12"/>
        <v>0</v>
      </c>
      <c r="W54" s="10">
        <f t="shared" si="12"/>
        <v>0</v>
      </c>
      <c r="X54" s="10">
        <f t="shared" si="12"/>
        <v>0</v>
      </c>
      <c r="Y54" s="10">
        <f t="shared" si="12"/>
        <v>0</v>
      </c>
      <c r="Z54" s="10">
        <f t="shared" si="12"/>
        <v>0</v>
      </c>
      <c r="AA54" s="10">
        <f t="shared" si="12"/>
        <v>0</v>
      </c>
      <c r="AB54" s="10">
        <f t="shared" si="12"/>
        <v>0</v>
      </c>
      <c r="AC54" s="10">
        <f t="shared" si="12"/>
        <v>0</v>
      </c>
      <c r="AD54" s="10">
        <f t="shared" si="12"/>
        <v>0</v>
      </c>
      <c r="AE54" s="10">
        <f t="shared" si="12"/>
        <v>0</v>
      </c>
      <c r="AF54" s="10">
        <f t="shared" si="12"/>
        <v>0</v>
      </c>
      <c r="AG54" s="10">
        <f t="shared" si="12"/>
        <v>0</v>
      </c>
      <c r="AH54" s="10">
        <f t="shared" si="12"/>
        <v>0</v>
      </c>
      <c r="AI54" s="10">
        <f t="shared" si="12"/>
        <v>0</v>
      </c>
      <c r="AJ54" s="10">
        <f t="shared" si="12"/>
        <v>0</v>
      </c>
      <c r="AK54" s="10">
        <f t="shared" si="12"/>
        <v>0</v>
      </c>
      <c r="AL54" s="10">
        <f t="shared" si="12"/>
        <v>0</v>
      </c>
    </row>
    <row r="55" spans="1:38" ht="15" customHeight="1">
      <c r="A55" s="354">
        <v>7</v>
      </c>
      <c r="B55" s="214" t="s">
        <v>52</v>
      </c>
      <c r="C55" s="208">
        <v>75495</v>
      </c>
      <c r="D55" s="211" t="s">
        <v>8</v>
      </c>
      <c r="E55" s="164"/>
      <c r="F55" s="217">
        <v>2011</v>
      </c>
      <c r="G55" s="81" t="s">
        <v>9</v>
      </c>
      <c r="H55" s="15" t="s">
        <v>10</v>
      </c>
      <c r="I55" s="60">
        <v>110100</v>
      </c>
      <c r="J55" s="61">
        <v>35860</v>
      </c>
      <c r="K55" s="61">
        <v>26300</v>
      </c>
      <c r="L55" s="61">
        <v>35860</v>
      </c>
      <c r="M55" s="146">
        <f t="shared" si="0"/>
        <v>136400</v>
      </c>
      <c r="N55" s="60"/>
      <c r="O55" s="12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" customHeight="1">
      <c r="A56" s="348"/>
      <c r="B56" s="215"/>
      <c r="C56" s="209"/>
      <c r="D56" s="362"/>
      <c r="E56" s="165"/>
      <c r="F56" s="228"/>
      <c r="G56" s="341">
        <v>145960</v>
      </c>
      <c r="H56" s="16" t="s">
        <v>11</v>
      </c>
      <c r="I56" s="62"/>
      <c r="J56" s="63"/>
      <c r="K56" s="63"/>
      <c r="L56" s="63"/>
      <c r="M56" s="147">
        <f t="shared" si="0"/>
        <v>0</v>
      </c>
      <c r="N56" s="62"/>
      <c r="O56" s="12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5" customHeight="1">
      <c r="A57" s="348"/>
      <c r="B57" s="215"/>
      <c r="C57" s="209"/>
      <c r="D57" s="362"/>
      <c r="E57" s="165"/>
      <c r="F57" s="228"/>
      <c r="G57" s="342"/>
      <c r="H57" s="16" t="s">
        <v>12</v>
      </c>
      <c r="I57" s="62"/>
      <c r="J57" s="63"/>
      <c r="K57" s="63"/>
      <c r="L57" s="63"/>
      <c r="M57" s="147">
        <f t="shared" si="0"/>
        <v>0</v>
      </c>
      <c r="N57" s="62"/>
      <c r="O57" s="12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5" customHeight="1">
      <c r="A58" s="348"/>
      <c r="B58" s="215"/>
      <c r="C58" s="209"/>
      <c r="D58" s="362"/>
      <c r="E58" s="165"/>
      <c r="F58" s="212"/>
      <c r="G58" s="83" t="s">
        <v>13</v>
      </c>
      <c r="H58" s="16" t="s">
        <v>14</v>
      </c>
      <c r="I58" s="62"/>
      <c r="J58" s="63"/>
      <c r="K58" s="63"/>
      <c r="L58" s="63"/>
      <c r="M58" s="147">
        <f t="shared" si="0"/>
        <v>0</v>
      </c>
      <c r="N58" s="62"/>
      <c r="O58" s="12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5" customHeight="1">
      <c r="A59" s="348"/>
      <c r="B59" s="215"/>
      <c r="C59" s="209"/>
      <c r="D59" s="362"/>
      <c r="E59" s="165" t="s">
        <v>103</v>
      </c>
      <c r="F59" s="227">
        <v>2013</v>
      </c>
      <c r="G59" s="341">
        <v>0</v>
      </c>
      <c r="H59" s="16" t="s">
        <v>15</v>
      </c>
      <c r="I59" s="62"/>
      <c r="J59" s="63"/>
      <c r="K59" s="63"/>
      <c r="L59" s="63"/>
      <c r="M59" s="147">
        <f t="shared" si="0"/>
        <v>0</v>
      </c>
      <c r="N59" s="62"/>
      <c r="O59" s="128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" customHeight="1">
      <c r="A60" s="348"/>
      <c r="B60" s="215"/>
      <c r="C60" s="209"/>
      <c r="D60" s="362"/>
      <c r="E60" s="165"/>
      <c r="F60" s="228"/>
      <c r="G60" s="342"/>
      <c r="H60" s="16" t="s">
        <v>16</v>
      </c>
      <c r="I60" s="62"/>
      <c r="J60" s="63"/>
      <c r="K60" s="63"/>
      <c r="L60" s="63"/>
      <c r="M60" s="147">
        <f t="shared" si="0"/>
        <v>0</v>
      </c>
      <c r="N60" s="62"/>
      <c r="O60" s="12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5" customHeight="1">
      <c r="A61" s="348"/>
      <c r="B61" s="215"/>
      <c r="C61" s="209"/>
      <c r="D61" s="362"/>
      <c r="E61" s="165"/>
      <c r="F61" s="228"/>
      <c r="G61" s="83" t="s">
        <v>17</v>
      </c>
      <c r="H61" s="16" t="s">
        <v>18</v>
      </c>
      <c r="I61" s="6">
        <f aca="true" t="shared" si="13" ref="I61:AL61">I55+I57+I59</f>
        <v>110100</v>
      </c>
      <c r="J61" s="7">
        <f t="shared" si="13"/>
        <v>35860</v>
      </c>
      <c r="K61" s="7">
        <f t="shared" si="13"/>
        <v>26300</v>
      </c>
      <c r="L61" s="7">
        <f t="shared" si="13"/>
        <v>35860</v>
      </c>
      <c r="M61" s="123">
        <f t="shared" si="0"/>
        <v>136400</v>
      </c>
      <c r="N61" s="149">
        <f>M61/G56</f>
        <v>0.9345026034530008</v>
      </c>
      <c r="O61" s="129">
        <f t="shared" si="13"/>
        <v>0</v>
      </c>
      <c r="P61" s="7">
        <f t="shared" si="13"/>
        <v>0</v>
      </c>
      <c r="Q61" s="7">
        <f t="shared" si="13"/>
        <v>0</v>
      </c>
      <c r="R61" s="7">
        <f t="shared" si="13"/>
        <v>0</v>
      </c>
      <c r="S61" s="7">
        <f t="shared" si="13"/>
        <v>0</v>
      </c>
      <c r="T61" s="7">
        <f t="shared" si="13"/>
        <v>0</v>
      </c>
      <c r="U61" s="7">
        <f t="shared" si="13"/>
        <v>0</v>
      </c>
      <c r="V61" s="7">
        <f t="shared" si="13"/>
        <v>0</v>
      </c>
      <c r="W61" s="7">
        <f t="shared" si="13"/>
        <v>0</v>
      </c>
      <c r="X61" s="7">
        <f t="shared" si="13"/>
        <v>0</v>
      </c>
      <c r="Y61" s="7">
        <f t="shared" si="13"/>
        <v>0</v>
      </c>
      <c r="Z61" s="7">
        <f t="shared" si="13"/>
        <v>0</v>
      </c>
      <c r="AA61" s="7">
        <f t="shared" si="13"/>
        <v>0</v>
      </c>
      <c r="AB61" s="7">
        <f t="shared" si="13"/>
        <v>0</v>
      </c>
      <c r="AC61" s="7">
        <f t="shared" si="13"/>
        <v>0</v>
      </c>
      <c r="AD61" s="7">
        <f t="shared" si="13"/>
        <v>0</v>
      </c>
      <c r="AE61" s="7">
        <f t="shared" si="13"/>
        <v>0</v>
      </c>
      <c r="AF61" s="7">
        <f t="shared" si="13"/>
        <v>0</v>
      </c>
      <c r="AG61" s="7">
        <f t="shared" si="13"/>
        <v>0</v>
      </c>
      <c r="AH61" s="7">
        <f t="shared" si="13"/>
        <v>0</v>
      </c>
      <c r="AI61" s="7">
        <f t="shared" si="13"/>
        <v>0</v>
      </c>
      <c r="AJ61" s="7">
        <f t="shared" si="13"/>
        <v>0</v>
      </c>
      <c r="AK61" s="7">
        <f t="shared" si="13"/>
        <v>0</v>
      </c>
      <c r="AL61" s="7">
        <f t="shared" si="13"/>
        <v>0</v>
      </c>
    </row>
    <row r="62" spans="1:38" ht="15" customHeight="1" thickBot="1">
      <c r="A62" s="355"/>
      <c r="B62" s="207"/>
      <c r="C62" s="210"/>
      <c r="D62" s="363"/>
      <c r="E62" s="166"/>
      <c r="F62" s="216"/>
      <c r="G62" s="85">
        <v>145960</v>
      </c>
      <c r="H62" s="17" t="s">
        <v>19</v>
      </c>
      <c r="I62" s="9">
        <f aca="true" t="shared" si="14" ref="I62:AL62">I56+I58+I60</f>
        <v>0</v>
      </c>
      <c r="J62" s="10">
        <f t="shared" si="14"/>
        <v>0</v>
      </c>
      <c r="K62" s="10">
        <f t="shared" si="14"/>
        <v>0</v>
      </c>
      <c r="L62" s="10">
        <f t="shared" si="14"/>
        <v>0</v>
      </c>
      <c r="M62" s="124">
        <f t="shared" si="0"/>
        <v>0</v>
      </c>
      <c r="N62" s="150"/>
      <c r="O62" s="130">
        <f t="shared" si="14"/>
        <v>0</v>
      </c>
      <c r="P62" s="10">
        <f t="shared" si="14"/>
        <v>0</v>
      </c>
      <c r="Q62" s="10">
        <f t="shared" si="14"/>
        <v>0</v>
      </c>
      <c r="R62" s="10">
        <f t="shared" si="14"/>
        <v>0</v>
      </c>
      <c r="S62" s="10">
        <f t="shared" si="14"/>
        <v>0</v>
      </c>
      <c r="T62" s="10">
        <f t="shared" si="14"/>
        <v>0</v>
      </c>
      <c r="U62" s="10">
        <f t="shared" si="14"/>
        <v>0</v>
      </c>
      <c r="V62" s="10">
        <f t="shared" si="14"/>
        <v>0</v>
      </c>
      <c r="W62" s="10">
        <f t="shared" si="14"/>
        <v>0</v>
      </c>
      <c r="X62" s="10">
        <f t="shared" si="14"/>
        <v>0</v>
      </c>
      <c r="Y62" s="10">
        <f t="shared" si="14"/>
        <v>0</v>
      </c>
      <c r="Z62" s="10">
        <f t="shared" si="14"/>
        <v>0</v>
      </c>
      <c r="AA62" s="10">
        <f t="shared" si="14"/>
        <v>0</v>
      </c>
      <c r="AB62" s="10">
        <f t="shared" si="14"/>
        <v>0</v>
      </c>
      <c r="AC62" s="10">
        <f t="shared" si="14"/>
        <v>0</v>
      </c>
      <c r="AD62" s="10">
        <f t="shared" si="14"/>
        <v>0</v>
      </c>
      <c r="AE62" s="10">
        <f t="shared" si="14"/>
        <v>0</v>
      </c>
      <c r="AF62" s="10">
        <f t="shared" si="14"/>
        <v>0</v>
      </c>
      <c r="AG62" s="10">
        <f t="shared" si="14"/>
        <v>0</v>
      </c>
      <c r="AH62" s="10">
        <f t="shared" si="14"/>
        <v>0</v>
      </c>
      <c r="AI62" s="10">
        <f t="shared" si="14"/>
        <v>0</v>
      </c>
      <c r="AJ62" s="10">
        <f t="shared" si="14"/>
        <v>0</v>
      </c>
      <c r="AK62" s="10">
        <f t="shared" si="14"/>
        <v>0</v>
      </c>
      <c r="AL62" s="10">
        <f t="shared" si="14"/>
        <v>0</v>
      </c>
    </row>
    <row r="63" spans="1:38" s="13" customFormat="1" ht="15" customHeight="1">
      <c r="A63" s="354">
        <v>8</v>
      </c>
      <c r="B63" s="214" t="s">
        <v>136</v>
      </c>
      <c r="C63" s="208">
        <v>80195</v>
      </c>
      <c r="D63" s="211" t="s">
        <v>49</v>
      </c>
      <c r="E63" s="164"/>
      <c r="F63" s="217">
        <v>2012</v>
      </c>
      <c r="G63" s="81" t="s">
        <v>9</v>
      </c>
      <c r="H63" s="15" t="s">
        <v>10</v>
      </c>
      <c r="I63" s="60">
        <v>75000</v>
      </c>
      <c r="J63" s="61">
        <v>150000</v>
      </c>
      <c r="K63" s="61">
        <v>149997</v>
      </c>
      <c r="L63" s="61">
        <v>149997</v>
      </c>
      <c r="M63" s="146">
        <f t="shared" si="0"/>
        <v>224997</v>
      </c>
      <c r="N63" s="60"/>
      <c r="O63" s="13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s="13" customFormat="1" ht="15" customHeight="1">
      <c r="A64" s="348"/>
      <c r="B64" s="215"/>
      <c r="C64" s="209"/>
      <c r="D64" s="362"/>
      <c r="E64" s="165"/>
      <c r="F64" s="228"/>
      <c r="G64" s="341">
        <v>449994</v>
      </c>
      <c r="H64" s="16" t="s">
        <v>11</v>
      </c>
      <c r="I64" s="62"/>
      <c r="J64" s="63"/>
      <c r="K64" s="63"/>
      <c r="L64" s="63"/>
      <c r="M64" s="147">
        <f t="shared" si="0"/>
        <v>0</v>
      </c>
      <c r="N64" s="62"/>
      <c r="O64" s="12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3" customFormat="1" ht="15" customHeight="1">
      <c r="A65" s="348"/>
      <c r="B65" s="215"/>
      <c r="C65" s="209"/>
      <c r="D65" s="362"/>
      <c r="E65" s="165"/>
      <c r="F65" s="228"/>
      <c r="G65" s="342"/>
      <c r="H65" s="16" t="s">
        <v>12</v>
      </c>
      <c r="I65" s="62"/>
      <c r="J65" s="63"/>
      <c r="K65" s="63"/>
      <c r="L65" s="63"/>
      <c r="M65" s="147">
        <f t="shared" si="0"/>
        <v>0</v>
      </c>
      <c r="N65" s="62"/>
      <c r="O65" s="128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3" customFormat="1" ht="15" customHeight="1">
      <c r="A66" s="348"/>
      <c r="B66" s="215"/>
      <c r="C66" s="209"/>
      <c r="D66" s="362"/>
      <c r="E66" s="165" t="s">
        <v>94</v>
      </c>
      <c r="F66" s="212"/>
      <c r="G66" s="83" t="s">
        <v>13</v>
      </c>
      <c r="H66" s="16" t="s">
        <v>14</v>
      </c>
      <c r="I66" s="62"/>
      <c r="J66" s="63"/>
      <c r="K66" s="63"/>
      <c r="L66" s="63"/>
      <c r="M66" s="147">
        <f t="shared" si="0"/>
        <v>0</v>
      </c>
      <c r="N66" s="62"/>
      <c r="O66" s="12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3" customFormat="1" ht="15" customHeight="1">
      <c r="A67" s="348"/>
      <c r="B67" s="215"/>
      <c r="C67" s="209"/>
      <c r="D67" s="362"/>
      <c r="E67" s="165"/>
      <c r="F67" s="227">
        <v>2015</v>
      </c>
      <c r="G67" s="341">
        <v>0</v>
      </c>
      <c r="H67" s="16" t="s">
        <v>15</v>
      </c>
      <c r="I67" s="62"/>
      <c r="J67" s="63"/>
      <c r="K67" s="63"/>
      <c r="L67" s="63"/>
      <c r="M67" s="147">
        <f t="shared" si="0"/>
        <v>0</v>
      </c>
      <c r="N67" s="62"/>
      <c r="O67" s="12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3" customFormat="1" ht="15" customHeight="1">
      <c r="A68" s="348"/>
      <c r="B68" s="215"/>
      <c r="C68" s="209"/>
      <c r="D68" s="362"/>
      <c r="E68" s="165"/>
      <c r="F68" s="228"/>
      <c r="G68" s="342"/>
      <c r="H68" s="16" t="s">
        <v>16</v>
      </c>
      <c r="I68" s="62"/>
      <c r="J68" s="63"/>
      <c r="K68" s="63"/>
      <c r="L68" s="63"/>
      <c r="M68" s="147">
        <f t="shared" si="0"/>
        <v>0</v>
      </c>
      <c r="N68" s="62"/>
      <c r="O68" s="12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3" customFormat="1" ht="15" customHeight="1">
      <c r="A69" s="348"/>
      <c r="B69" s="215"/>
      <c r="C69" s="209"/>
      <c r="D69" s="362"/>
      <c r="E69" s="165"/>
      <c r="F69" s="228"/>
      <c r="G69" s="83" t="s">
        <v>17</v>
      </c>
      <c r="H69" s="16" t="s">
        <v>18</v>
      </c>
      <c r="I69" s="6">
        <f aca="true" t="shared" si="15" ref="I69:AL69">I63+I65+I67</f>
        <v>75000</v>
      </c>
      <c r="J69" s="7">
        <f t="shared" si="15"/>
        <v>150000</v>
      </c>
      <c r="K69" s="7">
        <f t="shared" si="15"/>
        <v>149997</v>
      </c>
      <c r="L69" s="7">
        <f t="shared" si="15"/>
        <v>149997</v>
      </c>
      <c r="M69" s="123">
        <f t="shared" si="0"/>
        <v>224997</v>
      </c>
      <c r="N69" s="149">
        <f>M69/G64</f>
        <v>0.5</v>
      </c>
      <c r="O69" s="129">
        <f t="shared" si="15"/>
        <v>0</v>
      </c>
      <c r="P69" s="7">
        <f t="shared" si="15"/>
        <v>0</v>
      </c>
      <c r="Q69" s="7">
        <f t="shared" si="15"/>
        <v>0</v>
      </c>
      <c r="R69" s="7">
        <f t="shared" si="15"/>
        <v>0</v>
      </c>
      <c r="S69" s="7">
        <f t="shared" si="15"/>
        <v>0</v>
      </c>
      <c r="T69" s="7">
        <f t="shared" si="15"/>
        <v>0</v>
      </c>
      <c r="U69" s="7">
        <f t="shared" si="15"/>
        <v>0</v>
      </c>
      <c r="V69" s="7">
        <f t="shared" si="15"/>
        <v>0</v>
      </c>
      <c r="W69" s="7">
        <f t="shared" si="15"/>
        <v>0</v>
      </c>
      <c r="X69" s="7">
        <f t="shared" si="15"/>
        <v>0</v>
      </c>
      <c r="Y69" s="7">
        <f t="shared" si="15"/>
        <v>0</v>
      </c>
      <c r="Z69" s="7">
        <f t="shared" si="15"/>
        <v>0</v>
      </c>
      <c r="AA69" s="7">
        <f t="shared" si="15"/>
        <v>0</v>
      </c>
      <c r="AB69" s="7">
        <f t="shared" si="15"/>
        <v>0</v>
      </c>
      <c r="AC69" s="7">
        <f t="shared" si="15"/>
        <v>0</v>
      </c>
      <c r="AD69" s="7">
        <f t="shared" si="15"/>
        <v>0</v>
      </c>
      <c r="AE69" s="7">
        <f t="shared" si="15"/>
        <v>0</v>
      </c>
      <c r="AF69" s="7">
        <f t="shared" si="15"/>
        <v>0</v>
      </c>
      <c r="AG69" s="7">
        <f t="shared" si="15"/>
        <v>0</v>
      </c>
      <c r="AH69" s="7">
        <f t="shared" si="15"/>
        <v>0</v>
      </c>
      <c r="AI69" s="7">
        <f t="shared" si="15"/>
        <v>0</v>
      </c>
      <c r="AJ69" s="7">
        <f t="shared" si="15"/>
        <v>0</v>
      </c>
      <c r="AK69" s="7">
        <f t="shared" si="15"/>
        <v>0</v>
      </c>
      <c r="AL69" s="7">
        <f t="shared" si="15"/>
        <v>0</v>
      </c>
    </row>
    <row r="70" spans="1:38" s="13" customFormat="1" ht="15" customHeight="1" thickBot="1">
      <c r="A70" s="355"/>
      <c r="B70" s="207"/>
      <c r="C70" s="210"/>
      <c r="D70" s="363"/>
      <c r="E70" s="166"/>
      <c r="F70" s="216"/>
      <c r="G70" s="85">
        <v>449994</v>
      </c>
      <c r="H70" s="17" t="s">
        <v>19</v>
      </c>
      <c r="I70" s="9">
        <f aca="true" t="shared" si="16" ref="I70:AL70">I64+I66+I68</f>
        <v>0</v>
      </c>
      <c r="J70" s="10">
        <f t="shared" si="16"/>
        <v>0</v>
      </c>
      <c r="K70" s="10">
        <f t="shared" si="16"/>
        <v>0</v>
      </c>
      <c r="L70" s="10">
        <f t="shared" si="16"/>
        <v>0</v>
      </c>
      <c r="M70" s="124">
        <f t="shared" si="0"/>
        <v>0</v>
      </c>
      <c r="N70" s="150"/>
      <c r="O70" s="130">
        <f t="shared" si="16"/>
        <v>0</v>
      </c>
      <c r="P70" s="10">
        <f t="shared" si="16"/>
        <v>0</v>
      </c>
      <c r="Q70" s="10">
        <f t="shared" si="16"/>
        <v>0</v>
      </c>
      <c r="R70" s="10">
        <f t="shared" si="16"/>
        <v>0</v>
      </c>
      <c r="S70" s="10">
        <f t="shared" si="16"/>
        <v>0</v>
      </c>
      <c r="T70" s="10">
        <f t="shared" si="16"/>
        <v>0</v>
      </c>
      <c r="U70" s="10">
        <f t="shared" si="16"/>
        <v>0</v>
      </c>
      <c r="V70" s="10">
        <f t="shared" si="16"/>
        <v>0</v>
      </c>
      <c r="W70" s="10">
        <f t="shared" si="16"/>
        <v>0</v>
      </c>
      <c r="X70" s="10">
        <f t="shared" si="16"/>
        <v>0</v>
      </c>
      <c r="Y70" s="10">
        <f t="shared" si="16"/>
        <v>0</v>
      </c>
      <c r="Z70" s="10">
        <f t="shared" si="16"/>
        <v>0</v>
      </c>
      <c r="AA70" s="10">
        <f t="shared" si="16"/>
        <v>0</v>
      </c>
      <c r="AB70" s="10">
        <f t="shared" si="16"/>
        <v>0</v>
      </c>
      <c r="AC70" s="10">
        <f t="shared" si="16"/>
        <v>0</v>
      </c>
      <c r="AD70" s="10">
        <f t="shared" si="16"/>
        <v>0</v>
      </c>
      <c r="AE70" s="10">
        <f t="shared" si="16"/>
        <v>0</v>
      </c>
      <c r="AF70" s="10">
        <f t="shared" si="16"/>
        <v>0</v>
      </c>
      <c r="AG70" s="10">
        <f t="shared" si="16"/>
        <v>0</v>
      </c>
      <c r="AH70" s="10">
        <f t="shared" si="16"/>
        <v>0</v>
      </c>
      <c r="AI70" s="10">
        <f t="shared" si="16"/>
        <v>0</v>
      </c>
      <c r="AJ70" s="10">
        <f t="shared" si="16"/>
        <v>0</v>
      </c>
      <c r="AK70" s="10">
        <f t="shared" si="16"/>
        <v>0</v>
      </c>
      <c r="AL70" s="10">
        <f t="shared" si="16"/>
        <v>0</v>
      </c>
    </row>
    <row r="71" spans="1:38" ht="15.75" customHeight="1">
      <c r="A71" s="354">
        <v>9</v>
      </c>
      <c r="B71" s="214" t="s">
        <v>53</v>
      </c>
      <c r="C71" s="208">
        <v>80195</v>
      </c>
      <c r="D71" s="211" t="s">
        <v>8</v>
      </c>
      <c r="E71" s="164"/>
      <c r="F71" s="217">
        <v>2011</v>
      </c>
      <c r="G71" s="81" t="s">
        <v>9</v>
      </c>
      <c r="H71" s="15" t="s">
        <v>10</v>
      </c>
      <c r="I71" s="60">
        <f>27049+115500</f>
        <v>142549</v>
      </c>
      <c r="J71" s="61">
        <v>115118</v>
      </c>
      <c r="K71" s="61">
        <v>57559</v>
      </c>
      <c r="L71" s="61">
        <v>115118</v>
      </c>
      <c r="M71" s="146">
        <f t="shared" si="0"/>
        <v>200108</v>
      </c>
      <c r="N71" s="60"/>
      <c r="O71" s="13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5.75" customHeight="1">
      <c r="A72" s="348"/>
      <c r="B72" s="215"/>
      <c r="C72" s="209"/>
      <c r="D72" s="362"/>
      <c r="E72" s="165"/>
      <c r="F72" s="228"/>
      <c r="G72" s="341">
        <v>257667</v>
      </c>
      <c r="H72" s="16" t="s">
        <v>11</v>
      </c>
      <c r="I72" s="62"/>
      <c r="J72" s="63"/>
      <c r="K72" s="63"/>
      <c r="L72" s="63"/>
      <c r="M72" s="147">
        <f aca="true" t="shared" si="17" ref="M72:M135">SUM(I72,K72)</f>
        <v>0</v>
      </c>
      <c r="N72" s="62"/>
      <c r="O72" s="128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.75" customHeight="1">
      <c r="A73" s="348"/>
      <c r="B73" s="215"/>
      <c r="C73" s="209"/>
      <c r="D73" s="362"/>
      <c r="E73" s="165"/>
      <c r="F73" s="228"/>
      <c r="G73" s="342"/>
      <c r="H73" s="16" t="s">
        <v>12</v>
      </c>
      <c r="I73" s="62"/>
      <c r="J73" s="63"/>
      <c r="K73" s="63"/>
      <c r="L73" s="63"/>
      <c r="M73" s="147">
        <f t="shared" si="17"/>
        <v>0</v>
      </c>
      <c r="N73" s="62"/>
      <c r="O73" s="12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.75" customHeight="1">
      <c r="A74" s="348"/>
      <c r="B74" s="215"/>
      <c r="C74" s="209"/>
      <c r="D74" s="393"/>
      <c r="E74" s="165"/>
      <c r="F74" s="212"/>
      <c r="G74" s="83" t="s">
        <v>13</v>
      </c>
      <c r="H74" s="16" t="s">
        <v>14</v>
      </c>
      <c r="I74" s="62"/>
      <c r="J74" s="63"/>
      <c r="K74" s="63"/>
      <c r="L74" s="63"/>
      <c r="M74" s="147">
        <f t="shared" si="17"/>
        <v>0</v>
      </c>
      <c r="N74" s="62"/>
      <c r="O74" s="128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5.75" customHeight="1">
      <c r="A75" s="348"/>
      <c r="B75" s="215"/>
      <c r="C75" s="209"/>
      <c r="D75" s="393"/>
      <c r="E75" s="165" t="s">
        <v>97</v>
      </c>
      <c r="F75" s="227">
        <v>2013</v>
      </c>
      <c r="G75" s="341">
        <v>0</v>
      </c>
      <c r="H75" s="16" t="s">
        <v>15</v>
      </c>
      <c r="I75" s="62"/>
      <c r="J75" s="63"/>
      <c r="K75" s="63"/>
      <c r="L75" s="63"/>
      <c r="M75" s="147">
        <f t="shared" si="17"/>
        <v>0</v>
      </c>
      <c r="N75" s="62"/>
      <c r="O75" s="128"/>
      <c r="P75" s="4"/>
      <c r="Q75" s="4"/>
      <c r="R75" s="4"/>
      <c r="S75" s="4"/>
      <c r="T75" s="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5.75" customHeight="1">
      <c r="A76" s="348"/>
      <c r="B76" s="215"/>
      <c r="C76" s="209"/>
      <c r="D76" s="393"/>
      <c r="E76" s="165"/>
      <c r="F76" s="228"/>
      <c r="G76" s="342"/>
      <c r="H76" s="16" t="s">
        <v>16</v>
      </c>
      <c r="I76" s="62"/>
      <c r="J76" s="63"/>
      <c r="K76" s="63"/>
      <c r="L76" s="63"/>
      <c r="M76" s="147">
        <f t="shared" si="17"/>
        <v>0</v>
      </c>
      <c r="N76" s="62"/>
      <c r="O76" s="128"/>
      <c r="P76" s="4"/>
      <c r="Q76" s="4"/>
      <c r="R76" s="4"/>
      <c r="S76" s="4"/>
      <c r="T76" s="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.75" customHeight="1">
      <c r="A77" s="348"/>
      <c r="B77" s="215"/>
      <c r="C77" s="209"/>
      <c r="D77" s="362"/>
      <c r="E77" s="165"/>
      <c r="F77" s="228"/>
      <c r="G77" s="83" t="s">
        <v>17</v>
      </c>
      <c r="H77" s="16" t="s">
        <v>18</v>
      </c>
      <c r="I77" s="6">
        <f aca="true" t="shared" si="18" ref="I77:AL77">I71+I73+I75</f>
        <v>142549</v>
      </c>
      <c r="J77" s="7">
        <f t="shared" si="18"/>
        <v>115118</v>
      </c>
      <c r="K77" s="7">
        <f t="shared" si="18"/>
        <v>57559</v>
      </c>
      <c r="L77" s="7">
        <f t="shared" si="18"/>
        <v>115118</v>
      </c>
      <c r="M77" s="123">
        <f t="shared" si="17"/>
        <v>200108</v>
      </c>
      <c r="N77" s="149">
        <f>M77/G72</f>
        <v>0.7766147779886443</v>
      </c>
      <c r="O77" s="129">
        <f t="shared" si="18"/>
        <v>0</v>
      </c>
      <c r="P77" s="7">
        <f t="shared" si="18"/>
        <v>0</v>
      </c>
      <c r="Q77" s="7">
        <f t="shared" si="18"/>
        <v>0</v>
      </c>
      <c r="R77" s="7">
        <f t="shared" si="18"/>
        <v>0</v>
      </c>
      <c r="S77" s="7">
        <f t="shared" si="18"/>
        <v>0</v>
      </c>
      <c r="T77" s="7">
        <f t="shared" si="18"/>
        <v>0</v>
      </c>
      <c r="U77" s="7">
        <f t="shared" si="18"/>
        <v>0</v>
      </c>
      <c r="V77" s="7">
        <f t="shared" si="18"/>
        <v>0</v>
      </c>
      <c r="W77" s="7">
        <f t="shared" si="18"/>
        <v>0</v>
      </c>
      <c r="X77" s="7">
        <f t="shared" si="18"/>
        <v>0</v>
      </c>
      <c r="Y77" s="7">
        <f t="shared" si="18"/>
        <v>0</v>
      </c>
      <c r="Z77" s="7">
        <f t="shared" si="18"/>
        <v>0</v>
      </c>
      <c r="AA77" s="7">
        <f t="shared" si="18"/>
        <v>0</v>
      </c>
      <c r="AB77" s="7">
        <f t="shared" si="18"/>
        <v>0</v>
      </c>
      <c r="AC77" s="7">
        <f t="shared" si="18"/>
        <v>0</v>
      </c>
      <c r="AD77" s="7">
        <f t="shared" si="18"/>
        <v>0</v>
      </c>
      <c r="AE77" s="7">
        <f t="shared" si="18"/>
        <v>0</v>
      </c>
      <c r="AF77" s="7">
        <f t="shared" si="18"/>
        <v>0</v>
      </c>
      <c r="AG77" s="7">
        <f t="shared" si="18"/>
        <v>0</v>
      </c>
      <c r="AH77" s="7">
        <f t="shared" si="18"/>
        <v>0</v>
      </c>
      <c r="AI77" s="7">
        <f t="shared" si="18"/>
        <v>0</v>
      </c>
      <c r="AJ77" s="7">
        <f t="shared" si="18"/>
        <v>0</v>
      </c>
      <c r="AK77" s="7">
        <f t="shared" si="18"/>
        <v>0</v>
      </c>
      <c r="AL77" s="7">
        <f t="shared" si="18"/>
        <v>0</v>
      </c>
    </row>
    <row r="78" spans="1:38" ht="15.75" customHeight="1" thickBot="1">
      <c r="A78" s="355"/>
      <c r="B78" s="207"/>
      <c r="C78" s="210"/>
      <c r="D78" s="363"/>
      <c r="E78" s="166"/>
      <c r="F78" s="216"/>
      <c r="G78" s="85">
        <v>257667</v>
      </c>
      <c r="H78" s="17" t="s">
        <v>19</v>
      </c>
      <c r="I78" s="9">
        <f aca="true" t="shared" si="19" ref="I78:AL78">I72+I74+I76</f>
        <v>0</v>
      </c>
      <c r="J78" s="10">
        <f t="shared" si="19"/>
        <v>0</v>
      </c>
      <c r="K78" s="10">
        <f t="shared" si="19"/>
        <v>0</v>
      </c>
      <c r="L78" s="10">
        <f t="shared" si="19"/>
        <v>0</v>
      </c>
      <c r="M78" s="124">
        <f t="shared" si="17"/>
        <v>0</v>
      </c>
      <c r="N78" s="150"/>
      <c r="O78" s="130">
        <f t="shared" si="19"/>
        <v>0</v>
      </c>
      <c r="P78" s="10">
        <f t="shared" si="19"/>
        <v>0</v>
      </c>
      <c r="Q78" s="10">
        <f t="shared" si="19"/>
        <v>0</v>
      </c>
      <c r="R78" s="10">
        <f t="shared" si="19"/>
        <v>0</v>
      </c>
      <c r="S78" s="10">
        <f t="shared" si="19"/>
        <v>0</v>
      </c>
      <c r="T78" s="10">
        <f t="shared" si="19"/>
        <v>0</v>
      </c>
      <c r="U78" s="12">
        <f t="shared" si="19"/>
        <v>0</v>
      </c>
      <c r="V78" s="12">
        <f t="shared" si="19"/>
        <v>0</v>
      </c>
      <c r="W78" s="12">
        <f t="shared" si="19"/>
        <v>0</v>
      </c>
      <c r="X78" s="12">
        <f t="shared" si="19"/>
        <v>0</v>
      </c>
      <c r="Y78" s="12">
        <f t="shared" si="19"/>
        <v>0</v>
      </c>
      <c r="Z78" s="12">
        <f t="shared" si="19"/>
        <v>0</v>
      </c>
      <c r="AA78" s="12">
        <f t="shared" si="19"/>
        <v>0</v>
      </c>
      <c r="AB78" s="12">
        <f t="shared" si="19"/>
        <v>0</v>
      </c>
      <c r="AC78" s="12">
        <f t="shared" si="19"/>
        <v>0</v>
      </c>
      <c r="AD78" s="12">
        <f t="shared" si="19"/>
        <v>0</v>
      </c>
      <c r="AE78" s="12">
        <f t="shared" si="19"/>
        <v>0</v>
      </c>
      <c r="AF78" s="12">
        <f t="shared" si="19"/>
        <v>0</v>
      </c>
      <c r="AG78" s="12">
        <f t="shared" si="19"/>
        <v>0</v>
      </c>
      <c r="AH78" s="12">
        <f t="shared" si="19"/>
        <v>0</v>
      </c>
      <c r="AI78" s="12">
        <f t="shared" si="19"/>
        <v>0</v>
      </c>
      <c r="AJ78" s="12">
        <f t="shared" si="19"/>
        <v>0</v>
      </c>
      <c r="AK78" s="12">
        <f t="shared" si="19"/>
        <v>0</v>
      </c>
      <c r="AL78" s="12">
        <f t="shared" si="19"/>
        <v>0</v>
      </c>
    </row>
    <row r="79" spans="1:38" ht="16.5" customHeight="1">
      <c r="A79" s="348">
        <v>10</v>
      </c>
      <c r="B79" s="215" t="s">
        <v>54</v>
      </c>
      <c r="C79" s="209">
        <v>80195</v>
      </c>
      <c r="D79" s="362" t="s">
        <v>8</v>
      </c>
      <c r="E79" s="165"/>
      <c r="F79" s="228">
        <v>2011</v>
      </c>
      <c r="G79" s="118" t="s">
        <v>9</v>
      </c>
      <c r="H79" s="18" t="s">
        <v>10</v>
      </c>
      <c r="I79" s="64">
        <f>3000+6000</f>
        <v>9000</v>
      </c>
      <c r="J79" s="65">
        <v>6000</v>
      </c>
      <c r="K79" s="65">
        <v>6000</v>
      </c>
      <c r="L79" s="65">
        <v>6000</v>
      </c>
      <c r="M79" s="157">
        <f t="shared" si="17"/>
        <v>15000</v>
      </c>
      <c r="N79" s="64"/>
      <c r="O79" s="13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6.5" customHeight="1">
      <c r="A80" s="348"/>
      <c r="B80" s="215"/>
      <c r="C80" s="209"/>
      <c r="D80" s="362"/>
      <c r="E80" s="165"/>
      <c r="F80" s="228"/>
      <c r="G80" s="341">
        <v>15000</v>
      </c>
      <c r="H80" s="16" t="s">
        <v>11</v>
      </c>
      <c r="I80" s="62"/>
      <c r="J80" s="63"/>
      <c r="K80" s="63"/>
      <c r="L80" s="63"/>
      <c r="M80" s="147">
        <f t="shared" si="17"/>
        <v>0</v>
      </c>
      <c r="N80" s="62"/>
      <c r="O80" s="128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6.5" customHeight="1">
      <c r="A81" s="348"/>
      <c r="B81" s="215"/>
      <c r="C81" s="209"/>
      <c r="D81" s="362"/>
      <c r="E81" s="165"/>
      <c r="F81" s="228"/>
      <c r="G81" s="342"/>
      <c r="H81" s="16" t="s">
        <v>12</v>
      </c>
      <c r="I81" s="62"/>
      <c r="J81" s="63"/>
      <c r="K81" s="63"/>
      <c r="L81" s="63"/>
      <c r="M81" s="147">
        <f t="shared" si="17"/>
        <v>0</v>
      </c>
      <c r="N81" s="62"/>
      <c r="O81" s="128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6.5" customHeight="1">
      <c r="A82" s="348"/>
      <c r="B82" s="215"/>
      <c r="C82" s="209"/>
      <c r="D82" s="362"/>
      <c r="E82" s="165" t="s">
        <v>97</v>
      </c>
      <c r="F82" s="212"/>
      <c r="G82" s="83" t="s">
        <v>13</v>
      </c>
      <c r="H82" s="16" t="s">
        <v>14</v>
      </c>
      <c r="I82" s="62"/>
      <c r="J82" s="63"/>
      <c r="K82" s="63"/>
      <c r="L82" s="63"/>
      <c r="M82" s="147">
        <f t="shared" si="17"/>
        <v>0</v>
      </c>
      <c r="N82" s="62"/>
      <c r="O82" s="128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6.5" customHeight="1">
      <c r="A83" s="348"/>
      <c r="B83" s="215"/>
      <c r="C83" s="209"/>
      <c r="D83" s="362"/>
      <c r="E83" s="165"/>
      <c r="F83" s="227">
        <v>2013</v>
      </c>
      <c r="G83" s="341">
        <v>0</v>
      </c>
      <c r="H83" s="16" t="s">
        <v>15</v>
      </c>
      <c r="I83" s="62"/>
      <c r="J83" s="63"/>
      <c r="K83" s="63"/>
      <c r="L83" s="63"/>
      <c r="M83" s="147">
        <f t="shared" si="17"/>
        <v>0</v>
      </c>
      <c r="N83" s="62"/>
      <c r="O83" s="128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6.5" customHeight="1">
      <c r="A84" s="348"/>
      <c r="B84" s="215"/>
      <c r="C84" s="209"/>
      <c r="D84" s="362"/>
      <c r="E84" s="165"/>
      <c r="F84" s="228"/>
      <c r="G84" s="342"/>
      <c r="H84" s="16" t="s">
        <v>16</v>
      </c>
      <c r="I84" s="62"/>
      <c r="J84" s="63"/>
      <c r="K84" s="63"/>
      <c r="L84" s="63"/>
      <c r="M84" s="147">
        <f t="shared" si="17"/>
        <v>0</v>
      </c>
      <c r="N84" s="62"/>
      <c r="O84" s="128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6.5" customHeight="1">
      <c r="A85" s="348"/>
      <c r="B85" s="215"/>
      <c r="C85" s="209"/>
      <c r="D85" s="362"/>
      <c r="E85" s="165"/>
      <c r="F85" s="228"/>
      <c r="G85" s="83" t="s">
        <v>17</v>
      </c>
      <c r="H85" s="16" t="s">
        <v>18</v>
      </c>
      <c r="I85" s="6">
        <f aca="true" t="shared" si="20" ref="I85:AL85">I79+I81+I83</f>
        <v>9000</v>
      </c>
      <c r="J85" s="7">
        <f t="shared" si="20"/>
        <v>6000</v>
      </c>
      <c r="K85" s="7">
        <f t="shared" si="20"/>
        <v>6000</v>
      </c>
      <c r="L85" s="7">
        <f t="shared" si="20"/>
        <v>6000</v>
      </c>
      <c r="M85" s="123">
        <f t="shared" si="17"/>
        <v>15000</v>
      </c>
      <c r="N85" s="149">
        <f>M85/G80</f>
        <v>1</v>
      </c>
      <c r="O85" s="129">
        <f t="shared" si="20"/>
        <v>0</v>
      </c>
      <c r="P85" s="7">
        <f t="shared" si="20"/>
        <v>0</v>
      </c>
      <c r="Q85" s="7">
        <f t="shared" si="20"/>
        <v>0</v>
      </c>
      <c r="R85" s="7">
        <f t="shared" si="20"/>
        <v>0</v>
      </c>
      <c r="S85" s="7">
        <f t="shared" si="20"/>
        <v>0</v>
      </c>
      <c r="T85" s="7">
        <f t="shared" si="20"/>
        <v>0</v>
      </c>
      <c r="U85" s="7">
        <f t="shared" si="20"/>
        <v>0</v>
      </c>
      <c r="V85" s="7">
        <f t="shared" si="20"/>
        <v>0</v>
      </c>
      <c r="W85" s="7">
        <f t="shared" si="20"/>
        <v>0</v>
      </c>
      <c r="X85" s="7">
        <f t="shared" si="20"/>
        <v>0</v>
      </c>
      <c r="Y85" s="7">
        <f t="shared" si="20"/>
        <v>0</v>
      </c>
      <c r="Z85" s="7">
        <f t="shared" si="20"/>
        <v>0</v>
      </c>
      <c r="AA85" s="7">
        <f t="shared" si="20"/>
        <v>0</v>
      </c>
      <c r="AB85" s="7">
        <f t="shared" si="20"/>
        <v>0</v>
      </c>
      <c r="AC85" s="7">
        <f t="shared" si="20"/>
        <v>0</v>
      </c>
      <c r="AD85" s="7">
        <f t="shared" si="20"/>
        <v>0</v>
      </c>
      <c r="AE85" s="7">
        <f t="shared" si="20"/>
        <v>0</v>
      </c>
      <c r="AF85" s="7">
        <f t="shared" si="20"/>
        <v>0</v>
      </c>
      <c r="AG85" s="7">
        <f t="shared" si="20"/>
        <v>0</v>
      </c>
      <c r="AH85" s="7">
        <f t="shared" si="20"/>
        <v>0</v>
      </c>
      <c r="AI85" s="7">
        <f t="shared" si="20"/>
        <v>0</v>
      </c>
      <c r="AJ85" s="7">
        <f t="shared" si="20"/>
        <v>0</v>
      </c>
      <c r="AK85" s="7">
        <f t="shared" si="20"/>
        <v>0</v>
      </c>
      <c r="AL85" s="7">
        <f t="shared" si="20"/>
        <v>0</v>
      </c>
    </row>
    <row r="86" spans="1:38" ht="16.5" customHeight="1" thickBot="1">
      <c r="A86" s="348"/>
      <c r="B86" s="207"/>
      <c r="C86" s="210"/>
      <c r="D86" s="362"/>
      <c r="E86" s="165"/>
      <c r="F86" s="216"/>
      <c r="G86" s="85">
        <v>15000</v>
      </c>
      <c r="H86" s="17" t="s">
        <v>19</v>
      </c>
      <c r="I86" s="9">
        <f aca="true" t="shared" si="21" ref="I86:AL86">I80+I82+I84</f>
        <v>0</v>
      </c>
      <c r="J86" s="10">
        <f t="shared" si="21"/>
        <v>0</v>
      </c>
      <c r="K86" s="10">
        <f t="shared" si="21"/>
        <v>0</v>
      </c>
      <c r="L86" s="10">
        <f t="shared" si="21"/>
        <v>0</v>
      </c>
      <c r="M86" s="124">
        <f t="shared" si="17"/>
        <v>0</v>
      </c>
      <c r="N86" s="149"/>
      <c r="O86" s="130">
        <f t="shared" si="21"/>
        <v>0</v>
      </c>
      <c r="P86" s="10">
        <f t="shared" si="21"/>
        <v>0</v>
      </c>
      <c r="Q86" s="10">
        <f t="shared" si="21"/>
        <v>0</v>
      </c>
      <c r="R86" s="10">
        <f t="shared" si="21"/>
        <v>0</v>
      </c>
      <c r="S86" s="10">
        <f t="shared" si="21"/>
        <v>0</v>
      </c>
      <c r="T86" s="10">
        <f t="shared" si="21"/>
        <v>0</v>
      </c>
      <c r="U86" s="10">
        <f t="shared" si="21"/>
        <v>0</v>
      </c>
      <c r="V86" s="10">
        <f t="shared" si="21"/>
        <v>0</v>
      </c>
      <c r="W86" s="10">
        <f t="shared" si="21"/>
        <v>0</v>
      </c>
      <c r="X86" s="10">
        <f t="shared" si="21"/>
        <v>0</v>
      </c>
      <c r="Y86" s="10">
        <f t="shared" si="21"/>
        <v>0</v>
      </c>
      <c r="Z86" s="10">
        <f t="shared" si="21"/>
        <v>0</v>
      </c>
      <c r="AA86" s="10">
        <f t="shared" si="21"/>
        <v>0</v>
      </c>
      <c r="AB86" s="10">
        <f t="shared" si="21"/>
        <v>0</v>
      </c>
      <c r="AC86" s="10">
        <f t="shared" si="21"/>
        <v>0</v>
      </c>
      <c r="AD86" s="10">
        <f t="shared" si="21"/>
        <v>0</v>
      </c>
      <c r="AE86" s="10">
        <f t="shared" si="21"/>
        <v>0</v>
      </c>
      <c r="AF86" s="10">
        <f t="shared" si="21"/>
        <v>0</v>
      </c>
      <c r="AG86" s="10">
        <f t="shared" si="21"/>
        <v>0</v>
      </c>
      <c r="AH86" s="10">
        <f t="shared" si="21"/>
        <v>0</v>
      </c>
      <c r="AI86" s="10">
        <f t="shared" si="21"/>
        <v>0</v>
      </c>
      <c r="AJ86" s="10">
        <f t="shared" si="21"/>
        <v>0</v>
      </c>
      <c r="AK86" s="10">
        <f t="shared" si="21"/>
        <v>0</v>
      </c>
      <c r="AL86" s="10">
        <f t="shared" si="21"/>
        <v>0</v>
      </c>
    </row>
    <row r="87" spans="1:38" s="13" customFormat="1" ht="15" customHeight="1">
      <c r="A87" s="354">
        <v>11</v>
      </c>
      <c r="B87" s="214" t="s">
        <v>51</v>
      </c>
      <c r="C87" s="208">
        <v>80195</v>
      </c>
      <c r="D87" s="211" t="s">
        <v>8</v>
      </c>
      <c r="E87" s="164"/>
      <c r="F87" s="217">
        <v>2011</v>
      </c>
      <c r="G87" s="81" t="s">
        <v>9</v>
      </c>
      <c r="H87" s="15" t="s">
        <v>10</v>
      </c>
      <c r="I87" s="60">
        <v>470000</v>
      </c>
      <c r="J87" s="61">
        <v>250000</v>
      </c>
      <c r="K87" s="61">
        <v>125000</v>
      </c>
      <c r="L87" s="61">
        <v>250000</v>
      </c>
      <c r="M87" s="146">
        <f t="shared" si="17"/>
        <v>595000</v>
      </c>
      <c r="N87" s="60"/>
      <c r="O87" s="127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s="13" customFormat="1" ht="15" customHeight="1">
      <c r="A88" s="348"/>
      <c r="B88" s="215"/>
      <c r="C88" s="209"/>
      <c r="D88" s="362"/>
      <c r="E88" s="165"/>
      <c r="F88" s="228"/>
      <c r="G88" s="341">
        <v>720000</v>
      </c>
      <c r="H88" s="16" t="s">
        <v>11</v>
      </c>
      <c r="I88" s="62"/>
      <c r="J88" s="63"/>
      <c r="K88" s="63"/>
      <c r="L88" s="63"/>
      <c r="M88" s="147">
        <f t="shared" si="17"/>
        <v>0</v>
      </c>
      <c r="N88" s="62"/>
      <c r="O88" s="128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s="13" customFormat="1" ht="15" customHeight="1">
      <c r="A89" s="348"/>
      <c r="B89" s="215"/>
      <c r="C89" s="209"/>
      <c r="D89" s="362"/>
      <c r="E89" s="165"/>
      <c r="F89" s="228"/>
      <c r="G89" s="342"/>
      <c r="H89" s="16" t="s">
        <v>12</v>
      </c>
      <c r="I89" s="62"/>
      <c r="J89" s="63"/>
      <c r="K89" s="63"/>
      <c r="L89" s="63"/>
      <c r="M89" s="147">
        <f t="shared" si="17"/>
        <v>0</v>
      </c>
      <c r="N89" s="62"/>
      <c r="O89" s="128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s="13" customFormat="1" ht="15" customHeight="1">
      <c r="A90" s="348"/>
      <c r="B90" s="215"/>
      <c r="C90" s="209"/>
      <c r="D90" s="362"/>
      <c r="E90" s="165" t="s">
        <v>108</v>
      </c>
      <c r="F90" s="212"/>
      <c r="G90" s="83" t="s">
        <v>13</v>
      </c>
      <c r="H90" s="16" t="s">
        <v>14</v>
      </c>
      <c r="I90" s="62"/>
      <c r="J90" s="63"/>
      <c r="K90" s="63"/>
      <c r="L90" s="63"/>
      <c r="M90" s="147">
        <f t="shared" si="17"/>
        <v>0</v>
      </c>
      <c r="N90" s="62"/>
      <c r="O90" s="128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s="13" customFormat="1" ht="15" customHeight="1">
      <c r="A91" s="348"/>
      <c r="B91" s="215"/>
      <c r="C91" s="209"/>
      <c r="D91" s="362"/>
      <c r="E91" s="165"/>
      <c r="F91" s="227">
        <v>2013</v>
      </c>
      <c r="G91" s="341">
        <v>0</v>
      </c>
      <c r="H91" s="16" t="s">
        <v>15</v>
      </c>
      <c r="I91" s="62"/>
      <c r="J91" s="63"/>
      <c r="K91" s="63"/>
      <c r="L91" s="63"/>
      <c r="M91" s="147">
        <f t="shared" si="17"/>
        <v>0</v>
      </c>
      <c r="N91" s="62"/>
      <c r="O91" s="128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s="13" customFormat="1" ht="15" customHeight="1">
      <c r="A92" s="348"/>
      <c r="B92" s="215"/>
      <c r="C92" s="209"/>
      <c r="D92" s="362"/>
      <c r="E92" s="165"/>
      <c r="F92" s="228"/>
      <c r="G92" s="342"/>
      <c r="H92" s="16" t="s">
        <v>16</v>
      </c>
      <c r="I92" s="62"/>
      <c r="J92" s="63"/>
      <c r="K92" s="63"/>
      <c r="L92" s="63"/>
      <c r="M92" s="147">
        <f t="shared" si="17"/>
        <v>0</v>
      </c>
      <c r="N92" s="62"/>
      <c r="O92" s="128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s="13" customFormat="1" ht="15" customHeight="1">
      <c r="A93" s="348"/>
      <c r="B93" s="215"/>
      <c r="C93" s="209"/>
      <c r="D93" s="362"/>
      <c r="E93" s="165"/>
      <c r="F93" s="228"/>
      <c r="G93" s="83" t="s">
        <v>17</v>
      </c>
      <c r="H93" s="16" t="s">
        <v>18</v>
      </c>
      <c r="I93" s="6">
        <f aca="true" t="shared" si="22" ref="I93:AL93">I87+I89+I91</f>
        <v>470000</v>
      </c>
      <c r="J93" s="7">
        <f t="shared" si="22"/>
        <v>250000</v>
      </c>
      <c r="K93" s="7">
        <f t="shared" si="22"/>
        <v>125000</v>
      </c>
      <c r="L93" s="7">
        <f t="shared" si="22"/>
        <v>250000</v>
      </c>
      <c r="M93" s="123">
        <f t="shared" si="17"/>
        <v>595000</v>
      </c>
      <c r="N93" s="149">
        <f>M93/G88</f>
        <v>0.8263888888888888</v>
      </c>
      <c r="O93" s="129">
        <f t="shared" si="22"/>
        <v>0</v>
      </c>
      <c r="P93" s="7">
        <f t="shared" si="22"/>
        <v>0</v>
      </c>
      <c r="Q93" s="7">
        <f t="shared" si="22"/>
        <v>0</v>
      </c>
      <c r="R93" s="7">
        <f t="shared" si="22"/>
        <v>0</v>
      </c>
      <c r="S93" s="7">
        <f t="shared" si="22"/>
        <v>0</v>
      </c>
      <c r="T93" s="7">
        <f t="shared" si="22"/>
        <v>0</v>
      </c>
      <c r="U93" s="7">
        <f t="shared" si="22"/>
        <v>0</v>
      </c>
      <c r="V93" s="7">
        <f t="shared" si="22"/>
        <v>0</v>
      </c>
      <c r="W93" s="7">
        <f t="shared" si="22"/>
        <v>0</v>
      </c>
      <c r="X93" s="7">
        <f t="shared" si="22"/>
        <v>0</v>
      </c>
      <c r="Y93" s="7">
        <f t="shared" si="22"/>
        <v>0</v>
      </c>
      <c r="Z93" s="7">
        <f t="shared" si="22"/>
        <v>0</v>
      </c>
      <c r="AA93" s="7">
        <f t="shared" si="22"/>
        <v>0</v>
      </c>
      <c r="AB93" s="7">
        <f t="shared" si="22"/>
        <v>0</v>
      </c>
      <c r="AC93" s="7">
        <f t="shared" si="22"/>
        <v>0</v>
      </c>
      <c r="AD93" s="7">
        <f t="shared" si="22"/>
        <v>0</v>
      </c>
      <c r="AE93" s="7">
        <f t="shared" si="22"/>
        <v>0</v>
      </c>
      <c r="AF93" s="7">
        <f t="shared" si="22"/>
        <v>0</v>
      </c>
      <c r="AG93" s="7">
        <f t="shared" si="22"/>
        <v>0</v>
      </c>
      <c r="AH93" s="7">
        <f t="shared" si="22"/>
        <v>0</v>
      </c>
      <c r="AI93" s="7">
        <f t="shared" si="22"/>
        <v>0</v>
      </c>
      <c r="AJ93" s="7">
        <f t="shared" si="22"/>
        <v>0</v>
      </c>
      <c r="AK93" s="7">
        <f t="shared" si="22"/>
        <v>0</v>
      </c>
      <c r="AL93" s="7">
        <f t="shared" si="22"/>
        <v>0</v>
      </c>
    </row>
    <row r="94" spans="1:38" s="13" customFormat="1" ht="15" customHeight="1" thickBot="1">
      <c r="A94" s="348"/>
      <c r="B94" s="207"/>
      <c r="C94" s="210"/>
      <c r="D94" s="362"/>
      <c r="E94" s="165"/>
      <c r="F94" s="216"/>
      <c r="G94" s="85">
        <v>720000</v>
      </c>
      <c r="H94" s="17" t="s">
        <v>19</v>
      </c>
      <c r="I94" s="9">
        <f aca="true" t="shared" si="23" ref="I94:AL94">I88+I90+I92</f>
        <v>0</v>
      </c>
      <c r="J94" s="10">
        <f t="shared" si="23"/>
        <v>0</v>
      </c>
      <c r="K94" s="10">
        <f t="shared" si="23"/>
        <v>0</v>
      </c>
      <c r="L94" s="10">
        <f t="shared" si="23"/>
        <v>0</v>
      </c>
      <c r="M94" s="124">
        <f t="shared" si="17"/>
        <v>0</v>
      </c>
      <c r="N94" s="149"/>
      <c r="O94" s="130">
        <f t="shared" si="23"/>
        <v>0</v>
      </c>
      <c r="P94" s="10">
        <f t="shared" si="23"/>
        <v>0</v>
      </c>
      <c r="Q94" s="10">
        <f t="shared" si="23"/>
        <v>0</v>
      </c>
      <c r="R94" s="10">
        <f t="shared" si="23"/>
        <v>0</v>
      </c>
      <c r="S94" s="10">
        <f t="shared" si="23"/>
        <v>0</v>
      </c>
      <c r="T94" s="10">
        <f t="shared" si="23"/>
        <v>0</v>
      </c>
      <c r="U94" s="10">
        <f t="shared" si="23"/>
        <v>0</v>
      </c>
      <c r="V94" s="10">
        <f t="shared" si="23"/>
        <v>0</v>
      </c>
      <c r="W94" s="10">
        <f t="shared" si="23"/>
        <v>0</v>
      </c>
      <c r="X94" s="10">
        <f t="shared" si="23"/>
        <v>0</v>
      </c>
      <c r="Y94" s="10">
        <f t="shared" si="23"/>
        <v>0</v>
      </c>
      <c r="Z94" s="10">
        <f t="shared" si="23"/>
        <v>0</v>
      </c>
      <c r="AA94" s="10">
        <f t="shared" si="23"/>
        <v>0</v>
      </c>
      <c r="AB94" s="10">
        <f t="shared" si="23"/>
        <v>0</v>
      </c>
      <c r="AC94" s="10">
        <f t="shared" si="23"/>
        <v>0</v>
      </c>
      <c r="AD94" s="10">
        <f t="shared" si="23"/>
        <v>0</v>
      </c>
      <c r="AE94" s="10">
        <f t="shared" si="23"/>
        <v>0</v>
      </c>
      <c r="AF94" s="10">
        <f t="shared" si="23"/>
        <v>0</v>
      </c>
      <c r="AG94" s="10">
        <f t="shared" si="23"/>
        <v>0</v>
      </c>
      <c r="AH94" s="10">
        <f t="shared" si="23"/>
        <v>0</v>
      </c>
      <c r="AI94" s="10">
        <f t="shared" si="23"/>
        <v>0</v>
      </c>
      <c r="AJ94" s="10">
        <f t="shared" si="23"/>
        <v>0</v>
      </c>
      <c r="AK94" s="10">
        <f t="shared" si="23"/>
        <v>0</v>
      </c>
      <c r="AL94" s="10">
        <f t="shared" si="23"/>
        <v>0</v>
      </c>
    </row>
    <row r="95" spans="1:38" s="13" customFormat="1" ht="15" customHeight="1">
      <c r="A95" s="354">
        <v>12</v>
      </c>
      <c r="B95" s="214" t="s">
        <v>109</v>
      </c>
      <c r="C95" s="208">
        <v>80195</v>
      </c>
      <c r="D95" s="211" t="s">
        <v>8</v>
      </c>
      <c r="E95" s="164"/>
      <c r="F95" s="217">
        <v>2011</v>
      </c>
      <c r="G95" s="81" t="s">
        <v>9</v>
      </c>
      <c r="H95" s="15" t="s">
        <v>10</v>
      </c>
      <c r="I95" s="60">
        <v>75000</v>
      </c>
      <c r="J95" s="61">
        <v>90000</v>
      </c>
      <c r="K95" s="61">
        <v>90000</v>
      </c>
      <c r="L95" s="61">
        <v>90000</v>
      </c>
      <c r="M95" s="146">
        <f t="shared" si="17"/>
        <v>165000</v>
      </c>
      <c r="N95" s="60"/>
      <c r="O95" s="127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s="13" customFormat="1" ht="12.75" customHeight="1">
      <c r="A96" s="348"/>
      <c r="B96" s="215"/>
      <c r="C96" s="209"/>
      <c r="D96" s="362"/>
      <c r="E96" s="165"/>
      <c r="F96" s="228"/>
      <c r="G96" s="341">
        <v>165000</v>
      </c>
      <c r="H96" s="16" t="s">
        <v>11</v>
      </c>
      <c r="I96" s="62"/>
      <c r="J96" s="63"/>
      <c r="K96" s="63"/>
      <c r="L96" s="63"/>
      <c r="M96" s="147">
        <f t="shared" si="17"/>
        <v>0</v>
      </c>
      <c r="N96" s="62"/>
      <c r="O96" s="128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s="13" customFormat="1" ht="12.75">
      <c r="A97" s="348"/>
      <c r="B97" s="215"/>
      <c r="C97" s="209"/>
      <c r="D97" s="362"/>
      <c r="E97" s="165"/>
      <c r="F97" s="228"/>
      <c r="G97" s="342"/>
      <c r="H97" s="16" t="s">
        <v>12</v>
      </c>
      <c r="I97" s="62"/>
      <c r="J97" s="63"/>
      <c r="K97" s="63"/>
      <c r="L97" s="63"/>
      <c r="M97" s="147">
        <f t="shared" si="17"/>
        <v>0</v>
      </c>
      <c r="N97" s="62"/>
      <c r="O97" s="128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s="13" customFormat="1" ht="12.75">
      <c r="A98" s="348"/>
      <c r="B98" s="215"/>
      <c r="C98" s="209"/>
      <c r="D98" s="362"/>
      <c r="E98" s="165" t="s">
        <v>108</v>
      </c>
      <c r="F98" s="212"/>
      <c r="G98" s="83" t="s">
        <v>13</v>
      </c>
      <c r="H98" s="16" t="s">
        <v>14</v>
      </c>
      <c r="I98" s="62"/>
      <c r="J98" s="63"/>
      <c r="K98" s="63"/>
      <c r="L98" s="63"/>
      <c r="M98" s="147">
        <f t="shared" si="17"/>
        <v>0</v>
      </c>
      <c r="N98" s="62"/>
      <c r="O98" s="128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s="13" customFormat="1" ht="12.75">
      <c r="A99" s="348"/>
      <c r="B99" s="215"/>
      <c r="C99" s="209"/>
      <c r="D99" s="362"/>
      <c r="E99" s="165"/>
      <c r="F99" s="227">
        <v>2013</v>
      </c>
      <c r="G99" s="341">
        <v>0</v>
      </c>
      <c r="H99" s="16" t="s">
        <v>15</v>
      </c>
      <c r="I99" s="62"/>
      <c r="J99" s="63"/>
      <c r="K99" s="63"/>
      <c r="L99" s="63"/>
      <c r="M99" s="147">
        <f t="shared" si="17"/>
        <v>0</v>
      </c>
      <c r="N99" s="62"/>
      <c r="O99" s="128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s="13" customFormat="1" ht="12.75">
      <c r="A100" s="348"/>
      <c r="B100" s="215"/>
      <c r="C100" s="209"/>
      <c r="D100" s="362"/>
      <c r="E100" s="165"/>
      <c r="F100" s="228"/>
      <c r="G100" s="342"/>
      <c r="H100" s="16" t="s">
        <v>16</v>
      </c>
      <c r="I100" s="62"/>
      <c r="J100" s="63"/>
      <c r="K100" s="63"/>
      <c r="L100" s="63"/>
      <c r="M100" s="147">
        <f t="shared" si="17"/>
        <v>0</v>
      </c>
      <c r="N100" s="62"/>
      <c r="O100" s="128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13" customFormat="1" ht="12.75">
      <c r="A101" s="348"/>
      <c r="B101" s="215"/>
      <c r="C101" s="209"/>
      <c r="D101" s="362"/>
      <c r="E101" s="165"/>
      <c r="F101" s="228"/>
      <c r="G101" s="83" t="s">
        <v>17</v>
      </c>
      <c r="H101" s="16" t="s">
        <v>18</v>
      </c>
      <c r="I101" s="6">
        <f aca="true" t="shared" si="24" ref="I101:AL101">I95+I97+I99</f>
        <v>75000</v>
      </c>
      <c r="J101" s="7">
        <f t="shared" si="24"/>
        <v>90000</v>
      </c>
      <c r="K101" s="7">
        <f t="shared" si="24"/>
        <v>90000</v>
      </c>
      <c r="L101" s="7">
        <f t="shared" si="24"/>
        <v>90000</v>
      </c>
      <c r="M101" s="123">
        <f t="shared" si="17"/>
        <v>165000</v>
      </c>
      <c r="N101" s="149">
        <f>M101/G96</f>
        <v>1</v>
      </c>
      <c r="O101" s="129">
        <f t="shared" si="24"/>
        <v>0</v>
      </c>
      <c r="P101" s="7">
        <f t="shared" si="24"/>
        <v>0</v>
      </c>
      <c r="Q101" s="7">
        <f t="shared" si="24"/>
        <v>0</v>
      </c>
      <c r="R101" s="7">
        <f t="shared" si="24"/>
        <v>0</v>
      </c>
      <c r="S101" s="7">
        <f t="shared" si="24"/>
        <v>0</v>
      </c>
      <c r="T101" s="7">
        <f t="shared" si="24"/>
        <v>0</v>
      </c>
      <c r="U101" s="7">
        <f t="shared" si="24"/>
        <v>0</v>
      </c>
      <c r="V101" s="7">
        <f t="shared" si="24"/>
        <v>0</v>
      </c>
      <c r="W101" s="7">
        <f t="shared" si="24"/>
        <v>0</v>
      </c>
      <c r="X101" s="7">
        <f t="shared" si="24"/>
        <v>0</v>
      </c>
      <c r="Y101" s="7">
        <f t="shared" si="24"/>
        <v>0</v>
      </c>
      <c r="Z101" s="7">
        <f t="shared" si="24"/>
        <v>0</v>
      </c>
      <c r="AA101" s="7">
        <f t="shared" si="24"/>
        <v>0</v>
      </c>
      <c r="AB101" s="7">
        <f t="shared" si="24"/>
        <v>0</v>
      </c>
      <c r="AC101" s="7">
        <f t="shared" si="24"/>
        <v>0</v>
      </c>
      <c r="AD101" s="7">
        <f t="shared" si="24"/>
        <v>0</v>
      </c>
      <c r="AE101" s="7">
        <f t="shared" si="24"/>
        <v>0</v>
      </c>
      <c r="AF101" s="7">
        <f t="shared" si="24"/>
        <v>0</v>
      </c>
      <c r="AG101" s="7">
        <f t="shared" si="24"/>
        <v>0</v>
      </c>
      <c r="AH101" s="7">
        <f t="shared" si="24"/>
        <v>0</v>
      </c>
      <c r="AI101" s="7">
        <f t="shared" si="24"/>
        <v>0</v>
      </c>
      <c r="AJ101" s="7">
        <f t="shared" si="24"/>
        <v>0</v>
      </c>
      <c r="AK101" s="7">
        <f t="shared" si="24"/>
        <v>0</v>
      </c>
      <c r="AL101" s="7">
        <f t="shared" si="24"/>
        <v>0</v>
      </c>
    </row>
    <row r="102" spans="1:38" s="13" customFormat="1" ht="15" customHeight="1" thickBot="1">
      <c r="A102" s="355"/>
      <c r="B102" s="207"/>
      <c r="C102" s="210"/>
      <c r="D102" s="363"/>
      <c r="E102" s="166"/>
      <c r="F102" s="216"/>
      <c r="G102" s="85">
        <v>165000</v>
      </c>
      <c r="H102" s="17" t="s">
        <v>19</v>
      </c>
      <c r="I102" s="9">
        <f aca="true" t="shared" si="25" ref="I102:AL102">I96+I98+I100</f>
        <v>0</v>
      </c>
      <c r="J102" s="10">
        <f t="shared" si="25"/>
        <v>0</v>
      </c>
      <c r="K102" s="10">
        <f t="shared" si="25"/>
        <v>0</v>
      </c>
      <c r="L102" s="10">
        <f t="shared" si="25"/>
        <v>0</v>
      </c>
      <c r="M102" s="124">
        <f t="shared" si="17"/>
        <v>0</v>
      </c>
      <c r="N102" s="150"/>
      <c r="O102" s="130">
        <f t="shared" si="25"/>
        <v>0</v>
      </c>
      <c r="P102" s="10">
        <f t="shared" si="25"/>
        <v>0</v>
      </c>
      <c r="Q102" s="10">
        <f t="shared" si="25"/>
        <v>0</v>
      </c>
      <c r="R102" s="10">
        <f t="shared" si="25"/>
        <v>0</v>
      </c>
      <c r="S102" s="10">
        <f t="shared" si="25"/>
        <v>0</v>
      </c>
      <c r="T102" s="10">
        <f t="shared" si="25"/>
        <v>0</v>
      </c>
      <c r="U102" s="10">
        <f t="shared" si="25"/>
        <v>0</v>
      </c>
      <c r="V102" s="10">
        <f t="shared" si="25"/>
        <v>0</v>
      </c>
      <c r="W102" s="10">
        <f t="shared" si="25"/>
        <v>0</v>
      </c>
      <c r="X102" s="10">
        <f t="shared" si="25"/>
        <v>0</v>
      </c>
      <c r="Y102" s="10">
        <f t="shared" si="25"/>
        <v>0</v>
      </c>
      <c r="Z102" s="10">
        <f t="shared" si="25"/>
        <v>0</v>
      </c>
      <c r="AA102" s="10">
        <f t="shared" si="25"/>
        <v>0</v>
      </c>
      <c r="AB102" s="10">
        <f t="shared" si="25"/>
        <v>0</v>
      </c>
      <c r="AC102" s="10">
        <f t="shared" si="25"/>
        <v>0</v>
      </c>
      <c r="AD102" s="10">
        <f t="shared" si="25"/>
        <v>0</v>
      </c>
      <c r="AE102" s="10">
        <f t="shared" si="25"/>
        <v>0</v>
      </c>
      <c r="AF102" s="10">
        <f t="shared" si="25"/>
        <v>0</v>
      </c>
      <c r="AG102" s="10">
        <f t="shared" si="25"/>
        <v>0</v>
      </c>
      <c r="AH102" s="10">
        <f t="shared" si="25"/>
        <v>0</v>
      </c>
      <c r="AI102" s="10">
        <f t="shared" si="25"/>
        <v>0</v>
      </c>
      <c r="AJ102" s="10">
        <f t="shared" si="25"/>
        <v>0</v>
      </c>
      <c r="AK102" s="10">
        <f t="shared" si="25"/>
        <v>0</v>
      </c>
      <c r="AL102" s="10">
        <f t="shared" si="25"/>
        <v>0</v>
      </c>
    </row>
    <row r="103" spans="1:38" s="13" customFormat="1" ht="15.75" customHeight="1">
      <c r="A103" s="354">
        <v>13</v>
      </c>
      <c r="B103" s="214" t="s">
        <v>110</v>
      </c>
      <c r="C103" s="211">
        <v>80195</v>
      </c>
      <c r="D103" s="211" t="s">
        <v>8</v>
      </c>
      <c r="E103" s="164"/>
      <c r="F103" s="217">
        <v>2011</v>
      </c>
      <c r="G103" s="81" t="s">
        <v>9</v>
      </c>
      <c r="H103" s="15" t="s">
        <v>10</v>
      </c>
      <c r="I103" s="60">
        <v>105625</v>
      </c>
      <c r="J103" s="61">
        <v>84568</v>
      </c>
      <c r="K103" s="61">
        <v>84568</v>
      </c>
      <c r="L103" s="61">
        <v>84568</v>
      </c>
      <c r="M103" s="146">
        <f t="shared" si="17"/>
        <v>190193</v>
      </c>
      <c r="N103" s="60"/>
      <c r="O103" s="127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s="13" customFormat="1" ht="15.75" customHeight="1">
      <c r="A104" s="348"/>
      <c r="B104" s="215"/>
      <c r="C104" s="362"/>
      <c r="D104" s="362"/>
      <c r="E104" s="165"/>
      <c r="F104" s="228"/>
      <c r="G104" s="341">
        <v>190193</v>
      </c>
      <c r="H104" s="16" t="s">
        <v>11</v>
      </c>
      <c r="I104" s="62"/>
      <c r="J104" s="63"/>
      <c r="K104" s="63"/>
      <c r="L104" s="63"/>
      <c r="M104" s="147">
        <f t="shared" si="17"/>
        <v>0</v>
      </c>
      <c r="N104" s="62"/>
      <c r="O104" s="128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s="13" customFormat="1" ht="15.75" customHeight="1">
      <c r="A105" s="348"/>
      <c r="B105" s="215"/>
      <c r="C105" s="362"/>
      <c r="D105" s="362"/>
      <c r="E105" s="165"/>
      <c r="F105" s="228"/>
      <c r="G105" s="342"/>
      <c r="H105" s="16" t="s">
        <v>12</v>
      </c>
      <c r="I105" s="62"/>
      <c r="J105" s="63"/>
      <c r="K105" s="63"/>
      <c r="L105" s="63"/>
      <c r="M105" s="147">
        <f t="shared" si="17"/>
        <v>0</v>
      </c>
      <c r="N105" s="62"/>
      <c r="O105" s="128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s="13" customFormat="1" ht="15.75" customHeight="1">
      <c r="A106" s="348"/>
      <c r="B106" s="215"/>
      <c r="C106" s="362"/>
      <c r="D106" s="362"/>
      <c r="E106" s="165" t="s">
        <v>108</v>
      </c>
      <c r="F106" s="212"/>
      <c r="G106" s="83" t="s">
        <v>13</v>
      </c>
      <c r="H106" s="16" t="s">
        <v>14</v>
      </c>
      <c r="I106" s="62"/>
      <c r="J106" s="63"/>
      <c r="K106" s="63"/>
      <c r="L106" s="63"/>
      <c r="M106" s="147">
        <f t="shared" si="17"/>
        <v>0</v>
      </c>
      <c r="N106" s="62"/>
      <c r="O106" s="128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s="13" customFormat="1" ht="15.75" customHeight="1">
      <c r="A107" s="348"/>
      <c r="B107" s="215"/>
      <c r="C107" s="362"/>
      <c r="D107" s="362"/>
      <c r="E107" s="165"/>
      <c r="F107" s="227">
        <v>2013</v>
      </c>
      <c r="G107" s="341">
        <v>0</v>
      </c>
      <c r="H107" s="16" t="s">
        <v>15</v>
      </c>
      <c r="I107" s="62"/>
      <c r="J107" s="63"/>
      <c r="K107" s="63"/>
      <c r="L107" s="63"/>
      <c r="M107" s="147">
        <f t="shared" si="17"/>
        <v>0</v>
      </c>
      <c r="N107" s="62"/>
      <c r="O107" s="128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s="13" customFormat="1" ht="15.75" customHeight="1">
      <c r="A108" s="348"/>
      <c r="B108" s="215"/>
      <c r="C108" s="362"/>
      <c r="D108" s="362"/>
      <c r="E108" s="165"/>
      <c r="F108" s="228"/>
      <c r="G108" s="342"/>
      <c r="H108" s="16" t="s">
        <v>16</v>
      </c>
      <c r="I108" s="62"/>
      <c r="J108" s="63"/>
      <c r="K108" s="63"/>
      <c r="L108" s="63"/>
      <c r="M108" s="147">
        <f t="shared" si="17"/>
        <v>0</v>
      </c>
      <c r="N108" s="62"/>
      <c r="O108" s="128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s="13" customFormat="1" ht="15.75" customHeight="1">
      <c r="A109" s="348"/>
      <c r="B109" s="215"/>
      <c r="C109" s="362"/>
      <c r="D109" s="362"/>
      <c r="E109" s="165"/>
      <c r="F109" s="228"/>
      <c r="G109" s="83" t="s">
        <v>17</v>
      </c>
      <c r="H109" s="16" t="s">
        <v>18</v>
      </c>
      <c r="I109" s="6">
        <f aca="true" t="shared" si="26" ref="I109:AL109">I103+I105+I107</f>
        <v>105625</v>
      </c>
      <c r="J109" s="7">
        <f t="shared" si="26"/>
        <v>84568</v>
      </c>
      <c r="K109" s="7">
        <f t="shared" si="26"/>
        <v>84568</v>
      </c>
      <c r="L109" s="7">
        <f t="shared" si="26"/>
        <v>84568</v>
      </c>
      <c r="M109" s="123">
        <f t="shared" si="17"/>
        <v>190193</v>
      </c>
      <c r="N109" s="149">
        <f>M109/G104</f>
        <v>1</v>
      </c>
      <c r="O109" s="129">
        <f t="shared" si="26"/>
        <v>0</v>
      </c>
      <c r="P109" s="7">
        <f t="shared" si="26"/>
        <v>0</v>
      </c>
      <c r="Q109" s="7">
        <f t="shared" si="26"/>
        <v>0</v>
      </c>
      <c r="R109" s="7">
        <f t="shared" si="26"/>
        <v>0</v>
      </c>
      <c r="S109" s="7">
        <f t="shared" si="26"/>
        <v>0</v>
      </c>
      <c r="T109" s="7">
        <f t="shared" si="26"/>
        <v>0</v>
      </c>
      <c r="U109" s="7">
        <f t="shared" si="26"/>
        <v>0</v>
      </c>
      <c r="V109" s="7">
        <f t="shared" si="26"/>
        <v>0</v>
      </c>
      <c r="W109" s="7">
        <f t="shared" si="26"/>
        <v>0</v>
      </c>
      <c r="X109" s="7">
        <f t="shared" si="26"/>
        <v>0</v>
      </c>
      <c r="Y109" s="7">
        <f t="shared" si="26"/>
        <v>0</v>
      </c>
      <c r="Z109" s="7">
        <f t="shared" si="26"/>
        <v>0</v>
      </c>
      <c r="AA109" s="7">
        <f t="shared" si="26"/>
        <v>0</v>
      </c>
      <c r="AB109" s="7">
        <f t="shared" si="26"/>
        <v>0</v>
      </c>
      <c r="AC109" s="7">
        <f t="shared" si="26"/>
        <v>0</v>
      </c>
      <c r="AD109" s="7">
        <f t="shared" si="26"/>
        <v>0</v>
      </c>
      <c r="AE109" s="7">
        <f t="shared" si="26"/>
        <v>0</v>
      </c>
      <c r="AF109" s="7">
        <f t="shared" si="26"/>
        <v>0</v>
      </c>
      <c r="AG109" s="7">
        <f t="shared" si="26"/>
        <v>0</v>
      </c>
      <c r="AH109" s="7">
        <f t="shared" si="26"/>
        <v>0</v>
      </c>
      <c r="AI109" s="7">
        <f t="shared" si="26"/>
        <v>0</v>
      </c>
      <c r="AJ109" s="7">
        <f t="shared" si="26"/>
        <v>0</v>
      </c>
      <c r="AK109" s="7">
        <f t="shared" si="26"/>
        <v>0</v>
      </c>
      <c r="AL109" s="7">
        <f t="shared" si="26"/>
        <v>0</v>
      </c>
    </row>
    <row r="110" spans="1:38" s="13" customFormat="1" ht="15.75" customHeight="1" thickBot="1">
      <c r="A110" s="348"/>
      <c r="B110" s="207"/>
      <c r="C110" s="363"/>
      <c r="D110" s="362"/>
      <c r="E110" s="165"/>
      <c r="F110" s="216"/>
      <c r="G110" s="85">
        <v>190193</v>
      </c>
      <c r="H110" s="17" t="s">
        <v>19</v>
      </c>
      <c r="I110" s="9">
        <f aca="true" t="shared" si="27" ref="I110:AL110">I104+I106+I108</f>
        <v>0</v>
      </c>
      <c r="J110" s="10">
        <f t="shared" si="27"/>
        <v>0</v>
      </c>
      <c r="K110" s="10">
        <f t="shared" si="27"/>
        <v>0</v>
      </c>
      <c r="L110" s="10">
        <f t="shared" si="27"/>
        <v>0</v>
      </c>
      <c r="M110" s="124">
        <f t="shared" si="17"/>
        <v>0</v>
      </c>
      <c r="N110" s="149"/>
      <c r="O110" s="130">
        <f t="shared" si="27"/>
        <v>0</v>
      </c>
      <c r="P110" s="10">
        <f t="shared" si="27"/>
        <v>0</v>
      </c>
      <c r="Q110" s="10">
        <f t="shared" si="27"/>
        <v>0</v>
      </c>
      <c r="R110" s="10">
        <f t="shared" si="27"/>
        <v>0</v>
      </c>
      <c r="S110" s="10">
        <f t="shared" si="27"/>
        <v>0</v>
      </c>
      <c r="T110" s="10">
        <f t="shared" si="27"/>
        <v>0</v>
      </c>
      <c r="U110" s="10">
        <f t="shared" si="27"/>
        <v>0</v>
      </c>
      <c r="V110" s="10">
        <f t="shared" si="27"/>
        <v>0</v>
      </c>
      <c r="W110" s="10">
        <f t="shared" si="27"/>
        <v>0</v>
      </c>
      <c r="X110" s="10">
        <f t="shared" si="27"/>
        <v>0</v>
      </c>
      <c r="Y110" s="10">
        <f t="shared" si="27"/>
        <v>0</v>
      </c>
      <c r="Z110" s="10">
        <f t="shared" si="27"/>
        <v>0</v>
      </c>
      <c r="AA110" s="10">
        <f t="shared" si="27"/>
        <v>0</v>
      </c>
      <c r="AB110" s="10">
        <f t="shared" si="27"/>
        <v>0</v>
      </c>
      <c r="AC110" s="10">
        <f t="shared" si="27"/>
        <v>0</v>
      </c>
      <c r="AD110" s="10">
        <f t="shared" si="27"/>
        <v>0</v>
      </c>
      <c r="AE110" s="10">
        <f t="shared" si="27"/>
        <v>0</v>
      </c>
      <c r="AF110" s="10">
        <f t="shared" si="27"/>
        <v>0</v>
      </c>
      <c r="AG110" s="10">
        <f t="shared" si="27"/>
        <v>0</v>
      </c>
      <c r="AH110" s="10">
        <f t="shared" si="27"/>
        <v>0</v>
      </c>
      <c r="AI110" s="10">
        <f t="shared" si="27"/>
        <v>0</v>
      </c>
      <c r="AJ110" s="10">
        <f t="shared" si="27"/>
        <v>0</v>
      </c>
      <c r="AK110" s="10">
        <f t="shared" si="27"/>
        <v>0</v>
      </c>
      <c r="AL110" s="10">
        <f t="shared" si="27"/>
        <v>0</v>
      </c>
    </row>
    <row r="111" spans="1:38" s="90" customFormat="1" ht="15" customHeight="1">
      <c r="A111" s="354">
        <v>14</v>
      </c>
      <c r="B111" s="356" t="s">
        <v>122</v>
      </c>
      <c r="C111" s="357">
        <v>85154</v>
      </c>
      <c r="D111" s="358" t="s">
        <v>65</v>
      </c>
      <c r="E111" s="167"/>
      <c r="F111" s="223">
        <v>2012</v>
      </c>
      <c r="G111" s="81" t="s">
        <v>9</v>
      </c>
      <c r="H111" s="86" t="s">
        <v>25</v>
      </c>
      <c r="I111" s="59">
        <v>0</v>
      </c>
      <c r="J111" s="87">
        <v>80000</v>
      </c>
      <c r="K111" s="87">
        <v>0</v>
      </c>
      <c r="L111" s="87">
        <v>0</v>
      </c>
      <c r="M111" s="158">
        <f t="shared" si="17"/>
        <v>0</v>
      </c>
      <c r="N111" s="59">
        <v>0</v>
      </c>
      <c r="O111" s="132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</row>
    <row r="112" spans="1:38" s="90" customFormat="1" ht="15" customHeight="1">
      <c r="A112" s="348"/>
      <c r="B112" s="349"/>
      <c r="C112" s="351"/>
      <c r="D112" s="353"/>
      <c r="E112" s="168"/>
      <c r="F112" s="361"/>
      <c r="G112" s="341">
        <v>80000</v>
      </c>
      <c r="H112" s="91" t="s">
        <v>26</v>
      </c>
      <c r="I112" s="92"/>
      <c r="J112" s="93"/>
      <c r="K112" s="93"/>
      <c r="L112" s="93"/>
      <c r="M112" s="159">
        <f t="shared" si="17"/>
        <v>0</v>
      </c>
      <c r="N112" s="92"/>
      <c r="O112" s="133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</row>
    <row r="113" spans="1:38" s="90" customFormat="1" ht="15" customHeight="1">
      <c r="A113" s="348"/>
      <c r="B113" s="349"/>
      <c r="C113" s="351"/>
      <c r="D113" s="353"/>
      <c r="E113" s="168"/>
      <c r="F113" s="361"/>
      <c r="G113" s="342"/>
      <c r="H113" s="91" t="s">
        <v>12</v>
      </c>
      <c r="I113" s="92"/>
      <c r="J113" s="93"/>
      <c r="K113" s="93"/>
      <c r="L113" s="93"/>
      <c r="M113" s="159">
        <f t="shared" si="17"/>
        <v>0</v>
      </c>
      <c r="N113" s="92"/>
      <c r="O113" s="133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</row>
    <row r="114" spans="1:38" s="90" customFormat="1" ht="15" customHeight="1">
      <c r="A114" s="348"/>
      <c r="B114" s="349"/>
      <c r="C114" s="351"/>
      <c r="D114" s="353"/>
      <c r="E114" s="168"/>
      <c r="F114" s="224"/>
      <c r="G114" s="83" t="s">
        <v>13</v>
      </c>
      <c r="H114" s="91" t="s">
        <v>14</v>
      </c>
      <c r="I114" s="92"/>
      <c r="J114" s="93"/>
      <c r="K114" s="93"/>
      <c r="L114" s="93"/>
      <c r="M114" s="159">
        <f t="shared" si="17"/>
        <v>0</v>
      </c>
      <c r="N114" s="92"/>
      <c r="O114" s="133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</row>
    <row r="115" spans="1:38" s="90" customFormat="1" ht="15" customHeight="1">
      <c r="A115" s="348"/>
      <c r="B115" s="349"/>
      <c r="C115" s="351"/>
      <c r="D115" s="353"/>
      <c r="E115" s="168"/>
      <c r="F115" s="360">
        <v>2013</v>
      </c>
      <c r="G115" s="341">
        <v>0</v>
      </c>
      <c r="H115" s="91" t="s">
        <v>15</v>
      </c>
      <c r="I115" s="92"/>
      <c r="J115" s="93"/>
      <c r="K115" s="93"/>
      <c r="L115" s="93"/>
      <c r="M115" s="159">
        <f t="shared" si="17"/>
        <v>0</v>
      </c>
      <c r="N115" s="92"/>
      <c r="O115" s="133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</row>
    <row r="116" spans="1:38" s="90" customFormat="1" ht="15" customHeight="1">
      <c r="A116" s="348"/>
      <c r="B116" s="349"/>
      <c r="C116" s="351"/>
      <c r="D116" s="353"/>
      <c r="E116" s="168"/>
      <c r="F116" s="361"/>
      <c r="G116" s="342"/>
      <c r="H116" s="91" t="s">
        <v>16</v>
      </c>
      <c r="I116" s="92"/>
      <c r="J116" s="93"/>
      <c r="K116" s="93"/>
      <c r="L116" s="93"/>
      <c r="M116" s="159">
        <f t="shared" si="17"/>
        <v>0</v>
      </c>
      <c r="N116" s="92"/>
      <c r="O116" s="133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</row>
    <row r="117" spans="1:38" s="90" customFormat="1" ht="15" customHeight="1">
      <c r="A117" s="348"/>
      <c r="B117" s="349"/>
      <c r="C117" s="351"/>
      <c r="D117" s="353"/>
      <c r="E117" s="168"/>
      <c r="F117" s="361"/>
      <c r="G117" s="83" t="s">
        <v>17</v>
      </c>
      <c r="H117" s="91" t="s">
        <v>18</v>
      </c>
      <c r="I117" s="96">
        <f aca="true" t="shared" si="28" ref="I117:AL118">I111+I113+I115</f>
        <v>0</v>
      </c>
      <c r="J117" s="97">
        <f t="shared" si="28"/>
        <v>80000</v>
      </c>
      <c r="K117" s="97">
        <f t="shared" si="28"/>
        <v>0</v>
      </c>
      <c r="L117" s="97">
        <f t="shared" si="28"/>
        <v>0</v>
      </c>
      <c r="M117" s="98">
        <f t="shared" si="17"/>
        <v>0</v>
      </c>
      <c r="N117" s="149">
        <f>M117/G112</f>
        <v>0</v>
      </c>
      <c r="O117" s="134">
        <f t="shared" si="28"/>
        <v>0</v>
      </c>
      <c r="P117" s="97">
        <f t="shared" si="28"/>
        <v>0</v>
      </c>
      <c r="Q117" s="97">
        <f t="shared" si="28"/>
        <v>0</v>
      </c>
      <c r="R117" s="97">
        <f t="shared" si="28"/>
        <v>0</v>
      </c>
      <c r="S117" s="97">
        <f t="shared" si="28"/>
        <v>0</v>
      </c>
      <c r="T117" s="97">
        <f t="shared" si="28"/>
        <v>0</v>
      </c>
      <c r="U117" s="97">
        <f t="shared" si="28"/>
        <v>0</v>
      </c>
      <c r="V117" s="97">
        <f t="shared" si="28"/>
        <v>0</v>
      </c>
      <c r="W117" s="97">
        <f t="shared" si="28"/>
        <v>0</v>
      </c>
      <c r="X117" s="97">
        <f t="shared" si="28"/>
        <v>0</v>
      </c>
      <c r="Y117" s="97">
        <f t="shared" si="28"/>
        <v>0</v>
      </c>
      <c r="Z117" s="97">
        <f t="shared" si="28"/>
        <v>0</v>
      </c>
      <c r="AA117" s="97">
        <f t="shared" si="28"/>
        <v>0</v>
      </c>
      <c r="AB117" s="97">
        <f t="shared" si="28"/>
        <v>0</v>
      </c>
      <c r="AC117" s="97">
        <f t="shared" si="28"/>
        <v>0</v>
      </c>
      <c r="AD117" s="97">
        <f t="shared" si="28"/>
        <v>0</v>
      </c>
      <c r="AE117" s="97">
        <f t="shared" si="28"/>
        <v>0</v>
      </c>
      <c r="AF117" s="97">
        <f t="shared" si="28"/>
        <v>0</v>
      </c>
      <c r="AG117" s="97">
        <f t="shared" si="28"/>
        <v>0</v>
      </c>
      <c r="AH117" s="97">
        <f t="shared" si="28"/>
        <v>0</v>
      </c>
      <c r="AI117" s="97">
        <f t="shared" si="28"/>
        <v>0</v>
      </c>
      <c r="AJ117" s="97">
        <f t="shared" si="28"/>
        <v>0</v>
      </c>
      <c r="AK117" s="97">
        <f t="shared" si="28"/>
        <v>0</v>
      </c>
      <c r="AL117" s="98">
        <f t="shared" si="28"/>
        <v>0</v>
      </c>
    </row>
    <row r="118" spans="1:38" s="90" customFormat="1" ht="15" customHeight="1" thickBot="1">
      <c r="A118" s="355"/>
      <c r="B118" s="350"/>
      <c r="C118" s="352"/>
      <c r="D118" s="359"/>
      <c r="E118" s="169"/>
      <c r="F118" s="248"/>
      <c r="G118" s="85">
        <v>80000</v>
      </c>
      <c r="H118" s="99" t="s">
        <v>19</v>
      </c>
      <c r="I118" s="100">
        <f t="shared" si="28"/>
        <v>0</v>
      </c>
      <c r="J118" s="101">
        <f t="shared" si="28"/>
        <v>0</v>
      </c>
      <c r="K118" s="101">
        <f t="shared" si="28"/>
        <v>0</v>
      </c>
      <c r="L118" s="101">
        <f t="shared" si="28"/>
        <v>0</v>
      </c>
      <c r="M118" s="102">
        <f t="shared" si="17"/>
        <v>0</v>
      </c>
      <c r="N118" s="150"/>
      <c r="O118" s="135">
        <f t="shared" si="28"/>
        <v>0</v>
      </c>
      <c r="P118" s="101">
        <f t="shared" si="28"/>
        <v>0</v>
      </c>
      <c r="Q118" s="101">
        <f t="shared" si="28"/>
        <v>0</v>
      </c>
      <c r="R118" s="101">
        <f t="shared" si="28"/>
        <v>0</v>
      </c>
      <c r="S118" s="101">
        <f t="shared" si="28"/>
        <v>0</v>
      </c>
      <c r="T118" s="101">
        <f t="shared" si="28"/>
        <v>0</v>
      </c>
      <c r="U118" s="101">
        <f t="shared" si="28"/>
        <v>0</v>
      </c>
      <c r="V118" s="101">
        <f t="shared" si="28"/>
        <v>0</v>
      </c>
      <c r="W118" s="101">
        <f t="shared" si="28"/>
        <v>0</v>
      </c>
      <c r="X118" s="101">
        <f t="shared" si="28"/>
        <v>0</v>
      </c>
      <c r="Y118" s="101">
        <f t="shared" si="28"/>
        <v>0</v>
      </c>
      <c r="Z118" s="101">
        <f t="shared" si="28"/>
        <v>0</v>
      </c>
      <c r="AA118" s="101">
        <f t="shared" si="28"/>
        <v>0</v>
      </c>
      <c r="AB118" s="101">
        <f t="shared" si="28"/>
        <v>0</v>
      </c>
      <c r="AC118" s="101">
        <f t="shared" si="28"/>
        <v>0</v>
      </c>
      <c r="AD118" s="101">
        <f t="shared" si="28"/>
        <v>0</v>
      </c>
      <c r="AE118" s="101">
        <f t="shared" si="28"/>
        <v>0</v>
      </c>
      <c r="AF118" s="101">
        <f t="shared" si="28"/>
        <v>0</v>
      </c>
      <c r="AG118" s="101">
        <f t="shared" si="28"/>
        <v>0</v>
      </c>
      <c r="AH118" s="101">
        <f t="shared" si="28"/>
        <v>0</v>
      </c>
      <c r="AI118" s="101">
        <f t="shared" si="28"/>
        <v>0</v>
      </c>
      <c r="AJ118" s="101">
        <f t="shared" si="28"/>
        <v>0</v>
      </c>
      <c r="AK118" s="101">
        <f t="shared" si="28"/>
        <v>0</v>
      </c>
      <c r="AL118" s="102">
        <f t="shared" si="28"/>
        <v>0</v>
      </c>
    </row>
    <row r="119" spans="1:38" s="13" customFormat="1" ht="15.75" customHeight="1">
      <c r="A119" s="354">
        <v>15</v>
      </c>
      <c r="B119" s="356" t="s">
        <v>81</v>
      </c>
      <c r="C119" s="208">
        <v>85154</v>
      </c>
      <c r="D119" s="211" t="s">
        <v>49</v>
      </c>
      <c r="E119" s="164"/>
      <c r="F119" s="217">
        <v>2012</v>
      </c>
      <c r="G119" s="81" t="s">
        <v>9</v>
      </c>
      <c r="H119" s="15" t="s">
        <v>10</v>
      </c>
      <c r="I119" s="60">
        <v>46000</v>
      </c>
      <c r="J119" s="61">
        <v>45000</v>
      </c>
      <c r="K119" s="61">
        <v>45000</v>
      </c>
      <c r="L119" s="61">
        <v>45000</v>
      </c>
      <c r="M119" s="146">
        <f t="shared" si="17"/>
        <v>91000</v>
      </c>
      <c r="N119" s="60"/>
      <c r="O119" s="13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s="13" customFormat="1" ht="14.25" customHeight="1">
      <c r="A120" s="348"/>
      <c r="B120" s="349"/>
      <c r="C120" s="209"/>
      <c r="D120" s="362"/>
      <c r="E120" s="165"/>
      <c r="F120" s="228"/>
      <c r="G120" s="341">
        <v>159000</v>
      </c>
      <c r="H120" s="16" t="s">
        <v>11</v>
      </c>
      <c r="I120" s="62"/>
      <c r="J120" s="63"/>
      <c r="K120" s="63"/>
      <c r="L120" s="63"/>
      <c r="M120" s="147">
        <f t="shared" si="17"/>
        <v>0</v>
      </c>
      <c r="N120" s="62"/>
      <c r="O120" s="128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s="13" customFormat="1" ht="13.5" customHeight="1">
      <c r="A121" s="348"/>
      <c r="B121" s="349"/>
      <c r="C121" s="209"/>
      <c r="D121" s="362"/>
      <c r="E121" s="165"/>
      <c r="F121" s="228"/>
      <c r="G121" s="342"/>
      <c r="H121" s="16" t="s">
        <v>12</v>
      </c>
      <c r="I121" s="62"/>
      <c r="J121" s="63"/>
      <c r="K121" s="63"/>
      <c r="L121" s="63"/>
      <c r="M121" s="147">
        <f t="shared" si="17"/>
        <v>0</v>
      </c>
      <c r="N121" s="62"/>
      <c r="O121" s="128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s="13" customFormat="1" ht="12.75" customHeight="1">
      <c r="A122" s="348"/>
      <c r="B122" s="349"/>
      <c r="C122" s="209"/>
      <c r="D122" s="362"/>
      <c r="E122" s="165"/>
      <c r="F122" s="212"/>
      <c r="G122" s="83" t="s">
        <v>13</v>
      </c>
      <c r="H122" s="16" t="s">
        <v>14</v>
      </c>
      <c r="I122" s="62"/>
      <c r="J122" s="63"/>
      <c r="K122" s="63"/>
      <c r="L122" s="63"/>
      <c r="M122" s="147">
        <f t="shared" si="17"/>
        <v>0</v>
      </c>
      <c r="N122" s="62"/>
      <c r="O122" s="128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s="13" customFormat="1" ht="15.75" customHeight="1">
      <c r="A123" s="348"/>
      <c r="B123" s="349"/>
      <c r="C123" s="209"/>
      <c r="D123" s="362"/>
      <c r="E123" s="165" t="s">
        <v>80</v>
      </c>
      <c r="F123" s="227">
        <v>2015</v>
      </c>
      <c r="G123" s="341">
        <v>0</v>
      </c>
      <c r="H123" s="16" t="s">
        <v>15</v>
      </c>
      <c r="I123" s="62"/>
      <c r="J123" s="63"/>
      <c r="K123" s="63"/>
      <c r="L123" s="63"/>
      <c r="M123" s="147">
        <f t="shared" si="17"/>
        <v>0</v>
      </c>
      <c r="N123" s="62"/>
      <c r="O123" s="128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3"/>
      <c r="AF123" s="4"/>
      <c r="AG123" s="4"/>
      <c r="AH123" s="4"/>
      <c r="AI123" s="4"/>
      <c r="AJ123" s="4"/>
      <c r="AK123" s="4"/>
      <c r="AL123" s="4"/>
    </row>
    <row r="124" spans="1:38" s="13" customFormat="1" ht="12.75" customHeight="1">
      <c r="A124" s="348"/>
      <c r="B124" s="349"/>
      <c r="C124" s="209"/>
      <c r="D124" s="362"/>
      <c r="E124" s="165"/>
      <c r="F124" s="228"/>
      <c r="G124" s="342"/>
      <c r="H124" s="16" t="s">
        <v>16</v>
      </c>
      <c r="I124" s="62"/>
      <c r="J124" s="63"/>
      <c r="K124" s="63"/>
      <c r="L124" s="63"/>
      <c r="M124" s="147">
        <f t="shared" si="17"/>
        <v>0</v>
      </c>
      <c r="N124" s="62"/>
      <c r="O124" s="128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3"/>
      <c r="AF124" s="4"/>
      <c r="AG124" s="4"/>
      <c r="AH124" s="4"/>
      <c r="AI124" s="4"/>
      <c r="AJ124" s="4"/>
      <c r="AK124" s="4"/>
      <c r="AL124" s="4"/>
    </row>
    <row r="125" spans="1:38" s="13" customFormat="1" ht="15.75" customHeight="1">
      <c r="A125" s="348"/>
      <c r="B125" s="349"/>
      <c r="C125" s="209"/>
      <c r="D125" s="362"/>
      <c r="E125" s="165"/>
      <c r="F125" s="228"/>
      <c r="G125" s="83" t="s">
        <v>17</v>
      </c>
      <c r="H125" s="16" t="s">
        <v>18</v>
      </c>
      <c r="I125" s="6">
        <f aca="true" t="shared" si="29" ref="I125:AL125">I119+I121+I123</f>
        <v>46000</v>
      </c>
      <c r="J125" s="7">
        <f t="shared" si="29"/>
        <v>45000</v>
      </c>
      <c r="K125" s="7">
        <f t="shared" si="29"/>
        <v>45000</v>
      </c>
      <c r="L125" s="7">
        <f t="shared" si="29"/>
        <v>45000</v>
      </c>
      <c r="M125" s="123">
        <f t="shared" si="17"/>
        <v>91000</v>
      </c>
      <c r="N125" s="149">
        <f>M125/G120</f>
        <v>0.5723270440251572</v>
      </c>
      <c r="O125" s="129">
        <f t="shared" si="29"/>
        <v>0</v>
      </c>
      <c r="P125" s="7">
        <f t="shared" si="29"/>
        <v>0</v>
      </c>
      <c r="Q125" s="7">
        <f t="shared" si="29"/>
        <v>0</v>
      </c>
      <c r="R125" s="7">
        <f t="shared" si="29"/>
        <v>0</v>
      </c>
      <c r="S125" s="7">
        <f t="shared" si="29"/>
        <v>0</v>
      </c>
      <c r="T125" s="7">
        <f t="shared" si="29"/>
        <v>0</v>
      </c>
      <c r="U125" s="7">
        <f t="shared" si="29"/>
        <v>0</v>
      </c>
      <c r="V125" s="7">
        <f t="shared" si="29"/>
        <v>0</v>
      </c>
      <c r="W125" s="7">
        <f t="shared" si="29"/>
        <v>0</v>
      </c>
      <c r="X125" s="7">
        <f t="shared" si="29"/>
        <v>0</v>
      </c>
      <c r="Y125" s="7">
        <f t="shared" si="29"/>
        <v>0</v>
      </c>
      <c r="Z125" s="7">
        <f t="shared" si="29"/>
        <v>0</v>
      </c>
      <c r="AA125" s="7">
        <f t="shared" si="29"/>
        <v>0</v>
      </c>
      <c r="AB125" s="7">
        <f t="shared" si="29"/>
        <v>0</v>
      </c>
      <c r="AC125" s="7">
        <f t="shared" si="29"/>
        <v>0</v>
      </c>
      <c r="AD125" s="7">
        <f t="shared" si="29"/>
        <v>0</v>
      </c>
      <c r="AE125" s="7">
        <f t="shared" si="29"/>
        <v>0</v>
      </c>
      <c r="AF125" s="7">
        <f t="shared" si="29"/>
        <v>0</v>
      </c>
      <c r="AG125" s="7">
        <f t="shared" si="29"/>
        <v>0</v>
      </c>
      <c r="AH125" s="7">
        <f t="shared" si="29"/>
        <v>0</v>
      </c>
      <c r="AI125" s="7">
        <f t="shared" si="29"/>
        <v>0</v>
      </c>
      <c r="AJ125" s="7">
        <f t="shared" si="29"/>
        <v>0</v>
      </c>
      <c r="AK125" s="7">
        <f t="shared" si="29"/>
        <v>0</v>
      </c>
      <c r="AL125" s="7">
        <f t="shared" si="29"/>
        <v>0</v>
      </c>
    </row>
    <row r="126" spans="1:38" s="13" customFormat="1" ht="15.75" customHeight="1" thickBot="1">
      <c r="A126" s="355"/>
      <c r="B126" s="350"/>
      <c r="C126" s="210"/>
      <c r="D126" s="363"/>
      <c r="E126" s="166"/>
      <c r="F126" s="216"/>
      <c r="G126" s="85">
        <v>159000</v>
      </c>
      <c r="H126" s="17" t="s">
        <v>19</v>
      </c>
      <c r="I126" s="9">
        <f aca="true" t="shared" si="30" ref="I126:AL126">I120+I122+I124</f>
        <v>0</v>
      </c>
      <c r="J126" s="10">
        <f t="shared" si="30"/>
        <v>0</v>
      </c>
      <c r="K126" s="10">
        <f t="shared" si="30"/>
        <v>0</v>
      </c>
      <c r="L126" s="10">
        <f t="shared" si="30"/>
        <v>0</v>
      </c>
      <c r="M126" s="124">
        <f t="shared" si="17"/>
        <v>0</v>
      </c>
      <c r="N126" s="150"/>
      <c r="O126" s="130">
        <f t="shared" si="30"/>
        <v>0</v>
      </c>
      <c r="P126" s="10">
        <f t="shared" si="30"/>
        <v>0</v>
      </c>
      <c r="Q126" s="10">
        <f t="shared" si="30"/>
        <v>0</v>
      </c>
      <c r="R126" s="10">
        <f t="shared" si="30"/>
        <v>0</v>
      </c>
      <c r="S126" s="10">
        <f t="shared" si="30"/>
        <v>0</v>
      </c>
      <c r="T126" s="10">
        <f t="shared" si="30"/>
        <v>0</v>
      </c>
      <c r="U126" s="10">
        <f t="shared" si="30"/>
        <v>0</v>
      </c>
      <c r="V126" s="10">
        <f t="shared" si="30"/>
        <v>0</v>
      </c>
      <c r="W126" s="10">
        <f t="shared" si="30"/>
        <v>0</v>
      </c>
      <c r="X126" s="10">
        <f t="shared" si="30"/>
        <v>0</v>
      </c>
      <c r="Y126" s="10">
        <f t="shared" si="30"/>
        <v>0</v>
      </c>
      <c r="Z126" s="10">
        <f t="shared" si="30"/>
        <v>0</v>
      </c>
      <c r="AA126" s="10">
        <f t="shared" si="30"/>
        <v>0</v>
      </c>
      <c r="AB126" s="10">
        <f t="shared" si="30"/>
        <v>0</v>
      </c>
      <c r="AC126" s="10">
        <f t="shared" si="30"/>
        <v>0</v>
      </c>
      <c r="AD126" s="10">
        <f t="shared" si="30"/>
        <v>0</v>
      </c>
      <c r="AE126" s="10">
        <f t="shared" si="30"/>
        <v>0</v>
      </c>
      <c r="AF126" s="12">
        <f t="shared" si="30"/>
        <v>0</v>
      </c>
      <c r="AG126" s="12">
        <f t="shared" si="30"/>
        <v>0</v>
      </c>
      <c r="AH126" s="12">
        <f t="shared" si="30"/>
        <v>0</v>
      </c>
      <c r="AI126" s="12">
        <f t="shared" si="30"/>
        <v>0</v>
      </c>
      <c r="AJ126" s="12">
        <f t="shared" si="30"/>
        <v>0</v>
      </c>
      <c r="AK126" s="12">
        <f t="shared" si="30"/>
        <v>0</v>
      </c>
      <c r="AL126" s="12">
        <f t="shared" si="30"/>
        <v>0</v>
      </c>
    </row>
    <row r="127" spans="1:38" s="13" customFormat="1" ht="12.75">
      <c r="A127" s="354">
        <v>16</v>
      </c>
      <c r="B127" s="356" t="s">
        <v>82</v>
      </c>
      <c r="C127" s="208">
        <v>85154</v>
      </c>
      <c r="D127" s="211" t="s">
        <v>49</v>
      </c>
      <c r="E127" s="164"/>
      <c r="F127" s="217">
        <v>2012</v>
      </c>
      <c r="G127" s="81" t="s">
        <v>9</v>
      </c>
      <c r="H127" s="15" t="s">
        <v>10</v>
      </c>
      <c r="I127" s="60">
        <v>1695170</v>
      </c>
      <c r="J127" s="61">
        <v>1566540</v>
      </c>
      <c r="K127" s="61">
        <v>1087871</v>
      </c>
      <c r="L127" s="61">
        <v>1566540</v>
      </c>
      <c r="M127" s="146">
        <f t="shared" si="17"/>
        <v>2783041</v>
      </c>
      <c r="N127" s="60"/>
      <c r="O127" s="13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s="13" customFormat="1" ht="12.75">
      <c r="A128" s="348"/>
      <c r="B128" s="349"/>
      <c r="C128" s="209"/>
      <c r="D128" s="362"/>
      <c r="E128" s="165"/>
      <c r="F128" s="228"/>
      <c r="G128" s="341">
        <v>5888650</v>
      </c>
      <c r="H128" s="16" t="s">
        <v>11</v>
      </c>
      <c r="I128" s="62"/>
      <c r="J128" s="63"/>
      <c r="K128" s="63"/>
      <c r="L128" s="63"/>
      <c r="M128" s="147">
        <f t="shared" si="17"/>
        <v>0</v>
      </c>
      <c r="N128" s="62"/>
      <c r="O128" s="128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s="13" customFormat="1" ht="15.75" customHeight="1">
      <c r="A129" s="348"/>
      <c r="B129" s="349"/>
      <c r="C129" s="209"/>
      <c r="D129" s="362"/>
      <c r="E129" s="165"/>
      <c r="F129" s="228"/>
      <c r="G129" s="342"/>
      <c r="H129" s="16" t="s">
        <v>12</v>
      </c>
      <c r="I129" s="62"/>
      <c r="J129" s="63"/>
      <c r="K129" s="63"/>
      <c r="L129" s="63"/>
      <c r="M129" s="147">
        <f t="shared" si="17"/>
        <v>0</v>
      </c>
      <c r="N129" s="62"/>
      <c r="O129" s="128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s="13" customFormat="1" ht="15.75" customHeight="1">
      <c r="A130" s="348"/>
      <c r="B130" s="349"/>
      <c r="C130" s="209"/>
      <c r="D130" s="362"/>
      <c r="E130" s="165"/>
      <c r="F130" s="212"/>
      <c r="G130" s="83" t="s">
        <v>13</v>
      </c>
      <c r="H130" s="16" t="s">
        <v>14</v>
      </c>
      <c r="I130" s="62"/>
      <c r="J130" s="63"/>
      <c r="K130" s="63"/>
      <c r="L130" s="63"/>
      <c r="M130" s="147">
        <f t="shared" si="17"/>
        <v>0</v>
      </c>
      <c r="N130" s="62"/>
      <c r="O130" s="128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s="13" customFormat="1" ht="15.75" customHeight="1">
      <c r="A131" s="348"/>
      <c r="B131" s="349"/>
      <c r="C131" s="209"/>
      <c r="D131" s="362"/>
      <c r="E131" s="165" t="s">
        <v>80</v>
      </c>
      <c r="F131" s="227">
        <v>2015</v>
      </c>
      <c r="G131" s="341">
        <v>0</v>
      </c>
      <c r="H131" s="16" t="s">
        <v>15</v>
      </c>
      <c r="I131" s="62"/>
      <c r="J131" s="63"/>
      <c r="K131" s="63"/>
      <c r="L131" s="63"/>
      <c r="M131" s="147">
        <f t="shared" si="17"/>
        <v>0</v>
      </c>
      <c r="N131" s="62"/>
      <c r="O131" s="128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s="13" customFormat="1" ht="15.75" customHeight="1">
      <c r="A132" s="348"/>
      <c r="B132" s="349"/>
      <c r="C132" s="209"/>
      <c r="D132" s="362"/>
      <c r="E132" s="165"/>
      <c r="F132" s="228"/>
      <c r="G132" s="342"/>
      <c r="H132" s="16" t="s">
        <v>16</v>
      </c>
      <c r="I132" s="62"/>
      <c r="J132" s="63"/>
      <c r="K132" s="63"/>
      <c r="L132" s="63"/>
      <c r="M132" s="147">
        <f t="shared" si="17"/>
        <v>0</v>
      </c>
      <c r="N132" s="62"/>
      <c r="O132" s="128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s="13" customFormat="1" ht="15.75" customHeight="1">
      <c r="A133" s="348"/>
      <c r="B133" s="349"/>
      <c r="C133" s="209"/>
      <c r="D133" s="362"/>
      <c r="E133" s="165"/>
      <c r="F133" s="228"/>
      <c r="G133" s="83" t="s">
        <v>17</v>
      </c>
      <c r="H133" s="16" t="s">
        <v>18</v>
      </c>
      <c r="I133" s="6">
        <f aca="true" t="shared" si="31" ref="I133:AL133">I127+I129+I131</f>
        <v>1695170</v>
      </c>
      <c r="J133" s="7">
        <f t="shared" si="31"/>
        <v>1566540</v>
      </c>
      <c r="K133" s="7">
        <f t="shared" si="31"/>
        <v>1087871</v>
      </c>
      <c r="L133" s="7">
        <f t="shared" si="31"/>
        <v>1566540</v>
      </c>
      <c r="M133" s="123">
        <f t="shared" si="17"/>
        <v>2783041</v>
      </c>
      <c r="N133" s="149">
        <f>M133/G128</f>
        <v>0.4726110398818065</v>
      </c>
      <c r="O133" s="129">
        <f t="shared" si="31"/>
        <v>0</v>
      </c>
      <c r="P133" s="7">
        <f t="shared" si="31"/>
        <v>0</v>
      </c>
      <c r="Q133" s="7">
        <f t="shared" si="31"/>
        <v>0</v>
      </c>
      <c r="R133" s="7">
        <f t="shared" si="31"/>
        <v>0</v>
      </c>
      <c r="S133" s="7">
        <f t="shared" si="31"/>
        <v>0</v>
      </c>
      <c r="T133" s="7">
        <f t="shared" si="31"/>
        <v>0</v>
      </c>
      <c r="U133" s="7">
        <f t="shared" si="31"/>
        <v>0</v>
      </c>
      <c r="V133" s="7">
        <f t="shared" si="31"/>
        <v>0</v>
      </c>
      <c r="W133" s="7">
        <f t="shared" si="31"/>
        <v>0</v>
      </c>
      <c r="X133" s="7">
        <f t="shared" si="31"/>
        <v>0</v>
      </c>
      <c r="Y133" s="7">
        <f t="shared" si="31"/>
        <v>0</v>
      </c>
      <c r="Z133" s="7">
        <f t="shared" si="31"/>
        <v>0</v>
      </c>
      <c r="AA133" s="7">
        <f t="shared" si="31"/>
        <v>0</v>
      </c>
      <c r="AB133" s="7">
        <f t="shared" si="31"/>
        <v>0</v>
      </c>
      <c r="AC133" s="7">
        <f t="shared" si="31"/>
        <v>0</v>
      </c>
      <c r="AD133" s="7">
        <f t="shared" si="31"/>
        <v>0</v>
      </c>
      <c r="AE133" s="7">
        <f t="shared" si="31"/>
        <v>0</v>
      </c>
      <c r="AF133" s="7">
        <f t="shared" si="31"/>
        <v>0</v>
      </c>
      <c r="AG133" s="7">
        <f t="shared" si="31"/>
        <v>0</v>
      </c>
      <c r="AH133" s="7">
        <f t="shared" si="31"/>
        <v>0</v>
      </c>
      <c r="AI133" s="7">
        <f t="shared" si="31"/>
        <v>0</v>
      </c>
      <c r="AJ133" s="7">
        <f t="shared" si="31"/>
        <v>0</v>
      </c>
      <c r="AK133" s="7">
        <f t="shared" si="31"/>
        <v>0</v>
      </c>
      <c r="AL133" s="7">
        <f t="shared" si="31"/>
        <v>0</v>
      </c>
    </row>
    <row r="134" spans="1:38" s="13" customFormat="1" ht="15.75" customHeight="1" thickBot="1">
      <c r="A134" s="355"/>
      <c r="B134" s="350"/>
      <c r="C134" s="210"/>
      <c r="D134" s="363"/>
      <c r="E134" s="166"/>
      <c r="F134" s="216"/>
      <c r="G134" s="85">
        <v>5888650</v>
      </c>
      <c r="H134" s="17" t="s">
        <v>19</v>
      </c>
      <c r="I134" s="9">
        <f aca="true" t="shared" si="32" ref="I134:AL134">I128+I130+I132</f>
        <v>0</v>
      </c>
      <c r="J134" s="10">
        <f t="shared" si="32"/>
        <v>0</v>
      </c>
      <c r="K134" s="10">
        <f t="shared" si="32"/>
        <v>0</v>
      </c>
      <c r="L134" s="10">
        <f t="shared" si="32"/>
        <v>0</v>
      </c>
      <c r="M134" s="124">
        <f t="shared" si="17"/>
        <v>0</v>
      </c>
      <c r="N134" s="150"/>
      <c r="O134" s="130">
        <f t="shared" si="32"/>
        <v>0</v>
      </c>
      <c r="P134" s="10">
        <f t="shared" si="32"/>
        <v>0</v>
      </c>
      <c r="Q134" s="10">
        <f t="shared" si="32"/>
        <v>0</v>
      </c>
      <c r="R134" s="10">
        <f t="shared" si="32"/>
        <v>0</v>
      </c>
      <c r="S134" s="10">
        <f t="shared" si="32"/>
        <v>0</v>
      </c>
      <c r="T134" s="10">
        <f t="shared" si="32"/>
        <v>0</v>
      </c>
      <c r="U134" s="10">
        <f t="shared" si="32"/>
        <v>0</v>
      </c>
      <c r="V134" s="10">
        <f t="shared" si="32"/>
        <v>0</v>
      </c>
      <c r="W134" s="10">
        <f t="shared" si="32"/>
        <v>0</v>
      </c>
      <c r="X134" s="10">
        <f t="shared" si="32"/>
        <v>0</v>
      </c>
      <c r="Y134" s="10">
        <f t="shared" si="32"/>
        <v>0</v>
      </c>
      <c r="Z134" s="10">
        <f t="shared" si="32"/>
        <v>0</v>
      </c>
      <c r="AA134" s="10">
        <f t="shared" si="32"/>
        <v>0</v>
      </c>
      <c r="AB134" s="10">
        <f t="shared" si="32"/>
        <v>0</v>
      </c>
      <c r="AC134" s="10">
        <f t="shared" si="32"/>
        <v>0</v>
      </c>
      <c r="AD134" s="10">
        <f t="shared" si="32"/>
        <v>0</v>
      </c>
      <c r="AE134" s="10">
        <f t="shared" si="32"/>
        <v>0</v>
      </c>
      <c r="AF134" s="10">
        <f t="shared" si="32"/>
        <v>0</v>
      </c>
      <c r="AG134" s="10">
        <f t="shared" si="32"/>
        <v>0</v>
      </c>
      <c r="AH134" s="10">
        <f t="shared" si="32"/>
        <v>0</v>
      </c>
      <c r="AI134" s="10">
        <f t="shared" si="32"/>
        <v>0</v>
      </c>
      <c r="AJ134" s="10">
        <f t="shared" si="32"/>
        <v>0</v>
      </c>
      <c r="AK134" s="10">
        <f t="shared" si="32"/>
        <v>0</v>
      </c>
      <c r="AL134" s="10">
        <f t="shared" si="32"/>
        <v>0</v>
      </c>
    </row>
    <row r="135" spans="1:38" s="13" customFormat="1" ht="15.75" customHeight="1">
      <c r="A135" s="354">
        <v>17</v>
      </c>
      <c r="B135" s="356" t="s">
        <v>83</v>
      </c>
      <c r="C135" s="208">
        <v>85154</v>
      </c>
      <c r="D135" s="211" t="s">
        <v>49</v>
      </c>
      <c r="E135" s="164"/>
      <c r="F135" s="217">
        <v>2012</v>
      </c>
      <c r="G135" s="81" t="s">
        <v>9</v>
      </c>
      <c r="H135" s="15" t="s">
        <v>10</v>
      </c>
      <c r="I135" s="60">
        <v>11000</v>
      </c>
      <c r="J135" s="61">
        <v>15000</v>
      </c>
      <c r="K135" s="61">
        <v>15000</v>
      </c>
      <c r="L135" s="61">
        <v>15000</v>
      </c>
      <c r="M135" s="146">
        <f t="shared" si="17"/>
        <v>26000</v>
      </c>
      <c r="N135" s="60"/>
      <c r="O135" s="127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s="13" customFormat="1" ht="15.75" customHeight="1">
      <c r="A136" s="348"/>
      <c r="B136" s="349"/>
      <c r="C136" s="209"/>
      <c r="D136" s="362"/>
      <c r="E136" s="165"/>
      <c r="F136" s="228"/>
      <c r="G136" s="341">
        <v>41000</v>
      </c>
      <c r="H136" s="16" t="s">
        <v>11</v>
      </c>
      <c r="I136" s="62"/>
      <c r="J136" s="63"/>
      <c r="K136" s="63"/>
      <c r="L136" s="63"/>
      <c r="M136" s="147">
        <f aca="true" t="shared" si="33" ref="M136:M199">SUM(I136,K136)</f>
        <v>0</v>
      </c>
      <c r="N136" s="62"/>
      <c r="O136" s="128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s="13" customFormat="1" ht="15.75" customHeight="1">
      <c r="A137" s="348"/>
      <c r="B137" s="349"/>
      <c r="C137" s="209"/>
      <c r="D137" s="362"/>
      <c r="E137" s="165"/>
      <c r="F137" s="228"/>
      <c r="G137" s="342"/>
      <c r="H137" s="16" t="s">
        <v>12</v>
      </c>
      <c r="I137" s="62"/>
      <c r="J137" s="63"/>
      <c r="K137" s="63"/>
      <c r="L137" s="63"/>
      <c r="M137" s="147">
        <f t="shared" si="33"/>
        <v>0</v>
      </c>
      <c r="N137" s="62"/>
      <c r="O137" s="128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s="13" customFormat="1" ht="15.75" customHeight="1">
      <c r="A138" s="348"/>
      <c r="B138" s="349"/>
      <c r="C138" s="209"/>
      <c r="D138" s="362"/>
      <c r="E138" s="165"/>
      <c r="F138" s="212"/>
      <c r="G138" s="83" t="s">
        <v>13</v>
      </c>
      <c r="H138" s="16" t="s">
        <v>14</v>
      </c>
      <c r="I138" s="62"/>
      <c r="J138" s="63"/>
      <c r="K138" s="63"/>
      <c r="L138" s="63"/>
      <c r="M138" s="147">
        <f t="shared" si="33"/>
        <v>0</v>
      </c>
      <c r="N138" s="62"/>
      <c r="O138" s="128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s="13" customFormat="1" ht="15.75" customHeight="1">
      <c r="A139" s="348"/>
      <c r="B139" s="349"/>
      <c r="C139" s="209"/>
      <c r="D139" s="362"/>
      <c r="E139" s="165" t="s">
        <v>80</v>
      </c>
      <c r="F139" s="227">
        <v>2014</v>
      </c>
      <c r="G139" s="341">
        <v>0</v>
      </c>
      <c r="H139" s="16" t="s">
        <v>15</v>
      </c>
      <c r="I139" s="62"/>
      <c r="J139" s="63"/>
      <c r="K139" s="63"/>
      <c r="L139" s="63"/>
      <c r="M139" s="147">
        <f t="shared" si="33"/>
        <v>0</v>
      </c>
      <c r="N139" s="62"/>
      <c r="O139" s="128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s="13" customFormat="1" ht="15.75" customHeight="1">
      <c r="A140" s="348"/>
      <c r="B140" s="349"/>
      <c r="C140" s="209"/>
      <c r="D140" s="362"/>
      <c r="E140" s="165"/>
      <c r="F140" s="228"/>
      <c r="G140" s="342"/>
      <c r="H140" s="16" t="s">
        <v>16</v>
      </c>
      <c r="I140" s="62"/>
      <c r="J140" s="63"/>
      <c r="K140" s="63"/>
      <c r="L140" s="63"/>
      <c r="M140" s="147">
        <f t="shared" si="33"/>
        <v>0</v>
      </c>
      <c r="N140" s="62"/>
      <c r="O140" s="128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s="13" customFormat="1" ht="15.75" customHeight="1">
      <c r="A141" s="348"/>
      <c r="B141" s="349"/>
      <c r="C141" s="209"/>
      <c r="D141" s="362"/>
      <c r="E141" s="165"/>
      <c r="F141" s="228"/>
      <c r="G141" s="83" t="s">
        <v>17</v>
      </c>
      <c r="H141" s="16" t="s">
        <v>18</v>
      </c>
      <c r="I141" s="6">
        <f aca="true" t="shared" si="34" ref="I141:AL141">I135+I137+I139</f>
        <v>11000</v>
      </c>
      <c r="J141" s="7">
        <f t="shared" si="34"/>
        <v>15000</v>
      </c>
      <c r="K141" s="7">
        <f t="shared" si="34"/>
        <v>15000</v>
      </c>
      <c r="L141" s="7">
        <f t="shared" si="34"/>
        <v>15000</v>
      </c>
      <c r="M141" s="123">
        <f t="shared" si="33"/>
        <v>26000</v>
      </c>
      <c r="N141" s="149">
        <f>M141/G136</f>
        <v>0.6341463414634146</v>
      </c>
      <c r="O141" s="129">
        <f t="shared" si="34"/>
        <v>0</v>
      </c>
      <c r="P141" s="7">
        <f t="shared" si="34"/>
        <v>0</v>
      </c>
      <c r="Q141" s="7">
        <f t="shared" si="34"/>
        <v>0</v>
      </c>
      <c r="R141" s="7">
        <f t="shared" si="34"/>
        <v>0</v>
      </c>
      <c r="S141" s="7">
        <f t="shared" si="34"/>
        <v>0</v>
      </c>
      <c r="T141" s="7">
        <f t="shared" si="34"/>
        <v>0</v>
      </c>
      <c r="U141" s="7">
        <f t="shared" si="34"/>
        <v>0</v>
      </c>
      <c r="V141" s="7">
        <f t="shared" si="34"/>
        <v>0</v>
      </c>
      <c r="W141" s="7">
        <f t="shared" si="34"/>
        <v>0</v>
      </c>
      <c r="X141" s="7">
        <f t="shared" si="34"/>
        <v>0</v>
      </c>
      <c r="Y141" s="7">
        <f t="shared" si="34"/>
        <v>0</v>
      </c>
      <c r="Z141" s="7">
        <f t="shared" si="34"/>
        <v>0</v>
      </c>
      <c r="AA141" s="7">
        <f t="shared" si="34"/>
        <v>0</v>
      </c>
      <c r="AB141" s="7">
        <f t="shared" si="34"/>
        <v>0</v>
      </c>
      <c r="AC141" s="7">
        <f t="shared" si="34"/>
        <v>0</v>
      </c>
      <c r="AD141" s="7">
        <f t="shared" si="34"/>
        <v>0</v>
      </c>
      <c r="AE141" s="7">
        <f t="shared" si="34"/>
        <v>0</v>
      </c>
      <c r="AF141" s="7">
        <f t="shared" si="34"/>
        <v>0</v>
      </c>
      <c r="AG141" s="7">
        <f t="shared" si="34"/>
        <v>0</v>
      </c>
      <c r="AH141" s="7">
        <f t="shared" si="34"/>
        <v>0</v>
      </c>
      <c r="AI141" s="7">
        <f t="shared" si="34"/>
        <v>0</v>
      </c>
      <c r="AJ141" s="7">
        <f t="shared" si="34"/>
        <v>0</v>
      </c>
      <c r="AK141" s="7">
        <f t="shared" si="34"/>
        <v>0</v>
      </c>
      <c r="AL141" s="7">
        <f t="shared" si="34"/>
        <v>0</v>
      </c>
    </row>
    <row r="142" spans="1:38" s="13" customFormat="1" ht="15.75" customHeight="1" thickBot="1">
      <c r="A142" s="348"/>
      <c r="B142" s="350"/>
      <c r="C142" s="210"/>
      <c r="D142" s="363"/>
      <c r="E142" s="166"/>
      <c r="F142" s="216"/>
      <c r="G142" s="85">
        <v>41000</v>
      </c>
      <c r="H142" s="17" t="s">
        <v>19</v>
      </c>
      <c r="I142" s="9">
        <f aca="true" t="shared" si="35" ref="I142:AL142">I136+I138+I140</f>
        <v>0</v>
      </c>
      <c r="J142" s="10">
        <f t="shared" si="35"/>
        <v>0</v>
      </c>
      <c r="K142" s="10">
        <f t="shared" si="35"/>
        <v>0</v>
      </c>
      <c r="L142" s="10">
        <f t="shared" si="35"/>
        <v>0</v>
      </c>
      <c r="M142" s="124">
        <f t="shared" si="33"/>
        <v>0</v>
      </c>
      <c r="N142" s="149"/>
      <c r="O142" s="130">
        <f t="shared" si="35"/>
        <v>0</v>
      </c>
      <c r="P142" s="10">
        <f t="shared" si="35"/>
        <v>0</v>
      </c>
      <c r="Q142" s="10">
        <f t="shared" si="35"/>
        <v>0</v>
      </c>
      <c r="R142" s="10">
        <f t="shared" si="35"/>
        <v>0</v>
      </c>
      <c r="S142" s="10">
        <f t="shared" si="35"/>
        <v>0</v>
      </c>
      <c r="T142" s="10">
        <f t="shared" si="35"/>
        <v>0</v>
      </c>
      <c r="U142" s="10">
        <f t="shared" si="35"/>
        <v>0</v>
      </c>
      <c r="V142" s="10">
        <f t="shared" si="35"/>
        <v>0</v>
      </c>
      <c r="W142" s="10">
        <f t="shared" si="35"/>
        <v>0</v>
      </c>
      <c r="X142" s="10">
        <f t="shared" si="35"/>
        <v>0</v>
      </c>
      <c r="Y142" s="10">
        <f t="shared" si="35"/>
        <v>0</v>
      </c>
      <c r="Z142" s="10">
        <f t="shared" si="35"/>
        <v>0</v>
      </c>
      <c r="AA142" s="10">
        <f t="shared" si="35"/>
        <v>0</v>
      </c>
      <c r="AB142" s="10">
        <f t="shared" si="35"/>
        <v>0</v>
      </c>
      <c r="AC142" s="10">
        <f t="shared" si="35"/>
        <v>0</v>
      </c>
      <c r="AD142" s="10">
        <f t="shared" si="35"/>
        <v>0</v>
      </c>
      <c r="AE142" s="10">
        <f t="shared" si="35"/>
        <v>0</v>
      </c>
      <c r="AF142" s="10">
        <f t="shared" si="35"/>
        <v>0</v>
      </c>
      <c r="AG142" s="10">
        <f t="shared" si="35"/>
        <v>0</v>
      </c>
      <c r="AH142" s="10">
        <f t="shared" si="35"/>
        <v>0</v>
      </c>
      <c r="AI142" s="10">
        <f t="shared" si="35"/>
        <v>0</v>
      </c>
      <c r="AJ142" s="10">
        <f t="shared" si="35"/>
        <v>0</v>
      </c>
      <c r="AK142" s="10">
        <f t="shared" si="35"/>
        <v>0</v>
      </c>
      <c r="AL142" s="10">
        <f t="shared" si="35"/>
        <v>0</v>
      </c>
    </row>
    <row r="143" spans="1:38" s="13" customFormat="1" ht="15.75" customHeight="1">
      <c r="A143" s="354">
        <v>18</v>
      </c>
      <c r="B143" s="356" t="s">
        <v>93</v>
      </c>
      <c r="C143" s="208">
        <v>85154</v>
      </c>
      <c r="D143" s="211" t="s">
        <v>49</v>
      </c>
      <c r="E143" s="164"/>
      <c r="F143" s="217">
        <v>2012</v>
      </c>
      <c r="G143" s="81" t="s">
        <v>9</v>
      </c>
      <c r="H143" s="15" t="s">
        <v>10</v>
      </c>
      <c r="I143" s="60">
        <v>20500</v>
      </c>
      <c r="J143" s="61">
        <v>34540</v>
      </c>
      <c r="K143" s="61">
        <v>34540</v>
      </c>
      <c r="L143" s="61">
        <v>34540</v>
      </c>
      <c r="M143" s="146">
        <f t="shared" si="33"/>
        <v>55040</v>
      </c>
      <c r="N143" s="60"/>
      <c r="O143" s="127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s="13" customFormat="1" ht="15.75" customHeight="1">
      <c r="A144" s="348"/>
      <c r="B144" s="349"/>
      <c r="C144" s="209"/>
      <c r="D144" s="362"/>
      <c r="E144" s="165"/>
      <c r="F144" s="228"/>
      <c r="G144" s="341">
        <v>55040</v>
      </c>
      <c r="H144" s="16" t="s">
        <v>11</v>
      </c>
      <c r="I144" s="62"/>
      <c r="J144" s="63"/>
      <c r="K144" s="63"/>
      <c r="L144" s="63"/>
      <c r="M144" s="147">
        <f t="shared" si="33"/>
        <v>0</v>
      </c>
      <c r="N144" s="62"/>
      <c r="O144" s="128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s="13" customFormat="1" ht="15.75" customHeight="1">
      <c r="A145" s="348"/>
      <c r="B145" s="349"/>
      <c r="C145" s="209"/>
      <c r="D145" s="362"/>
      <c r="E145" s="165"/>
      <c r="F145" s="228"/>
      <c r="G145" s="342"/>
      <c r="H145" s="16" t="s">
        <v>12</v>
      </c>
      <c r="I145" s="62"/>
      <c r="J145" s="63"/>
      <c r="K145" s="63"/>
      <c r="L145" s="63"/>
      <c r="M145" s="147">
        <f t="shared" si="33"/>
        <v>0</v>
      </c>
      <c r="N145" s="62"/>
      <c r="O145" s="128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s="13" customFormat="1" ht="15.75" customHeight="1">
      <c r="A146" s="348"/>
      <c r="B146" s="349"/>
      <c r="C146" s="209"/>
      <c r="D146" s="362"/>
      <c r="E146" s="165"/>
      <c r="F146" s="212"/>
      <c r="G146" s="83" t="s">
        <v>13</v>
      </c>
      <c r="H146" s="16" t="s">
        <v>14</v>
      </c>
      <c r="I146" s="62"/>
      <c r="J146" s="63"/>
      <c r="K146" s="63"/>
      <c r="L146" s="63"/>
      <c r="M146" s="147">
        <f t="shared" si="33"/>
        <v>0</v>
      </c>
      <c r="N146" s="62"/>
      <c r="O146" s="128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s="13" customFormat="1" ht="15.75" customHeight="1">
      <c r="A147" s="348"/>
      <c r="B147" s="349"/>
      <c r="C147" s="209"/>
      <c r="D147" s="362"/>
      <c r="E147" s="165" t="s">
        <v>80</v>
      </c>
      <c r="F147" s="227">
        <v>2013</v>
      </c>
      <c r="G147" s="341">
        <v>0</v>
      </c>
      <c r="H147" s="16" t="s">
        <v>15</v>
      </c>
      <c r="I147" s="62"/>
      <c r="J147" s="63"/>
      <c r="K147" s="63"/>
      <c r="L147" s="63"/>
      <c r="M147" s="147">
        <f t="shared" si="33"/>
        <v>0</v>
      </c>
      <c r="N147" s="62"/>
      <c r="O147" s="128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s="13" customFormat="1" ht="15.75" customHeight="1">
      <c r="A148" s="348"/>
      <c r="B148" s="349"/>
      <c r="C148" s="209"/>
      <c r="D148" s="362"/>
      <c r="E148" s="165"/>
      <c r="F148" s="228"/>
      <c r="G148" s="342"/>
      <c r="H148" s="16" t="s">
        <v>16</v>
      </c>
      <c r="I148" s="62"/>
      <c r="J148" s="63"/>
      <c r="K148" s="63"/>
      <c r="L148" s="63"/>
      <c r="M148" s="147">
        <f t="shared" si="33"/>
        <v>0</v>
      </c>
      <c r="N148" s="62"/>
      <c r="O148" s="128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s="13" customFormat="1" ht="15.75" customHeight="1">
      <c r="A149" s="348"/>
      <c r="B149" s="349"/>
      <c r="C149" s="209"/>
      <c r="D149" s="362"/>
      <c r="E149" s="165"/>
      <c r="F149" s="228"/>
      <c r="G149" s="83" t="s">
        <v>17</v>
      </c>
      <c r="H149" s="16" t="s">
        <v>18</v>
      </c>
      <c r="I149" s="6">
        <f aca="true" t="shared" si="36" ref="I149:AL149">I143+I145+I147</f>
        <v>20500</v>
      </c>
      <c r="J149" s="7">
        <f t="shared" si="36"/>
        <v>34540</v>
      </c>
      <c r="K149" s="7">
        <f t="shared" si="36"/>
        <v>34540</v>
      </c>
      <c r="L149" s="7">
        <f t="shared" si="36"/>
        <v>34540</v>
      </c>
      <c r="M149" s="123">
        <f t="shared" si="33"/>
        <v>55040</v>
      </c>
      <c r="N149" s="149">
        <f>M149/G144</f>
        <v>1</v>
      </c>
      <c r="O149" s="129">
        <f t="shared" si="36"/>
        <v>0</v>
      </c>
      <c r="P149" s="7">
        <f t="shared" si="36"/>
        <v>0</v>
      </c>
      <c r="Q149" s="7">
        <f t="shared" si="36"/>
        <v>0</v>
      </c>
      <c r="R149" s="7">
        <f t="shared" si="36"/>
        <v>0</v>
      </c>
      <c r="S149" s="7">
        <f t="shared" si="36"/>
        <v>0</v>
      </c>
      <c r="T149" s="7">
        <f t="shared" si="36"/>
        <v>0</v>
      </c>
      <c r="U149" s="7">
        <f t="shared" si="36"/>
        <v>0</v>
      </c>
      <c r="V149" s="7">
        <f t="shared" si="36"/>
        <v>0</v>
      </c>
      <c r="W149" s="7">
        <f t="shared" si="36"/>
        <v>0</v>
      </c>
      <c r="X149" s="7">
        <f t="shared" si="36"/>
        <v>0</v>
      </c>
      <c r="Y149" s="7">
        <f t="shared" si="36"/>
        <v>0</v>
      </c>
      <c r="Z149" s="7">
        <f t="shared" si="36"/>
        <v>0</v>
      </c>
      <c r="AA149" s="7">
        <f t="shared" si="36"/>
        <v>0</v>
      </c>
      <c r="AB149" s="7">
        <f t="shared" si="36"/>
        <v>0</v>
      </c>
      <c r="AC149" s="7">
        <f t="shared" si="36"/>
        <v>0</v>
      </c>
      <c r="AD149" s="7">
        <f t="shared" si="36"/>
        <v>0</v>
      </c>
      <c r="AE149" s="7">
        <f t="shared" si="36"/>
        <v>0</v>
      </c>
      <c r="AF149" s="7">
        <f t="shared" si="36"/>
        <v>0</v>
      </c>
      <c r="AG149" s="7">
        <f t="shared" si="36"/>
        <v>0</v>
      </c>
      <c r="AH149" s="7">
        <f t="shared" si="36"/>
        <v>0</v>
      </c>
      <c r="AI149" s="7">
        <f t="shared" si="36"/>
        <v>0</v>
      </c>
      <c r="AJ149" s="7">
        <f t="shared" si="36"/>
        <v>0</v>
      </c>
      <c r="AK149" s="7">
        <f t="shared" si="36"/>
        <v>0</v>
      </c>
      <c r="AL149" s="7">
        <f t="shared" si="36"/>
        <v>0</v>
      </c>
    </row>
    <row r="150" spans="1:38" s="13" customFormat="1" ht="15.75" customHeight="1" thickBot="1">
      <c r="A150" s="348"/>
      <c r="B150" s="350"/>
      <c r="C150" s="210"/>
      <c r="D150" s="363"/>
      <c r="E150" s="166"/>
      <c r="F150" s="216"/>
      <c r="G150" s="85">
        <v>55040</v>
      </c>
      <c r="H150" s="17" t="s">
        <v>19</v>
      </c>
      <c r="I150" s="9">
        <f aca="true" t="shared" si="37" ref="I150:AL150">I144+I146+I148</f>
        <v>0</v>
      </c>
      <c r="J150" s="10">
        <f t="shared" si="37"/>
        <v>0</v>
      </c>
      <c r="K150" s="10">
        <f t="shared" si="37"/>
        <v>0</v>
      </c>
      <c r="L150" s="10">
        <f t="shared" si="37"/>
        <v>0</v>
      </c>
      <c r="M150" s="124">
        <f t="shared" si="33"/>
        <v>0</v>
      </c>
      <c r="N150" s="149"/>
      <c r="O150" s="130">
        <f t="shared" si="37"/>
        <v>0</v>
      </c>
      <c r="P150" s="10">
        <f t="shared" si="37"/>
        <v>0</v>
      </c>
      <c r="Q150" s="10">
        <f t="shared" si="37"/>
        <v>0</v>
      </c>
      <c r="R150" s="10">
        <f t="shared" si="37"/>
        <v>0</v>
      </c>
      <c r="S150" s="10">
        <f t="shared" si="37"/>
        <v>0</v>
      </c>
      <c r="T150" s="10">
        <f t="shared" si="37"/>
        <v>0</v>
      </c>
      <c r="U150" s="10">
        <f t="shared" si="37"/>
        <v>0</v>
      </c>
      <c r="V150" s="10">
        <f t="shared" si="37"/>
        <v>0</v>
      </c>
      <c r="W150" s="10">
        <f t="shared" si="37"/>
        <v>0</v>
      </c>
      <c r="X150" s="10">
        <f t="shared" si="37"/>
        <v>0</v>
      </c>
      <c r="Y150" s="10">
        <f t="shared" si="37"/>
        <v>0</v>
      </c>
      <c r="Z150" s="10">
        <f t="shared" si="37"/>
        <v>0</v>
      </c>
      <c r="AA150" s="10">
        <f t="shared" si="37"/>
        <v>0</v>
      </c>
      <c r="AB150" s="10">
        <f t="shared" si="37"/>
        <v>0</v>
      </c>
      <c r="AC150" s="10">
        <f t="shared" si="37"/>
        <v>0</v>
      </c>
      <c r="AD150" s="10">
        <f t="shared" si="37"/>
        <v>0</v>
      </c>
      <c r="AE150" s="10">
        <f t="shared" si="37"/>
        <v>0</v>
      </c>
      <c r="AF150" s="10">
        <f t="shared" si="37"/>
        <v>0</v>
      </c>
      <c r="AG150" s="10">
        <f t="shared" si="37"/>
        <v>0</v>
      </c>
      <c r="AH150" s="10">
        <f t="shared" si="37"/>
        <v>0</v>
      </c>
      <c r="AI150" s="10">
        <f t="shared" si="37"/>
        <v>0</v>
      </c>
      <c r="AJ150" s="10">
        <f t="shared" si="37"/>
        <v>0</v>
      </c>
      <c r="AK150" s="10">
        <f t="shared" si="37"/>
        <v>0</v>
      </c>
      <c r="AL150" s="10">
        <f t="shared" si="37"/>
        <v>0</v>
      </c>
    </row>
    <row r="151" spans="1:38" s="13" customFormat="1" ht="15.75" customHeight="1">
      <c r="A151" s="354">
        <v>19</v>
      </c>
      <c r="B151" s="356" t="s">
        <v>84</v>
      </c>
      <c r="C151" s="208">
        <v>85195</v>
      </c>
      <c r="D151" s="211" t="s">
        <v>49</v>
      </c>
      <c r="E151" s="164"/>
      <c r="F151" s="217">
        <v>2012</v>
      </c>
      <c r="G151" s="81" t="s">
        <v>9</v>
      </c>
      <c r="H151" s="15" t="s">
        <v>25</v>
      </c>
      <c r="I151" s="60">
        <v>50000</v>
      </c>
      <c r="J151" s="61">
        <v>50000</v>
      </c>
      <c r="K151" s="61">
        <v>50000</v>
      </c>
      <c r="L151" s="61">
        <v>50000</v>
      </c>
      <c r="M151" s="146">
        <f t="shared" si="33"/>
        <v>100000</v>
      </c>
      <c r="N151" s="60"/>
      <c r="O151" s="12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s="13" customFormat="1" ht="15.75" customHeight="1">
      <c r="A152" s="348"/>
      <c r="B152" s="349"/>
      <c r="C152" s="209"/>
      <c r="D152" s="362"/>
      <c r="E152" s="165"/>
      <c r="F152" s="228"/>
      <c r="G152" s="341">
        <v>150000</v>
      </c>
      <c r="H152" s="16" t="s">
        <v>26</v>
      </c>
      <c r="I152" s="62"/>
      <c r="J152" s="63"/>
      <c r="K152" s="63"/>
      <c r="L152" s="63"/>
      <c r="M152" s="147">
        <f t="shared" si="33"/>
        <v>0</v>
      </c>
      <c r="N152" s="62"/>
      <c r="O152" s="128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s="13" customFormat="1" ht="15.75" customHeight="1">
      <c r="A153" s="348"/>
      <c r="B153" s="349"/>
      <c r="C153" s="209"/>
      <c r="D153" s="362"/>
      <c r="E153" s="165"/>
      <c r="F153" s="228"/>
      <c r="G153" s="342"/>
      <c r="H153" s="16" t="s">
        <v>12</v>
      </c>
      <c r="I153" s="62"/>
      <c r="J153" s="63"/>
      <c r="K153" s="63"/>
      <c r="L153" s="63"/>
      <c r="M153" s="147">
        <f t="shared" si="33"/>
        <v>0</v>
      </c>
      <c r="N153" s="62"/>
      <c r="O153" s="128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s="13" customFormat="1" ht="15.75" customHeight="1">
      <c r="A154" s="348"/>
      <c r="B154" s="349"/>
      <c r="C154" s="209"/>
      <c r="D154" s="362"/>
      <c r="E154" s="165" t="s">
        <v>80</v>
      </c>
      <c r="F154" s="212"/>
      <c r="G154" s="83" t="s">
        <v>13</v>
      </c>
      <c r="H154" s="16" t="s">
        <v>14</v>
      </c>
      <c r="I154" s="62"/>
      <c r="J154" s="63"/>
      <c r="K154" s="63"/>
      <c r="L154" s="63"/>
      <c r="M154" s="147">
        <f t="shared" si="33"/>
        <v>0</v>
      </c>
      <c r="N154" s="62"/>
      <c r="O154" s="128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s="13" customFormat="1" ht="15.75" customHeight="1">
      <c r="A155" s="348"/>
      <c r="B155" s="349"/>
      <c r="C155" s="209"/>
      <c r="D155" s="362"/>
      <c r="E155" s="165"/>
      <c r="F155" s="227">
        <v>2014</v>
      </c>
      <c r="G155" s="341">
        <v>0</v>
      </c>
      <c r="H155" s="16" t="s">
        <v>15</v>
      </c>
      <c r="I155" s="62"/>
      <c r="J155" s="63"/>
      <c r="K155" s="63"/>
      <c r="L155" s="63"/>
      <c r="M155" s="147">
        <f t="shared" si="33"/>
        <v>0</v>
      </c>
      <c r="N155" s="62"/>
      <c r="O155" s="128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s="13" customFormat="1" ht="15.75" customHeight="1">
      <c r="A156" s="348"/>
      <c r="B156" s="349"/>
      <c r="C156" s="209"/>
      <c r="D156" s="362"/>
      <c r="E156" s="165"/>
      <c r="F156" s="228"/>
      <c r="G156" s="342"/>
      <c r="H156" s="16" t="s">
        <v>16</v>
      </c>
      <c r="I156" s="62"/>
      <c r="J156" s="63"/>
      <c r="K156" s="63"/>
      <c r="L156" s="63"/>
      <c r="M156" s="147">
        <f t="shared" si="33"/>
        <v>0</v>
      </c>
      <c r="N156" s="62"/>
      <c r="O156" s="128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s="13" customFormat="1" ht="15.75" customHeight="1">
      <c r="A157" s="348"/>
      <c r="B157" s="349"/>
      <c r="C157" s="209"/>
      <c r="D157" s="362"/>
      <c r="E157" s="165"/>
      <c r="F157" s="228"/>
      <c r="G157" s="83" t="s">
        <v>17</v>
      </c>
      <c r="H157" s="16" t="s">
        <v>18</v>
      </c>
      <c r="I157" s="6">
        <f aca="true" t="shared" si="38" ref="I157:AL157">I151+I153+I155</f>
        <v>50000</v>
      </c>
      <c r="J157" s="7">
        <f t="shared" si="38"/>
        <v>50000</v>
      </c>
      <c r="K157" s="7">
        <f t="shared" si="38"/>
        <v>50000</v>
      </c>
      <c r="L157" s="7">
        <f t="shared" si="38"/>
        <v>50000</v>
      </c>
      <c r="M157" s="123">
        <f t="shared" si="33"/>
        <v>100000</v>
      </c>
      <c r="N157" s="149">
        <f>M157/G152</f>
        <v>0.6666666666666666</v>
      </c>
      <c r="O157" s="129">
        <f t="shared" si="38"/>
        <v>0</v>
      </c>
      <c r="P157" s="7">
        <f t="shared" si="38"/>
        <v>0</v>
      </c>
      <c r="Q157" s="7">
        <f t="shared" si="38"/>
        <v>0</v>
      </c>
      <c r="R157" s="7">
        <f t="shared" si="38"/>
        <v>0</v>
      </c>
      <c r="S157" s="7">
        <f t="shared" si="38"/>
        <v>0</v>
      </c>
      <c r="T157" s="7">
        <f t="shared" si="38"/>
        <v>0</v>
      </c>
      <c r="U157" s="7">
        <f t="shared" si="38"/>
        <v>0</v>
      </c>
      <c r="V157" s="7">
        <f t="shared" si="38"/>
        <v>0</v>
      </c>
      <c r="W157" s="7">
        <f t="shared" si="38"/>
        <v>0</v>
      </c>
      <c r="X157" s="7">
        <f t="shared" si="38"/>
        <v>0</v>
      </c>
      <c r="Y157" s="7">
        <f t="shared" si="38"/>
        <v>0</v>
      </c>
      <c r="Z157" s="7">
        <f t="shared" si="38"/>
        <v>0</v>
      </c>
      <c r="AA157" s="7">
        <f t="shared" si="38"/>
        <v>0</v>
      </c>
      <c r="AB157" s="7">
        <f t="shared" si="38"/>
        <v>0</v>
      </c>
      <c r="AC157" s="7">
        <f t="shared" si="38"/>
        <v>0</v>
      </c>
      <c r="AD157" s="7">
        <f t="shared" si="38"/>
        <v>0</v>
      </c>
      <c r="AE157" s="7">
        <f t="shared" si="38"/>
        <v>0</v>
      </c>
      <c r="AF157" s="7">
        <f t="shared" si="38"/>
        <v>0</v>
      </c>
      <c r="AG157" s="7">
        <f t="shared" si="38"/>
        <v>0</v>
      </c>
      <c r="AH157" s="7">
        <f t="shared" si="38"/>
        <v>0</v>
      </c>
      <c r="AI157" s="7">
        <f t="shared" si="38"/>
        <v>0</v>
      </c>
      <c r="AJ157" s="7">
        <f t="shared" si="38"/>
        <v>0</v>
      </c>
      <c r="AK157" s="7">
        <f t="shared" si="38"/>
        <v>0</v>
      </c>
      <c r="AL157" s="7">
        <f t="shared" si="38"/>
        <v>0</v>
      </c>
    </row>
    <row r="158" spans="1:38" s="13" customFormat="1" ht="15.75" customHeight="1" thickBot="1">
      <c r="A158" s="348"/>
      <c r="B158" s="350"/>
      <c r="C158" s="210"/>
      <c r="D158" s="363"/>
      <c r="E158" s="166"/>
      <c r="F158" s="216"/>
      <c r="G158" s="85">
        <v>150000</v>
      </c>
      <c r="H158" s="17" t="s">
        <v>19</v>
      </c>
      <c r="I158" s="9">
        <f aca="true" t="shared" si="39" ref="I158:AL158">I152+I154+I156</f>
        <v>0</v>
      </c>
      <c r="J158" s="10">
        <f t="shared" si="39"/>
        <v>0</v>
      </c>
      <c r="K158" s="10">
        <f t="shared" si="39"/>
        <v>0</v>
      </c>
      <c r="L158" s="10">
        <f t="shared" si="39"/>
        <v>0</v>
      </c>
      <c r="M158" s="124">
        <f t="shared" si="33"/>
        <v>0</v>
      </c>
      <c r="N158" s="149"/>
      <c r="O158" s="130">
        <f t="shared" si="39"/>
        <v>0</v>
      </c>
      <c r="P158" s="10">
        <f t="shared" si="39"/>
        <v>0</v>
      </c>
      <c r="Q158" s="10">
        <f t="shared" si="39"/>
        <v>0</v>
      </c>
      <c r="R158" s="10">
        <f t="shared" si="39"/>
        <v>0</v>
      </c>
      <c r="S158" s="10">
        <f t="shared" si="39"/>
        <v>0</v>
      </c>
      <c r="T158" s="10">
        <f t="shared" si="39"/>
        <v>0</v>
      </c>
      <c r="U158" s="10">
        <f t="shared" si="39"/>
        <v>0</v>
      </c>
      <c r="V158" s="10">
        <f t="shared" si="39"/>
        <v>0</v>
      </c>
      <c r="W158" s="10">
        <f t="shared" si="39"/>
        <v>0</v>
      </c>
      <c r="X158" s="10">
        <f t="shared" si="39"/>
        <v>0</v>
      </c>
      <c r="Y158" s="10">
        <f t="shared" si="39"/>
        <v>0</v>
      </c>
      <c r="Z158" s="10">
        <f t="shared" si="39"/>
        <v>0</v>
      </c>
      <c r="AA158" s="10">
        <f t="shared" si="39"/>
        <v>0</v>
      </c>
      <c r="AB158" s="10">
        <f t="shared" si="39"/>
        <v>0</v>
      </c>
      <c r="AC158" s="10">
        <f t="shared" si="39"/>
        <v>0</v>
      </c>
      <c r="AD158" s="10">
        <f t="shared" si="39"/>
        <v>0</v>
      </c>
      <c r="AE158" s="10">
        <f t="shared" si="39"/>
        <v>0</v>
      </c>
      <c r="AF158" s="10">
        <f t="shared" si="39"/>
        <v>0</v>
      </c>
      <c r="AG158" s="10">
        <f t="shared" si="39"/>
        <v>0</v>
      </c>
      <c r="AH158" s="10">
        <f t="shared" si="39"/>
        <v>0</v>
      </c>
      <c r="AI158" s="10">
        <f t="shared" si="39"/>
        <v>0</v>
      </c>
      <c r="AJ158" s="10">
        <f t="shared" si="39"/>
        <v>0</v>
      </c>
      <c r="AK158" s="10">
        <f t="shared" si="39"/>
        <v>0</v>
      </c>
      <c r="AL158" s="10">
        <f t="shared" si="39"/>
        <v>0</v>
      </c>
    </row>
    <row r="159" spans="1:38" s="13" customFormat="1" ht="12.75">
      <c r="A159" s="354">
        <v>20</v>
      </c>
      <c r="B159" s="356" t="s">
        <v>85</v>
      </c>
      <c r="C159" s="208">
        <v>85195</v>
      </c>
      <c r="D159" s="211" t="s">
        <v>49</v>
      </c>
      <c r="E159" s="164"/>
      <c r="F159" s="217" t="s">
        <v>86</v>
      </c>
      <c r="G159" s="81" t="s">
        <v>9</v>
      </c>
      <c r="H159" s="15" t="s">
        <v>10</v>
      </c>
      <c r="I159" s="60">
        <v>22000</v>
      </c>
      <c r="J159" s="61">
        <v>22000</v>
      </c>
      <c r="K159" s="61">
        <v>22000</v>
      </c>
      <c r="L159" s="61">
        <v>22000</v>
      </c>
      <c r="M159" s="146">
        <f t="shared" si="33"/>
        <v>44000</v>
      </c>
      <c r="N159" s="60"/>
      <c r="O159" s="12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s="13" customFormat="1" ht="12.75">
      <c r="A160" s="348"/>
      <c r="B160" s="349"/>
      <c r="C160" s="209"/>
      <c r="D160" s="362"/>
      <c r="E160" s="165"/>
      <c r="F160" s="228"/>
      <c r="G160" s="341">
        <v>66000</v>
      </c>
      <c r="H160" s="16" t="s">
        <v>11</v>
      </c>
      <c r="I160" s="62"/>
      <c r="J160" s="63"/>
      <c r="K160" s="63"/>
      <c r="L160" s="63"/>
      <c r="M160" s="147">
        <f t="shared" si="33"/>
        <v>0</v>
      </c>
      <c r="N160" s="62"/>
      <c r="O160" s="128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s="13" customFormat="1" ht="12.75">
      <c r="A161" s="348"/>
      <c r="B161" s="349"/>
      <c r="C161" s="209"/>
      <c r="D161" s="362"/>
      <c r="E161" s="165"/>
      <c r="F161" s="228"/>
      <c r="G161" s="342"/>
      <c r="H161" s="16" t="s">
        <v>12</v>
      </c>
      <c r="I161" s="62"/>
      <c r="J161" s="63"/>
      <c r="K161" s="63"/>
      <c r="L161" s="63"/>
      <c r="M161" s="147">
        <f t="shared" si="33"/>
        <v>0</v>
      </c>
      <c r="N161" s="62"/>
      <c r="O161" s="128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s="13" customFormat="1" ht="14.25" customHeight="1">
      <c r="A162" s="348"/>
      <c r="B162" s="349"/>
      <c r="C162" s="209"/>
      <c r="D162" s="362"/>
      <c r="E162" s="165" t="s">
        <v>80</v>
      </c>
      <c r="F162" s="212"/>
      <c r="G162" s="83" t="s">
        <v>13</v>
      </c>
      <c r="H162" s="16" t="s">
        <v>14</v>
      </c>
      <c r="I162" s="62"/>
      <c r="J162" s="63"/>
      <c r="K162" s="63"/>
      <c r="L162" s="63"/>
      <c r="M162" s="147">
        <f t="shared" si="33"/>
        <v>0</v>
      </c>
      <c r="N162" s="62"/>
      <c r="O162" s="128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s="13" customFormat="1" ht="14.25" customHeight="1">
      <c r="A163" s="348"/>
      <c r="B163" s="349"/>
      <c r="C163" s="209"/>
      <c r="D163" s="362"/>
      <c r="E163" s="165"/>
      <c r="F163" s="227"/>
      <c r="G163" s="341">
        <v>0</v>
      </c>
      <c r="H163" s="16" t="s">
        <v>15</v>
      </c>
      <c r="I163" s="62"/>
      <c r="J163" s="63"/>
      <c r="K163" s="63"/>
      <c r="L163" s="63"/>
      <c r="M163" s="147">
        <f t="shared" si="33"/>
        <v>0</v>
      </c>
      <c r="N163" s="62"/>
      <c r="O163" s="128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s="13" customFormat="1" ht="12.75">
      <c r="A164" s="348"/>
      <c r="B164" s="349"/>
      <c r="C164" s="209"/>
      <c r="D164" s="362"/>
      <c r="E164" s="165"/>
      <c r="F164" s="228"/>
      <c r="G164" s="342"/>
      <c r="H164" s="16" t="s">
        <v>16</v>
      </c>
      <c r="I164" s="62"/>
      <c r="J164" s="63"/>
      <c r="K164" s="63"/>
      <c r="L164" s="63"/>
      <c r="M164" s="147">
        <f t="shared" si="33"/>
        <v>0</v>
      </c>
      <c r="N164" s="62"/>
      <c r="O164" s="128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s="13" customFormat="1" ht="12.75">
      <c r="A165" s="348"/>
      <c r="B165" s="349"/>
      <c r="C165" s="209"/>
      <c r="D165" s="362"/>
      <c r="E165" s="165"/>
      <c r="F165" s="228"/>
      <c r="G165" s="83" t="s">
        <v>17</v>
      </c>
      <c r="H165" s="16" t="s">
        <v>18</v>
      </c>
      <c r="I165" s="6">
        <f aca="true" t="shared" si="40" ref="I165:AL165">I159+I161+I163</f>
        <v>22000</v>
      </c>
      <c r="J165" s="7">
        <f t="shared" si="40"/>
        <v>22000</v>
      </c>
      <c r="K165" s="7">
        <f t="shared" si="40"/>
        <v>22000</v>
      </c>
      <c r="L165" s="7">
        <f t="shared" si="40"/>
        <v>22000</v>
      </c>
      <c r="M165" s="123">
        <f t="shared" si="33"/>
        <v>44000</v>
      </c>
      <c r="N165" s="149">
        <f>M165/G160</f>
        <v>0.6666666666666666</v>
      </c>
      <c r="O165" s="129">
        <f t="shared" si="40"/>
        <v>0</v>
      </c>
      <c r="P165" s="7">
        <f t="shared" si="40"/>
        <v>0</v>
      </c>
      <c r="Q165" s="7">
        <f t="shared" si="40"/>
        <v>0</v>
      </c>
      <c r="R165" s="7">
        <f t="shared" si="40"/>
        <v>0</v>
      </c>
      <c r="S165" s="7">
        <f t="shared" si="40"/>
        <v>0</v>
      </c>
      <c r="T165" s="7">
        <f t="shared" si="40"/>
        <v>0</v>
      </c>
      <c r="U165" s="7">
        <f t="shared" si="40"/>
        <v>0</v>
      </c>
      <c r="V165" s="7">
        <f t="shared" si="40"/>
        <v>0</v>
      </c>
      <c r="W165" s="7">
        <f t="shared" si="40"/>
        <v>0</v>
      </c>
      <c r="X165" s="7">
        <f t="shared" si="40"/>
        <v>0</v>
      </c>
      <c r="Y165" s="7">
        <f t="shared" si="40"/>
        <v>0</v>
      </c>
      <c r="Z165" s="7">
        <f t="shared" si="40"/>
        <v>0</v>
      </c>
      <c r="AA165" s="7">
        <f t="shared" si="40"/>
        <v>0</v>
      </c>
      <c r="AB165" s="7">
        <f t="shared" si="40"/>
        <v>0</v>
      </c>
      <c r="AC165" s="7">
        <f t="shared" si="40"/>
        <v>0</v>
      </c>
      <c r="AD165" s="7">
        <f t="shared" si="40"/>
        <v>0</v>
      </c>
      <c r="AE165" s="7">
        <f t="shared" si="40"/>
        <v>0</v>
      </c>
      <c r="AF165" s="7">
        <f t="shared" si="40"/>
        <v>0</v>
      </c>
      <c r="AG165" s="7">
        <f t="shared" si="40"/>
        <v>0</v>
      </c>
      <c r="AH165" s="7">
        <f t="shared" si="40"/>
        <v>0</v>
      </c>
      <c r="AI165" s="7">
        <f t="shared" si="40"/>
        <v>0</v>
      </c>
      <c r="AJ165" s="7">
        <f t="shared" si="40"/>
        <v>0</v>
      </c>
      <c r="AK165" s="7">
        <f t="shared" si="40"/>
        <v>0</v>
      </c>
      <c r="AL165" s="7">
        <f t="shared" si="40"/>
        <v>0</v>
      </c>
    </row>
    <row r="166" spans="1:38" s="13" customFormat="1" ht="14.25" customHeight="1" thickBot="1">
      <c r="A166" s="355"/>
      <c r="B166" s="350"/>
      <c r="C166" s="210"/>
      <c r="D166" s="363"/>
      <c r="E166" s="166"/>
      <c r="F166" s="216"/>
      <c r="G166" s="85">
        <v>66000</v>
      </c>
      <c r="H166" s="17" t="s">
        <v>19</v>
      </c>
      <c r="I166" s="9">
        <f aca="true" t="shared" si="41" ref="I166:AL166">I160+I162+I164</f>
        <v>0</v>
      </c>
      <c r="J166" s="10">
        <f t="shared" si="41"/>
        <v>0</v>
      </c>
      <c r="K166" s="10">
        <f t="shared" si="41"/>
        <v>0</v>
      </c>
      <c r="L166" s="10">
        <f t="shared" si="41"/>
        <v>0</v>
      </c>
      <c r="M166" s="124">
        <f t="shared" si="33"/>
        <v>0</v>
      </c>
      <c r="N166" s="150"/>
      <c r="O166" s="130">
        <f t="shared" si="41"/>
        <v>0</v>
      </c>
      <c r="P166" s="10">
        <f t="shared" si="41"/>
        <v>0</v>
      </c>
      <c r="Q166" s="10">
        <f t="shared" si="41"/>
        <v>0</v>
      </c>
      <c r="R166" s="10">
        <f t="shared" si="41"/>
        <v>0</v>
      </c>
      <c r="S166" s="10">
        <f t="shared" si="41"/>
        <v>0</v>
      </c>
      <c r="T166" s="10">
        <f t="shared" si="41"/>
        <v>0</v>
      </c>
      <c r="U166" s="10">
        <f t="shared" si="41"/>
        <v>0</v>
      </c>
      <c r="V166" s="10">
        <f t="shared" si="41"/>
        <v>0</v>
      </c>
      <c r="W166" s="10">
        <f t="shared" si="41"/>
        <v>0</v>
      </c>
      <c r="X166" s="10">
        <f t="shared" si="41"/>
        <v>0</v>
      </c>
      <c r="Y166" s="10">
        <f t="shared" si="41"/>
        <v>0</v>
      </c>
      <c r="Z166" s="10">
        <f t="shared" si="41"/>
        <v>0</v>
      </c>
      <c r="AA166" s="10">
        <f t="shared" si="41"/>
        <v>0</v>
      </c>
      <c r="AB166" s="10">
        <f t="shared" si="41"/>
        <v>0</v>
      </c>
      <c r="AC166" s="10">
        <f t="shared" si="41"/>
        <v>0</v>
      </c>
      <c r="AD166" s="10">
        <f t="shared" si="41"/>
        <v>0</v>
      </c>
      <c r="AE166" s="10">
        <f t="shared" si="41"/>
        <v>0</v>
      </c>
      <c r="AF166" s="10">
        <f t="shared" si="41"/>
        <v>0</v>
      </c>
      <c r="AG166" s="10">
        <f t="shared" si="41"/>
        <v>0</v>
      </c>
      <c r="AH166" s="10">
        <f t="shared" si="41"/>
        <v>0</v>
      </c>
      <c r="AI166" s="10">
        <f t="shared" si="41"/>
        <v>0</v>
      </c>
      <c r="AJ166" s="10">
        <f t="shared" si="41"/>
        <v>0</v>
      </c>
      <c r="AK166" s="10">
        <f t="shared" si="41"/>
        <v>0</v>
      </c>
      <c r="AL166" s="10">
        <f t="shared" si="41"/>
        <v>0</v>
      </c>
    </row>
    <row r="167" spans="1:38" s="13" customFormat="1" ht="15" customHeight="1">
      <c r="A167" s="354">
        <v>21</v>
      </c>
      <c r="B167" s="356" t="s">
        <v>87</v>
      </c>
      <c r="C167" s="208">
        <v>85195</v>
      </c>
      <c r="D167" s="211" t="s">
        <v>49</v>
      </c>
      <c r="E167" s="164"/>
      <c r="F167" s="217">
        <v>2012</v>
      </c>
      <c r="G167" s="81" t="s">
        <v>9</v>
      </c>
      <c r="H167" s="15" t="s">
        <v>10</v>
      </c>
      <c r="I167" s="60">
        <v>13956</v>
      </c>
      <c r="J167" s="61">
        <v>13956</v>
      </c>
      <c r="K167" s="61">
        <v>13956</v>
      </c>
      <c r="L167" s="61">
        <v>13956</v>
      </c>
      <c r="M167" s="146">
        <f t="shared" si="33"/>
        <v>27912</v>
      </c>
      <c r="N167" s="60"/>
      <c r="O167" s="127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s="13" customFormat="1" ht="15" customHeight="1">
      <c r="A168" s="348"/>
      <c r="B168" s="349"/>
      <c r="C168" s="209"/>
      <c r="D168" s="362"/>
      <c r="E168" s="165"/>
      <c r="F168" s="228"/>
      <c r="G168" s="341">
        <v>41868</v>
      </c>
      <c r="H168" s="16" t="s">
        <v>11</v>
      </c>
      <c r="I168" s="62"/>
      <c r="J168" s="63"/>
      <c r="K168" s="63"/>
      <c r="L168" s="63"/>
      <c r="M168" s="147">
        <f t="shared" si="33"/>
        <v>0</v>
      </c>
      <c r="N168" s="62"/>
      <c r="O168" s="128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s="13" customFormat="1" ht="15" customHeight="1">
      <c r="A169" s="348"/>
      <c r="B169" s="349"/>
      <c r="C169" s="209"/>
      <c r="D169" s="362"/>
      <c r="E169" s="165"/>
      <c r="F169" s="228"/>
      <c r="G169" s="342"/>
      <c r="H169" s="16" t="s">
        <v>12</v>
      </c>
      <c r="I169" s="62"/>
      <c r="J169" s="63"/>
      <c r="K169" s="63"/>
      <c r="L169" s="63"/>
      <c r="M169" s="147">
        <f t="shared" si="33"/>
        <v>0</v>
      </c>
      <c r="N169" s="62"/>
      <c r="O169" s="128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s="13" customFormat="1" ht="15" customHeight="1">
      <c r="A170" s="348"/>
      <c r="B170" s="349"/>
      <c r="C170" s="209"/>
      <c r="D170" s="362"/>
      <c r="E170" s="165" t="s">
        <v>80</v>
      </c>
      <c r="F170" s="212"/>
      <c r="G170" s="83" t="s">
        <v>13</v>
      </c>
      <c r="H170" s="16" t="s">
        <v>14</v>
      </c>
      <c r="I170" s="62"/>
      <c r="J170" s="63"/>
      <c r="K170" s="63"/>
      <c r="L170" s="63"/>
      <c r="M170" s="147">
        <f t="shared" si="33"/>
        <v>0</v>
      </c>
      <c r="N170" s="62"/>
      <c r="O170" s="128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s="13" customFormat="1" ht="15" customHeight="1">
      <c r="A171" s="348"/>
      <c r="B171" s="349"/>
      <c r="C171" s="209"/>
      <c r="D171" s="362"/>
      <c r="E171" s="165"/>
      <c r="F171" s="227">
        <v>2014</v>
      </c>
      <c r="G171" s="341">
        <v>0</v>
      </c>
      <c r="H171" s="16" t="s">
        <v>15</v>
      </c>
      <c r="I171" s="62"/>
      <c r="J171" s="63"/>
      <c r="K171" s="63"/>
      <c r="L171" s="63"/>
      <c r="M171" s="147">
        <f t="shared" si="33"/>
        <v>0</v>
      </c>
      <c r="N171" s="62"/>
      <c r="O171" s="128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s="13" customFormat="1" ht="15" customHeight="1">
      <c r="A172" s="348"/>
      <c r="B172" s="349"/>
      <c r="C172" s="209"/>
      <c r="D172" s="362"/>
      <c r="E172" s="165"/>
      <c r="F172" s="228"/>
      <c r="G172" s="342"/>
      <c r="H172" s="16" t="s">
        <v>16</v>
      </c>
      <c r="I172" s="62"/>
      <c r="J172" s="63"/>
      <c r="K172" s="63"/>
      <c r="L172" s="63"/>
      <c r="M172" s="147">
        <f t="shared" si="33"/>
        <v>0</v>
      </c>
      <c r="N172" s="62"/>
      <c r="O172" s="128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s="13" customFormat="1" ht="15" customHeight="1">
      <c r="A173" s="348"/>
      <c r="B173" s="349"/>
      <c r="C173" s="209"/>
      <c r="D173" s="362"/>
      <c r="E173" s="165"/>
      <c r="F173" s="228"/>
      <c r="G173" s="83" t="s">
        <v>17</v>
      </c>
      <c r="H173" s="16" t="s">
        <v>18</v>
      </c>
      <c r="I173" s="6">
        <f aca="true" t="shared" si="42" ref="I173:AL173">I167+I169+I171</f>
        <v>13956</v>
      </c>
      <c r="J173" s="7">
        <f t="shared" si="42"/>
        <v>13956</v>
      </c>
      <c r="K173" s="7">
        <f t="shared" si="42"/>
        <v>13956</v>
      </c>
      <c r="L173" s="7">
        <f t="shared" si="42"/>
        <v>13956</v>
      </c>
      <c r="M173" s="123">
        <f t="shared" si="33"/>
        <v>27912</v>
      </c>
      <c r="N173" s="149">
        <f>M173/G168</f>
        <v>0.6666666666666666</v>
      </c>
      <c r="O173" s="129">
        <f t="shared" si="42"/>
        <v>0</v>
      </c>
      <c r="P173" s="7">
        <f t="shared" si="42"/>
        <v>0</v>
      </c>
      <c r="Q173" s="7">
        <f t="shared" si="42"/>
        <v>0</v>
      </c>
      <c r="R173" s="7">
        <f t="shared" si="42"/>
        <v>0</v>
      </c>
      <c r="S173" s="7">
        <f t="shared" si="42"/>
        <v>0</v>
      </c>
      <c r="T173" s="7">
        <f t="shared" si="42"/>
        <v>0</v>
      </c>
      <c r="U173" s="7">
        <f t="shared" si="42"/>
        <v>0</v>
      </c>
      <c r="V173" s="7">
        <f t="shared" si="42"/>
        <v>0</v>
      </c>
      <c r="W173" s="7">
        <f t="shared" si="42"/>
        <v>0</v>
      </c>
      <c r="X173" s="7">
        <f t="shared" si="42"/>
        <v>0</v>
      </c>
      <c r="Y173" s="7">
        <f t="shared" si="42"/>
        <v>0</v>
      </c>
      <c r="Z173" s="7">
        <f t="shared" si="42"/>
        <v>0</v>
      </c>
      <c r="AA173" s="7">
        <f t="shared" si="42"/>
        <v>0</v>
      </c>
      <c r="AB173" s="7">
        <f t="shared" si="42"/>
        <v>0</v>
      </c>
      <c r="AC173" s="7">
        <f t="shared" si="42"/>
        <v>0</v>
      </c>
      <c r="AD173" s="7">
        <f t="shared" si="42"/>
        <v>0</v>
      </c>
      <c r="AE173" s="7">
        <f t="shared" si="42"/>
        <v>0</v>
      </c>
      <c r="AF173" s="7">
        <f t="shared" si="42"/>
        <v>0</v>
      </c>
      <c r="AG173" s="7">
        <f t="shared" si="42"/>
        <v>0</v>
      </c>
      <c r="AH173" s="7">
        <f t="shared" si="42"/>
        <v>0</v>
      </c>
      <c r="AI173" s="7">
        <f t="shared" si="42"/>
        <v>0</v>
      </c>
      <c r="AJ173" s="7">
        <f t="shared" si="42"/>
        <v>0</v>
      </c>
      <c r="AK173" s="7">
        <f t="shared" si="42"/>
        <v>0</v>
      </c>
      <c r="AL173" s="7">
        <f t="shared" si="42"/>
        <v>0</v>
      </c>
    </row>
    <row r="174" spans="1:38" s="13" customFormat="1" ht="15" customHeight="1" thickBot="1">
      <c r="A174" s="348"/>
      <c r="B174" s="350"/>
      <c r="C174" s="210"/>
      <c r="D174" s="363"/>
      <c r="E174" s="166"/>
      <c r="F174" s="216"/>
      <c r="G174" s="85">
        <v>41868</v>
      </c>
      <c r="H174" s="17" t="s">
        <v>19</v>
      </c>
      <c r="I174" s="9">
        <f aca="true" t="shared" si="43" ref="I174:AL174">I168+I170+I172</f>
        <v>0</v>
      </c>
      <c r="J174" s="10">
        <f t="shared" si="43"/>
        <v>0</v>
      </c>
      <c r="K174" s="10">
        <f t="shared" si="43"/>
        <v>0</v>
      </c>
      <c r="L174" s="10">
        <f t="shared" si="43"/>
        <v>0</v>
      </c>
      <c r="M174" s="124">
        <f t="shared" si="33"/>
        <v>0</v>
      </c>
      <c r="N174" s="149"/>
      <c r="O174" s="130">
        <f t="shared" si="43"/>
        <v>0</v>
      </c>
      <c r="P174" s="10">
        <f t="shared" si="43"/>
        <v>0</v>
      </c>
      <c r="Q174" s="10">
        <f t="shared" si="43"/>
        <v>0</v>
      </c>
      <c r="R174" s="10">
        <f t="shared" si="43"/>
        <v>0</v>
      </c>
      <c r="S174" s="10">
        <f t="shared" si="43"/>
        <v>0</v>
      </c>
      <c r="T174" s="10">
        <f t="shared" si="43"/>
        <v>0</v>
      </c>
      <c r="U174" s="10">
        <f t="shared" si="43"/>
        <v>0</v>
      </c>
      <c r="V174" s="10">
        <f t="shared" si="43"/>
        <v>0</v>
      </c>
      <c r="W174" s="10">
        <f t="shared" si="43"/>
        <v>0</v>
      </c>
      <c r="X174" s="10">
        <f t="shared" si="43"/>
        <v>0</v>
      </c>
      <c r="Y174" s="10">
        <f t="shared" si="43"/>
        <v>0</v>
      </c>
      <c r="Z174" s="10">
        <f t="shared" si="43"/>
        <v>0</v>
      </c>
      <c r="AA174" s="10">
        <f t="shared" si="43"/>
        <v>0</v>
      </c>
      <c r="AB174" s="10">
        <f t="shared" si="43"/>
        <v>0</v>
      </c>
      <c r="AC174" s="10">
        <f t="shared" si="43"/>
        <v>0</v>
      </c>
      <c r="AD174" s="10">
        <f t="shared" si="43"/>
        <v>0</v>
      </c>
      <c r="AE174" s="10">
        <f t="shared" si="43"/>
        <v>0</v>
      </c>
      <c r="AF174" s="10">
        <f t="shared" si="43"/>
        <v>0</v>
      </c>
      <c r="AG174" s="10">
        <f t="shared" si="43"/>
        <v>0</v>
      </c>
      <c r="AH174" s="10">
        <f t="shared" si="43"/>
        <v>0</v>
      </c>
      <c r="AI174" s="10">
        <f t="shared" si="43"/>
        <v>0</v>
      </c>
      <c r="AJ174" s="10">
        <f t="shared" si="43"/>
        <v>0</v>
      </c>
      <c r="AK174" s="10">
        <f t="shared" si="43"/>
        <v>0</v>
      </c>
      <c r="AL174" s="10">
        <f t="shared" si="43"/>
        <v>0</v>
      </c>
    </row>
    <row r="175" spans="1:38" s="13" customFormat="1" ht="14.25" customHeight="1">
      <c r="A175" s="354">
        <v>22</v>
      </c>
      <c r="B175" s="356" t="s">
        <v>88</v>
      </c>
      <c r="C175" s="208">
        <v>85195</v>
      </c>
      <c r="D175" s="211" t="s">
        <v>49</v>
      </c>
      <c r="E175" s="164"/>
      <c r="F175" s="217">
        <v>2012</v>
      </c>
      <c r="G175" s="81" t="s">
        <v>9</v>
      </c>
      <c r="H175" s="15" t="s">
        <v>10</v>
      </c>
      <c r="I175" s="60">
        <v>26500</v>
      </c>
      <c r="J175" s="61">
        <v>27000</v>
      </c>
      <c r="K175" s="61">
        <v>27000</v>
      </c>
      <c r="L175" s="61">
        <v>27000</v>
      </c>
      <c r="M175" s="146">
        <f t="shared" si="33"/>
        <v>53500</v>
      </c>
      <c r="N175" s="60"/>
      <c r="O175" s="127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s="13" customFormat="1" ht="14.25" customHeight="1">
      <c r="A176" s="348"/>
      <c r="B176" s="349"/>
      <c r="C176" s="209"/>
      <c r="D176" s="362"/>
      <c r="E176" s="165"/>
      <c r="F176" s="228"/>
      <c r="G176" s="341">
        <v>80500</v>
      </c>
      <c r="H176" s="16" t="s">
        <v>11</v>
      </c>
      <c r="I176" s="62"/>
      <c r="J176" s="63"/>
      <c r="K176" s="63"/>
      <c r="L176" s="63"/>
      <c r="M176" s="147">
        <f t="shared" si="33"/>
        <v>0</v>
      </c>
      <c r="N176" s="62"/>
      <c r="O176" s="128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s="13" customFormat="1" ht="14.25" customHeight="1">
      <c r="A177" s="348"/>
      <c r="B177" s="349"/>
      <c r="C177" s="209"/>
      <c r="D177" s="362"/>
      <c r="E177" s="165"/>
      <c r="F177" s="228"/>
      <c r="G177" s="342"/>
      <c r="H177" s="16" t="s">
        <v>12</v>
      </c>
      <c r="I177" s="62"/>
      <c r="J177" s="63"/>
      <c r="K177" s="63"/>
      <c r="L177" s="63"/>
      <c r="M177" s="147">
        <f t="shared" si="33"/>
        <v>0</v>
      </c>
      <c r="N177" s="62"/>
      <c r="O177" s="128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s="13" customFormat="1" ht="14.25" customHeight="1">
      <c r="A178" s="348"/>
      <c r="B178" s="349"/>
      <c r="C178" s="209"/>
      <c r="D178" s="362"/>
      <c r="E178" s="165" t="s">
        <v>80</v>
      </c>
      <c r="F178" s="212"/>
      <c r="G178" s="83" t="s">
        <v>13</v>
      </c>
      <c r="H178" s="16" t="s">
        <v>14</v>
      </c>
      <c r="I178" s="62"/>
      <c r="J178" s="63"/>
      <c r="K178" s="63"/>
      <c r="L178" s="63"/>
      <c r="M178" s="147">
        <f t="shared" si="33"/>
        <v>0</v>
      </c>
      <c r="N178" s="62"/>
      <c r="O178" s="128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s="13" customFormat="1" ht="14.25" customHeight="1">
      <c r="A179" s="348"/>
      <c r="B179" s="349"/>
      <c r="C179" s="209"/>
      <c r="D179" s="362"/>
      <c r="E179" s="165"/>
      <c r="F179" s="227">
        <v>2014</v>
      </c>
      <c r="G179" s="341">
        <v>0</v>
      </c>
      <c r="H179" s="16" t="s">
        <v>15</v>
      </c>
      <c r="I179" s="62"/>
      <c r="J179" s="63"/>
      <c r="K179" s="63"/>
      <c r="L179" s="63"/>
      <c r="M179" s="147">
        <f t="shared" si="33"/>
        <v>0</v>
      </c>
      <c r="N179" s="62"/>
      <c r="O179" s="128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s="13" customFormat="1" ht="14.25" customHeight="1">
      <c r="A180" s="348"/>
      <c r="B180" s="349"/>
      <c r="C180" s="209"/>
      <c r="D180" s="362"/>
      <c r="E180" s="165"/>
      <c r="F180" s="228"/>
      <c r="G180" s="342"/>
      <c r="H180" s="16" t="s">
        <v>16</v>
      </c>
      <c r="I180" s="62"/>
      <c r="J180" s="63"/>
      <c r="K180" s="63"/>
      <c r="L180" s="63"/>
      <c r="M180" s="147">
        <f t="shared" si="33"/>
        <v>0</v>
      </c>
      <c r="N180" s="62"/>
      <c r="O180" s="128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s="13" customFormat="1" ht="14.25" customHeight="1">
      <c r="A181" s="348"/>
      <c r="B181" s="349"/>
      <c r="C181" s="209"/>
      <c r="D181" s="362"/>
      <c r="E181" s="165"/>
      <c r="F181" s="228"/>
      <c r="G181" s="83" t="s">
        <v>17</v>
      </c>
      <c r="H181" s="16" t="s">
        <v>18</v>
      </c>
      <c r="I181" s="6">
        <f aca="true" t="shared" si="44" ref="I181:AL181">I175+I177+I179</f>
        <v>26500</v>
      </c>
      <c r="J181" s="7">
        <f t="shared" si="44"/>
        <v>27000</v>
      </c>
      <c r="K181" s="7">
        <f t="shared" si="44"/>
        <v>27000</v>
      </c>
      <c r="L181" s="7">
        <f t="shared" si="44"/>
        <v>27000</v>
      </c>
      <c r="M181" s="123">
        <f t="shared" si="33"/>
        <v>53500</v>
      </c>
      <c r="N181" s="149">
        <f>M181/G176</f>
        <v>0.6645962732919255</v>
      </c>
      <c r="O181" s="129">
        <f t="shared" si="44"/>
        <v>0</v>
      </c>
      <c r="P181" s="7">
        <f t="shared" si="44"/>
        <v>0</v>
      </c>
      <c r="Q181" s="7">
        <f t="shared" si="44"/>
        <v>0</v>
      </c>
      <c r="R181" s="7">
        <f t="shared" si="44"/>
        <v>0</v>
      </c>
      <c r="S181" s="7">
        <f t="shared" si="44"/>
        <v>0</v>
      </c>
      <c r="T181" s="7">
        <f t="shared" si="44"/>
        <v>0</v>
      </c>
      <c r="U181" s="7">
        <f t="shared" si="44"/>
        <v>0</v>
      </c>
      <c r="V181" s="7">
        <f t="shared" si="44"/>
        <v>0</v>
      </c>
      <c r="W181" s="7">
        <f t="shared" si="44"/>
        <v>0</v>
      </c>
      <c r="X181" s="7">
        <f t="shared" si="44"/>
        <v>0</v>
      </c>
      <c r="Y181" s="7">
        <f t="shared" si="44"/>
        <v>0</v>
      </c>
      <c r="Z181" s="7">
        <f t="shared" si="44"/>
        <v>0</v>
      </c>
      <c r="AA181" s="7">
        <f t="shared" si="44"/>
        <v>0</v>
      </c>
      <c r="AB181" s="7">
        <f t="shared" si="44"/>
        <v>0</v>
      </c>
      <c r="AC181" s="7">
        <f t="shared" si="44"/>
        <v>0</v>
      </c>
      <c r="AD181" s="7">
        <f t="shared" si="44"/>
        <v>0</v>
      </c>
      <c r="AE181" s="7">
        <f t="shared" si="44"/>
        <v>0</v>
      </c>
      <c r="AF181" s="7">
        <f t="shared" si="44"/>
        <v>0</v>
      </c>
      <c r="AG181" s="7">
        <f t="shared" si="44"/>
        <v>0</v>
      </c>
      <c r="AH181" s="7">
        <f t="shared" si="44"/>
        <v>0</v>
      </c>
      <c r="AI181" s="7">
        <f t="shared" si="44"/>
        <v>0</v>
      </c>
      <c r="AJ181" s="7">
        <f t="shared" si="44"/>
        <v>0</v>
      </c>
      <c r="AK181" s="7">
        <f t="shared" si="44"/>
        <v>0</v>
      </c>
      <c r="AL181" s="7">
        <f t="shared" si="44"/>
        <v>0</v>
      </c>
    </row>
    <row r="182" spans="1:38" s="13" customFormat="1" ht="14.25" customHeight="1" thickBot="1">
      <c r="A182" s="348"/>
      <c r="B182" s="350"/>
      <c r="C182" s="210"/>
      <c r="D182" s="363"/>
      <c r="E182" s="166"/>
      <c r="F182" s="216"/>
      <c r="G182" s="85">
        <v>80500</v>
      </c>
      <c r="H182" s="17" t="s">
        <v>19</v>
      </c>
      <c r="I182" s="9">
        <f aca="true" t="shared" si="45" ref="I182:AL182">I176+I178+I180</f>
        <v>0</v>
      </c>
      <c r="J182" s="10">
        <f t="shared" si="45"/>
        <v>0</v>
      </c>
      <c r="K182" s="10">
        <f t="shared" si="45"/>
        <v>0</v>
      </c>
      <c r="L182" s="10">
        <f t="shared" si="45"/>
        <v>0</v>
      </c>
      <c r="M182" s="124">
        <f t="shared" si="33"/>
        <v>0</v>
      </c>
      <c r="N182" s="149"/>
      <c r="O182" s="130">
        <f t="shared" si="45"/>
        <v>0</v>
      </c>
      <c r="P182" s="10">
        <f t="shared" si="45"/>
        <v>0</v>
      </c>
      <c r="Q182" s="10">
        <f t="shared" si="45"/>
        <v>0</v>
      </c>
      <c r="R182" s="10">
        <f t="shared" si="45"/>
        <v>0</v>
      </c>
      <c r="S182" s="10">
        <f t="shared" si="45"/>
        <v>0</v>
      </c>
      <c r="T182" s="10">
        <f t="shared" si="45"/>
        <v>0</v>
      </c>
      <c r="U182" s="10">
        <f t="shared" si="45"/>
        <v>0</v>
      </c>
      <c r="V182" s="10">
        <f t="shared" si="45"/>
        <v>0</v>
      </c>
      <c r="W182" s="10">
        <f t="shared" si="45"/>
        <v>0</v>
      </c>
      <c r="X182" s="10">
        <f t="shared" si="45"/>
        <v>0</v>
      </c>
      <c r="Y182" s="10">
        <f t="shared" si="45"/>
        <v>0</v>
      </c>
      <c r="Z182" s="10">
        <f t="shared" si="45"/>
        <v>0</v>
      </c>
      <c r="AA182" s="10">
        <f t="shared" si="45"/>
        <v>0</v>
      </c>
      <c r="AB182" s="10">
        <f t="shared" si="45"/>
        <v>0</v>
      </c>
      <c r="AC182" s="10">
        <f t="shared" si="45"/>
        <v>0</v>
      </c>
      <c r="AD182" s="10">
        <f t="shared" si="45"/>
        <v>0</v>
      </c>
      <c r="AE182" s="10">
        <f t="shared" si="45"/>
        <v>0</v>
      </c>
      <c r="AF182" s="10">
        <f t="shared" si="45"/>
        <v>0</v>
      </c>
      <c r="AG182" s="10">
        <f t="shared" si="45"/>
        <v>0</v>
      </c>
      <c r="AH182" s="10">
        <f t="shared" si="45"/>
        <v>0</v>
      </c>
      <c r="AI182" s="10">
        <f t="shared" si="45"/>
        <v>0</v>
      </c>
      <c r="AJ182" s="10">
        <f t="shared" si="45"/>
        <v>0</v>
      </c>
      <c r="AK182" s="10">
        <f t="shared" si="45"/>
        <v>0</v>
      </c>
      <c r="AL182" s="10">
        <f t="shared" si="45"/>
        <v>0</v>
      </c>
    </row>
    <row r="183" spans="1:38" s="13" customFormat="1" ht="15.75" customHeight="1">
      <c r="A183" s="354">
        <v>23</v>
      </c>
      <c r="B183" s="356" t="s">
        <v>89</v>
      </c>
      <c r="C183" s="208">
        <v>85195</v>
      </c>
      <c r="D183" s="211" t="s">
        <v>49</v>
      </c>
      <c r="E183" s="164"/>
      <c r="F183" s="217">
        <v>2012</v>
      </c>
      <c r="G183" s="81" t="s">
        <v>9</v>
      </c>
      <c r="H183" s="15" t="s">
        <v>10</v>
      </c>
      <c r="I183" s="60">
        <v>100000</v>
      </c>
      <c r="J183" s="61">
        <v>100000</v>
      </c>
      <c r="K183" s="61">
        <v>100000</v>
      </c>
      <c r="L183" s="61">
        <v>100000</v>
      </c>
      <c r="M183" s="146">
        <f t="shared" si="33"/>
        <v>200000</v>
      </c>
      <c r="N183" s="60"/>
      <c r="O183" s="127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13" customFormat="1" ht="15.75" customHeight="1">
      <c r="A184" s="348"/>
      <c r="B184" s="349"/>
      <c r="C184" s="209"/>
      <c r="D184" s="362"/>
      <c r="E184" s="165"/>
      <c r="F184" s="228"/>
      <c r="G184" s="341">
        <v>300000</v>
      </c>
      <c r="H184" s="16" t="s">
        <v>11</v>
      </c>
      <c r="I184" s="62"/>
      <c r="J184" s="63"/>
      <c r="K184" s="63"/>
      <c r="L184" s="63"/>
      <c r="M184" s="147">
        <f t="shared" si="33"/>
        <v>0</v>
      </c>
      <c r="N184" s="62"/>
      <c r="O184" s="128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s="13" customFormat="1" ht="15.75" customHeight="1">
      <c r="A185" s="348"/>
      <c r="B185" s="349"/>
      <c r="C185" s="209"/>
      <c r="D185" s="362"/>
      <c r="E185" s="165"/>
      <c r="F185" s="228"/>
      <c r="G185" s="342"/>
      <c r="H185" s="16" t="s">
        <v>12</v>
      </c>
      <c r="I185" s="62"/>
      <c r="J185" s="63"/>
      <c r="K185" s="63"/>
      <c r="L185" s="63"/>
      <c r="M185" s="147">
        <f t="shared" si="33"/>
        <v>0</v>
      </c>
      <c r="N185" s="62"/>
      <c r="O185" s="128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s="13" customFormat="1" ht="15.75" customHeight="1">
      <c r="A186" s="348"/>
      <c r="B186" s="349"/>
      <c r="C186" s="209"/>
      <c r="D186" s="362"/>
      <c r="E186" s="165" t="s">
        <v>80</v>
      </c>
      <c r="F186" s="212"/>
      <c r="G186" s="83" t="s">
        <v>13</v>
      </c>
      <c r="H186" s="16" t="s">
        <v>14</v>
      </c>
      <c r="I186" s="62"/>
      <c r="J186" s="63"/>
      <c r="K186" s="63"/>
      <c r="L186" s="63"/>
      <c r="M186" s="147">
        <f t="shared" si="33"/>
        <v>0</v>
      </c>
      <c r="N186" s="62"/>
      <c r="O186" s="128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s="13" customFormat="1" ht="15.75" customHeight="1">
      <c r="A187" s="348"/>
      <c r="B187" s="349"/>
      <c r="C187" s="209"/>
      <c r="D187" s="362"/>
      <c r="E187" s="165"/>
      <c r="F187" s="227">
        <v>2014</v>
      </c>
      <c r="G187" s="341">
        <v>0</v>
      </c>
      <c r="H187" s="16" t="s">
        <v>15</v>
      </c>
      <c r="I187" s="62"/>
      <c r="J187" s="63"/>
      <c r="K187" s="63"/>
      <c r="L187" s="63"/>
      <c r="M187" s="147">
        <f t="shared" si="33"/>
        <v>0</v>
      </c>
      <c r="N187" s="62"/>
      <c r="O187" s="128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s="13" customFormat="1" ht="15.75" customHeight="1">
      <c r="A188" s="348"/>
      <c r="B188" s="349"/>
      <c r="C188" s="209"/>
      <c r="D188" s="362"/>
      <c r="E188" s="165"/>
      <c r="F188" s="228"/>
      <c r="G188" s="342"/>
      <c r="H188" s="16" t="s">
        <v>16</v>
      </c>
      <c r="I188" s="62"/>
      <c r="J188" s="63"/>
      <c r="K188" s="63"/>
      <c r="L188" s="63"/>
      <c r="M188" s="147">
        <f t="shared" si="33"/>
        <v>0</v>
      </c>
      <c r="N188" s="62"/>
      <c r="O188" s="128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s="13" customFormat="1" ht="15.75" customHeight="1">
      <c r="A189" s="348"/>
      <c r="B189" s="349"/>
      <c r="C189" s="209"/>
      <c r="D189" s="362"/>
      <c r="E189" s="165"/>
      <c r="F189" s="228"/>
      <c r="G189" s="83" t="s">
        <v>17</v>
      </c>
      <c r="H189" s="16" t="s">
        <v>18</v>
      </c>
      <c r="I189" s="6">
        <f aca="true" t="shared" si="46" ref="I189:AL189">I183+I185+I187</f>
        <v>100000</v>
      </c>
      <c r="J189" s="7">
        <f t="shared" si="46"/>
        <v>100000</v>
      </c>
      <c r="K189" s="7">
        <f t="shared" si="46"/>
        <v>100000</v>
      </c>
      <c r="L189" s="7">
        <f t="shared" si="46"/>
        <v>100000</v>
      </c>
      <c r="M189" s="123">
        <f t="shared" si="33"/>
        <v>200000</v>
      </c>
      <c r="N189" s="149">
        <f>M189/G184</f>
        <v>0.6666666666666666</v>
      </c>
      <c r="O189" s="129">
        <f t="shared" si="46"/>
        <v>0</v>
      </c>
      <c r="P189" s="7">
        <f t="shared" si="46"/>
        <v>0</v>
      </c>
      <c r="Q189" s="7">
        <f t="shared" si="46"/>
        <v>0</v>
      </c>
      <c r="R189" s="7">
        <f t="shared" si="46"/>
        <v>0</v>
      </c>
      <c r="S189" s="7">
        <f t="shared" si="46"/>
        <v>0</v>
      </c>
      <c r="T189" s="7">
        <f t="shared" si="46"/>
        <v>0</v>
      </c>
      <c r="U189" s="7">
        <f t="shared" si="46"/>
        <v>0</v>
      </c>
      <c r="V189" s="7">
        <f t="shared" si="46"/>
        <v>0</v>
      </c>
      <c r="W189" s="7">
        <f t="shared" si="46"/>
        <v>0</v>
      </c>
      <c r="X189" s="7">
        <f t="shared" si="46"/>
        <v>0</v>
      </c>
      <c r="Y189" s="7">
        <f t="shared" si="46"/>
        <v>0</v>
      </c>
      <c r="Z189" s="7">
        <f t="shared" si="46"/>
        <v>0</v>
      </c>
      <c r="AA189" s="7">
        <f t="shared" si="46"/>
        <v>0</v>
      </c>
      <c r="AB189" s="7">
        <f t="shared" si="46"/>
        <v>0</v>
      </c>
      <c r="AC189" s="7">
        <f t="shared" si="46"/>
        <v>0</v>
      </c>
      <c r="AD189" s="7">
        <f t="shared" si="46"/>
        <v>0</v>
      </c>
      <c r="AE189" s="7">
        <f t="shared" si="46"/>
        <v>0</v>
      </c>
      <c r="AF189" s="7">
        <f t="shared" si="46"/>
        <v>0</v>
      </c>
      <c r="AG189" s="7">
        <f t="shared" si="46"/>
        <v>0</v>
      </c>
      <c r="AH189" s="7">
        <f t="shared" si="46"/>
        <v>0</v>
      </c>
      <c r="AI189" s="7">
        <f t="shared" si="46"/>
        <v>0</v>
      </c>
      <c r="AJ189" s="7">
        <f t="shared" si="46"/>
        <v>0</v>
      </c>
      <c r="AK189" s="7">
        <f t="shared" si="46"/>
        <v>0</v>
      </c>
      <c r="AL189" s="7">
        <f t="shared" si="46"/>
        <v>0</v>
      </c>
    </row>
    <row r="190" spans="1:38" s="13" customFormat="1" ht="15.75" customHeight="1" thickBot="1">
      <c r="A190" s="355"/>
      <c r="B190" s="350"/>
      <c r="C190" s="210"/>
      <c r="D190" s="363"/>
      <c r="E190" s="166"/>
      <c r="F190" s="216"/>
      <c r="G190" s="85">
        <v>300000</v>
      </c>
      <c r="H190" s="17" t="s">
        <v>19</v>
      </c>
      <c r="I190" s="9">
        <f aca="true" t="shared" si="47" ref="I190:AL190">I184+I186+I188</f>
        <v>0</v>
      </c>
      <c r="J190" s="10">
        <f t="shared" si="47"/>
        <v>0</v>
      </c>
      <c r="K190" s="10">
        <f t="shared" si="47"/>
        <v>0</v>
      </c>
      <c r="L190" s="10">
        <f t="shared" si="47"/>
        <v>0</v>
      </c>
      <c r="M190" s="124">
        <f t="shared" si="33"/>
        <v>0</v>
      </c>
      <c r="N190" s="150"/>
      <c r="O190" s="130">
        <f t="shared" si="47"/>
        <v>0</v>
      </c>
      <c r="P190" s="10">
        <f t="shared" si="47"/>
        <v>0</v>
      </c>
      <c r="Q190" s="10">
        <f t="shared" si="47"/>
        <v>0</v>
      </c>
      <c r="R190" s="10">
        <f t="shared" si="47"/>
        <v>0</v>
      </c>
      <c r="S190" s="10">
        <f t="shared" si="47"/>
        <v>0</v>
      </c>
      <c r="T190" s="10">
        <f t="shared" si="47"/>
        <v>0</v>
      </c>
      <c r="U190" s="10">
        <f t="shared" si="47"/>
        <v>0</v>
      </c>
      <c r="V190" s="10">
        <f t="shared" si="47"/>
        <v>0</v>
      </c>
      <c r="W190" s="10">
        <f t="shared" si="47"/>
        <v>0</v>
      </c>
      <c r="X190" s="10">
        <f t="shared" si="47"/>
        <v>0</v>
      </c>
      <c r="Y190" s="10">
        <f t="shared" si="47"/>
        <v>0</v>
      </c>
      <c r="Z190" s="10">
        <f t="shared" si="47"/>
        <v>0</v>
      </c>
      <c r="AA190" s="10">
        <f t="shared" si="47"/>
        <v>0</v>
      </c>
      <c r="AB190" s="10">
        <f t="shared" si="47"/>
        <v>0</v>
      </c>
      <c r="AC190" s="10">
        <f t="shared" si="47"/>
        <v>0</v>
      </c>
      <c r="AD190" s="10">
        <f t="shared" si="47"/>
        <v>0</v>
      </c>
      <c r="AE190" s="10">
        <f t="shared" si="47"/>
        <v>0</v>
      </c>
      <c r="AF190" s="10">
        <f t="shared" si="47"/>
        <v>0</v>
      </c>
      <c r="AG190" s="10">
        <f t="shared" si="47"/>
        <v>0</v>
      </c>
      <c r="AH190" s="10">
        <f t="shared" si="47"/>
        <v>0</v>
      </c>
      <c r="AI190" s="10">
        <f t="shared" si="47"/>
        <v>0</v>
      </c>
      <c r="AJ190" s="10">
        <f t="shared" si="47"/>
        <v>0</v>
      </c>
      <c r="AK190" s="10">
        <f t="shared" si="47"/>
        <v>0</v>
      </c>
      <c r="AL190" s="10">
        <f t="shared" si="47"/>
        <v>0</v>
      </c>
    </row>
    <row r="191" spans="1:38" s="13" customFormat="1" ht="15.75" customHeight="1">
      <c r="A191" s="354">
        <v>24</v>
      </c>
      <c r="B191" s="356" t="s">
        <v>92</v>
      </c>
      <c r="C191" s="208">
        <v>85195</v>
      </c>
      <c r="D191" s="211" t="s">
        <v>49</v>
      </c>
      <c r="E191" s="164"/>
      <c r="F191" s="217">
        <v>2012</v>
      </c>
      <c r="G191" s="81" t="s">
        <v>9</v>
      </c>
      <c r="H191" s="15" t="s">
        <v>10</v>
      </c>
      <c r="I191" s="60">
        <v>90000</v>
      </c>
      <c r="J191" s="61">
        <v>110000</v>
      </c>
      <c r="K191" s="61">
        <v>110000</v>
      </c>
      <c r="L191" s="61">
        <v>110000</v>
      </c>
      <c r="M191" s="146">
        <f t="shared" si="33"/>
        <v>200000</v>
      </c>
      <c r="N191" s="60"/>
      <c r="O191" s="13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s="13" customFormat="1" ht="15.75" customHeight="1">
      <c r="A192" s="348"/>
      <c r="B192" s="349"/>
      <c r="C192" s="209"/>
      <c r="D192" s="362"/>
      <c r="E192" s="165"/>
      <c r="F192" s="228"/>
      <c r="G192" s="341">
        <v>310000</v>
      </c>
      <c r="H192" s="16" t="s">
        <v>11</v>
      </c>
      <c r="I192" s="62"/>
      <c r="J192" s="63"/>
      <c r="K192" s="63"/>
      <c r="L192" s="63"/>
      <c r="M192" s="147">
        <f t="shared" si="33"/>
        <v>0</v>
      </c>
      <c r="N192" s="62"/>
      <c r="O192" s="128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s="13" customFormat="1" ht="15.75" customHeight="1">
      <c r="A193" s="348"/>
      <c r="B193" s="349"/>
      <c r="C193" s="209"/>
      <c r="D193" s="362"/>
      <c r="E193" s="165"/>
      <c r="F193" s="228"/>
      <c r="G193" s="342"/>
      <c r="H193" s="16" t="s">
        <v>12</v>
      </c>
      <c r="I193" s="62"/>
      <c r="J193" s="63"/>
      <c r="K193" s="63"/>
      <c r="L193" s="63"/>
      <c r="M193" s="147">
        <f t="shared" si="33"/>
        <v>0</v>
      </c>
      <c r="N193" s="62"/>
      <c r="O193" s="128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s="13" customFormat="1" ht="15.75" customHeight="1">
      <c r="A194" s="348"/>
      <c r="B194" s="349"/>
      <c r="C194" s="209"/>
      <c r="D194" s="362"/>
      <c r="E194" s="165" t="s">
        <v>80</v>
      </c>
      <c r="F194" s="212"/>
      <c r="G194" s="83" t="s">
        <v>13</v>
      </c>
      <c r="H194" s="16" t="s">
        <v>14</v>
      </c>
      <c r="I194" s="62"/>
      <c r="J194" s="63"/>
      <c r="K194" s="63"/>
      <c r="L194" s="63"/>
      <c r="M194" s="147">
        <f t="shared" si="33"/>
        <v>0</v>
      </c>
      <c r="N194" s="62"/>
      <c r="O194" s="128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s="13" customFormat="1" ht="15.75" customHeight="1">
      <c r="A195" s="348"/>
      <c r="B195" s="349"/>
      <c r="C195" s="209"/>
      <c r="D195" s="362"/>
      <c r="E195" s="165"/>
      <c r="F195" s="227">
        <v>2014</v>
      </c>
      <c r="G195" s="341">
        <v>0</v>
      </c>
      <c r="H195" s="16" t="s">
        <v>15</v>
      </c>
      <c r="I195" s="62"/>
      <c r="J195" s="63"/>
      <c r="K195" s="63"/>
      <c r="L195" s="63"/>
      <c r="M195" s="147">
        <f t="shared" si="33"/>
        <v>0</v>
      </c>
      <c r="N195" s="62"/>
      <c r="O195" s="128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s="13" customFormat="1" ht="15.75" customHeight="1">
      <c r="A196" s="348"/>
      <c r="B196" s="349"/>
      <c r="C196" s="209"/>
      <c r="D196" s="362"/>
      <c r="E196" s="165"/>
      <c r="F196" s="228"/>
      <c r="G196" s="342"/>
      <c r="H196" s="16" t="s">
        <v>16</v>
      </c>
      <c r="I196" s="62"/>
      <c r="J196" s="63"/>
      <c r="K196" s="63"/>
      <c r="L196" s="63"/>
      <c r="M196" s="147">
        <f t="shared" si="33"/>
        <v>0</v>
      </c>
      <c r="N196" s="62"/>
      <c r="O196" s="128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s="13" customFormat="1" ht="15.75" customHeight="1">
      <c r="A197" s="348"/>
      <c r="B197" s="349"/>
      <c r="C197" s="209"/>
      <c r="D197" s="362"/>
      <c r="E197" s="165"/>
      <c r="F197" s="228"/>
      <c r="G197" s="83" t="s">
        <v>17</v>
      </c>
      <c r="H197" s="16" t="s">
        <v>18</v>
      </c>
      <c r="I197" s="6">
        <f aca="true" t="shared" si="48" ref="I197:AL197">I191+I193+I195</f>
        <v>90000</v>
      </c>
      <c r="J197" s="7">
        <f t="shared" si="48"/>
        <v>110000</v>
      </c>
      <c r="K197" s="7">
        <f t="shared" si="48"/>
        <v>110000</v>
      </c>
      <c r="L197" s="7">
        <f t="shared" si="48"/>
        <v>110000</v>
      </c>
      <c r="M197" s="123">
        <f t="shared" si="33"/>
        <v>200000</v>
      </c>
      <c r="N197" s="149">
        <f>M197/G192</f>
        <v>0.6451612903225806</v>
      </c>
      <c r="O197" s="129">
        <f t="shared" si="48"/>
        <v>0</v>
      </c>
      <c r="P197" s="7">
        <f t="shared" si="48"/>
        <v>0</v>
      </c>
      <c r="Q197" s="7">
        <f t="shared" si="48"/>
        <v>0</v>
      </c>
      <c r="R197" s="7">
        <f t="shared" si="48"/>
        <v>0</v>
      </c>
      <c r="S197" s="7">
        <f t="shared" si="48"/>
        <v>0</v>
      </c>
      <c r="T197" s="7">
        <f t="shared" si="48"/>
        <v>0</v>
      </c>
      <c r="U197" s="7">
        <f t="shared" si="48"/>
        <v>0</v>
      </c>
      <c r="V197" s="7">
        <f t="shared" si="48"/>
        <v>0</v>
      </c>
      <c r="W197" s="7">
        <f t="shared" si="48"/>
        <v>0</v>
      </c>
      <c r="X197" s="7">
        <f t="shared" si="48"/>
        <v>0</v>
      </c>
      <c r="Y197" s="7">
        <f t="shared" si="48"/>
        <v>0</v>
      </c>
      <c r="Z197" s="7">
        <f t="shared" si="48"/>
        <v>0</v>
      </c>
      <c r="AA197" s="7">
        <f t="shared" si="48"/>
        <v>0</v>
      </c>
      <c r="AB197" s="7">
        <f t="shared" si="48"/>
        <v>0</v>
      </c>
      <c r="AC197" s="7">
        <f t="shared" si="48"/>
        <v>0</v>
      </c>
      <c r="AD197" s="7">
        <f t="shared" si="48"/>
        <v>0</v>
      </c>
      <c r="AE197" s="7">
        <f t="shared" si="48"/>
        <v>0</v>
      </c>
      <c r="AF197" s="7">
        <f t="shared" si="48"/>
        <v>0</v>
      </c>
      <c r="AG197" s="7">
        <f t="shared" si="48"/>
        <v>0</v>
      </c>
      <c r="AH197" s="7">
        <f t="shared" si="48"/>
        <v>0</v>
      </c>
      <c r="AI197" s="7">
        <f t="shared" si="48"/>
        <v>0</v>
      </c>
      <c r="AJ197" s="7">
        <f t="shared" si="48"/>
        <v>0</v>
      </c>
      <c r="AK197" s="7">
        <f t="shared" si="48"/>
        <v>0</v>
      </c>
      <c r="AL197" s="7">
        <f t="shared" si="48"/>
        <v>0</v>
      </c>
    </row>
    <row r="198" spans="1:38" s="13" customFormat="1" ht="15.75" customHeight="1" thickBot="1">
      <c r="A198" s="355"/>
      <c r="B198" s="350"/>
      <c r="C198" s="210"/>
      <c r="D198" s="363"/>
      <c r="E198" s="166"/>
      <c r="F198" s="216"/>
      <c r="G198" s="85">
        <v>310000</v>
      </c>
      <c r="H198" s="17" t="s">
        <v>19</v>
      </c>
      <c r="I198" s="9">
        <f aca="true" t="shared" si="49" ref="I198:AL198">I192+I194+I196</f>
        <v>0</v>
      </c>
      <c r="J198" s="55">
        <f t="shared" si="49"/>
        <v>0</v>
      </c>
      <c r="K198" s="10">
        <f t="shared" si="49"/>
        <v>0</v>
      </c>
      <c r="L198" s="10">
        <f t="shared" si="49"/>
        <v>0</v>
      </c>
      <c r="M198" s="124">
        <f t="shared" si="33"/>
        <v>0</v>
      </c>
      <c r="N198" s="150"/>
      <c r="O198" s="136">
        <f t="shared" si="49"/>
        <v>0</v>
      </c>
      <c r="P198" s="12">
        <f t="shared" si="49"/>
        <v>0</v>
      </c>
      <c r="Q198" s="12">
        <f t="shared" si="49"/>
        <v>0</v>
      </c>
      <c r="R198" s="12">
        <f t="shared" si="49"/>
        <v>0</v>
      </c>
      <c r="S198" s="12">
        <f t="shared" si="49"/>
        <v>0</v>
      </c>
      <c r="T198" s="12">
        <f t="shared" si="49"/>
        <v>0</v>
      </c>
      <c r="U198" s="12">
        <f t="shared" si="49"/>
        <v>0</v>
      </c>
      <c r="V198" s="12">
        <f t="shared" si="49"/>
        <v>0</v>
      </c>
      <c r="W198" s="12">
        <f t="shared" si="49"/>
        <v>0</v>
      </c>
      <c r="X198" s="12">
        <f t="shared" si="49"/>
        <v>0</v>
      </c>
      <c r="Y198" s="12">
        <f t="shared" si="49"/>
        <v>0</v>
      </c>
      <c r="Z198" s="12">
        <f t="shared" si="49"/>
        <v>0</v>
      </c>
      <c r="AA198" s="12">
        <f t="shared" si="49"/>
        <v>0</v>
      </c>
      <c r="AB198" s="12">
        <f t="shared" si="49"/>
        <v>0</v>
      </c>
      <c r="AC198" s="12">
        <f t="shared" si="49"/>
        <v>0</v>
      </c>
      <c r="AD198" s="12">
        <f t="shared" si="49"/>
        <v>0</v>
      </c>
      <c r="AE198" s="12">
        <f t="shared" si="49"/>
        <v>0</v>
      </c>
      <c r="AF198" s="12">
        <f t="shared" si="49"/>
        <v>0</v>
      </c>
      <c r="AG198" s="12">
        <f t="shared" si="49"/>
        <v>0</v>
      </c>
      <c r="AH198" s="12">
        <f t="shared" si="49"/>
        <v>0</v>
      </c>
      <c r="AI198" s="12">
        <f t="shared" si="49"/>
        <v>0</v>
      </c>
      <c r="AJ198" s="12">
        <f t="shared" si="49"/>
        <v>0</v>
      </c>
      <c r="AK198" s="12">
        <f t="shared" si="49"/>
        <v>0</v>
      </c>
      <c r="AL198" s="12">
        <f t="shared" si="49"/>
        <v>0</v>
      </c>
    </row>
    <row r="199" spans="1:38" s="13" customFormat="1" ht="15.75" customHeight="1">
      <c r="A199" s="348">
        <v>25</v>
      </c>
      <c r="B199" s="215" t="s">
        <v>58</v>
      </c>
      <c r="C199" s="209">
        <v>85195</v>
      </c>
      <c r="D199" s="362" t="s">
        <v>8</v>
      </c>
      <c r="E199" s="165"/>
      <c r="F199" s="228">
        <v>2011</v>
      </c>
      <c r="G199" s="118" t="s">
        <v>9</v>
      </c>
      <c r="H199" s="18" t="s">
        <v>25</v>
      </c>
      <c r="I199" s="64">
        <f>55000+56265</f>
        <v>111265</v>
      </c>
      <c r="J199" s="65">
        <v>57560</v>
      </c>
      <c r="K199" s="65">
        <v>57560</v>
      </c>
      <c r="L199" s="65">
        <v>57560</v>
      </c>
      <c r="M199" s="157">
        <f t="shared" si="33"/>
        <v>168825</v>
      </c>
      <c r="N199" s="64"/>
      <c r="O199" s="13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s="13" customFormat="1" ht="15.75" customHeight="1">
      <c r="A200" s="348"/>
      <c r="B200" s="215"/>
      <c r="C200" s="209"/>
      <c r="D200" s="362"/>
      <c r="E200" s="165"/>
      <c r="F200" s="228"/>
      <c r="G200" s="341">
        <v>168825</v>
      </c>
      <c r="H200" s="16" t="s">
        <v>26</v>
      </c>
      <c r="I200" s="62"/>
      <c r="J200" s="63"/>
      <c r="K200" s="63"/>
      <c r="L200" s="63"/>
      <c r="M200" s="147">
        <f aca="true" t="shared" si="50" ref="M200:M263">SUM(I200,K200)</f>
        <v>0</v>
      </c>
      <c r="N200" s="62"/>
      <c r="O200" s="128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s="13" customFormat="1" ht="15.75" customHeight="1">
      <c r="A201" s="348"/>
      <c r="B201" s="215"/>
      <c r="C201" s="209"/>
      <c r="D201" s="362"/>
      <c r="E201" s="165"/>
      <c r="F201" s="228"/>
      <c r="G201" s="342"/>
      <c r="H201" s="16" t="s">
        <v>12</v>
      </c>
      <c r="I201" s="62"/>
      <c r="J201" s="63"/>
      <c r="K201" s="63"/>
      <c r="L201" s="63"/>
      <c r="M201" s="147">
        <f t="shared" si="50"/>
        <v>0</v>
      </c>
      <c r="N201" s="62"/>
      <c r="O201" s="128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s="13" customFormat="1" ht="15.75" customHeight="1">
      <c r="A202" s="348"/>
      <c r="B202" s="215"/>
      <c r="C202" s="209"/>
      <c r="D202" s="362"/>
      <c r="E202" s="165" t="s">
        <v>80</v>
      </c>
      <c r="F202" s="212"/>
      <c r="G202" s="83" t="s">
        <v>13</v>
      </c>
      <c r="H202" s="16" t="s">
        <v>14</v>
      </c>
      <c r="I202" s="62"/>
      <c r="J202" s="63"/>
      <c r="K202" s="63"/>
      <c r="L202" s="63"/>
      <c r="M202" s="147">
        <f t="shared" si="50"/>
        <v>0</v>
      </c>
      <c r="N202" s="62"/>
      <c r="O202" s="128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s="13" customFormat="1" ht="15.75" customHeight="1">
      <c r="A203" s="348"/>
      <c r="B203" s="215"/>
      <c r="C203" s="209"/>
      <c r="D203" s="362"/>
      <c r="E203" s="165"/>
      <c r="F203" s="227">
        <v>2013</v>
      </c>
      <c r="G203" s="341">
        <v>0</v>
      </c>
      <c r="H203" s="16" t="s">
        <v>15</v>
      </c>
      <c r="I203" s="62"/>
      <c r="J203" s="63"/>
      <c r="K203" s="63"/>
      <c r="L203" s="63"/>
      <c r="M203" s="147">
        <f t="shared" si="50"/>
        <v>0</v>
      </c>
      <c r="N203" s="62"/>
      <c r="O203" s="128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s="13" customFormat="1" ht="15.75" customHeight="1">
      <c r="A204" s="348"/>
      <c r="B204" s="215"/>
      <c r="C204" s="209"/>
      <c r="D204" s="362"/>
      <c r="E204" s="165"/>
      <c r="F204" s="228"/>
      <c r="G204" s="342"/>
      <c r="H204" s="16" t="s">
        <v>16</v>
      </c>
      <c r="I204" s="62"/>
      <c r="J204" s="63"/>
      <c r="K204" s="63"/>
      <c r="L204" s="63"/>
      <c r="M204" s="147">
        <f t="shared" si="50"/>
        <v>0</v>
      </c>
      <c r="N204" s="62"/>
      <c r="O204" s="128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s="13" customFormat="1" ht="15.75" customHeight="1">
      <c r="A205" s="348"/>
      <c r="B205" s="215"/>
      <c r="C205" s="209"/>
      <c r="D205" s="362"/>
      <c r="E205" s="165"/>
      <c r="F205" s="228"/>
      <c r="G205" s="83" t="s">
        <v>17</v>
      </c>
      <c r="H205" s="16" t="s">
        <v>18</v>
      </c>
      <c r="I205" s="6">
        <f aca="true" t="shared" si="51" ref="I205:AL205">I199+I201+I203</f>
        <v>111265</v>
      </c>
      <c r="J205" s="7">
        <f t="shared" si="51"/>
        <v>57560</v>
      </c>
      <c r="K205" s="7">
        <f t="shared" si="51"/>
        <v>57560</v>
      </c>
      <c r="L205" s="7">
        <f t="shared" si="51"/>
        <v>57560</v>
      </c>
      <c r="M205" s="123">
        <f t="shared" si="50"/>
        <v>168825</v>
      </c>
      <c r="N205" s="149">
        <f>M205/G200</f>
        <v>1</v>
      </c>
      <c r="O205" s="129">
        <f t="shared" si="51"/>
        <v>0</v>
      </c>
      <c r="P205" s="7">
        <f t="shared" si="51"/>
        <v>0</v>
      </c>
      <c r="Q205" s="7">
        <f t="shared" si="51"/>
        <v>0</v>
      </c>
      <c r="R205" s="7">
        <f t="shared" si="51"/>
        <v>0</v>
      </c>
      <c r="S205" s="7">
        <f t="shared" si="51"/>
        <v>0</v>
      </c>
      <c r="T205" s="7">
        <f t="shared" si="51"/>
        <v>0</v>
      </c>
      <c r="U205" s="7">
        <f t="shared" si="51"/>
        <v>0</v>
      </c>
      <c r="V205" s="7">
        <f t="shared" si="51"/>
        <v>0</v>
      </c>
      <c r="W205" s="7">
        <f t="shared" si="51"/>
        <v>0</v>
      </c>
      <c r="X205" s="7">
        <f t="shared" si="51"/>
        <v>0</v>
      </c>
      <c r="Y205" s="7">
        <f t="shared" si="51"/>
        <v>0</v>
      </c>
      <c r="Z205" s="7">
        <f t="shared" si="51"/>
        <v>0</v>
      </c>
      <c r="AA205" s="7">
        <f t="shared" si="51"/>
        <v>0</v>
      </c>
      <c r="AB205" s="7">
        <f t="shared" si="51"/>
        <v>0</v>
      </c>
      <c r="AC205" s="7">
        <f t="shared" si="51"/>
        <v>0</v>
      </c>
      <c r="AD205" s="7">
        <f t="shared" si="51"/>
        <v>0</v>
      </c>
      <c r="AE205" s="7">
        <f t="shared" si="51"/>
        <v>0</v>
      </c>
      <c r="AF205" s="7">
        <f t="shared" si="51"/>
        <v>0</v>
      </c>
      <c r="AG205" s="7">
        <f t="shared" si="51"/>
        <v>0</v>
      </c>
      <c r="AH205" s="7">
        <f t="shared" si="51"/>
        <v>0</v>
      </c>
      <c r="AI205" s="7">
        <f t="shared" si="51"/>
        <v>0</v>
      </c>
      <c r="AJ205" s="7">
        <f t="shared" si="51"/>
        <v>0</v>
      </c>
      <c r="AK205" s="7">
        <f t="shared" si="51"/>
        <v>0</v>
      </c>
      <c r="AL205" s="7">
        <f t="shared" si="51"/>
        <v>0</v>
      </c>
    </row>
    <row r="206" spans="1:38" s="13" customFormat="1" ht="15.75" customHeight="1" thickBot="1">
      <c r="A206" s="348"/>
      <c r="B206" s="215"/>
      <c r="C206" s="209"/>
      <c r="D206" s="362"/>
      <c r="E206" s="165"/>
      <c r="F206" s="228"/>
      <c r="G206" s="85">
        <v>168825</v>
      </c>
      <c r="H206" s="19" t="s">
        <v>19</v>
      </c>
      <c r="I206" s="9">
        <f aca="true" t="shared" si="52" ref="I206:AL206">I200+I202+I204</f>
        <v>0</v>
      </c>
      <c r="J206" s="12">
        <f t="shared" si="52"/>
        <v>0</v>
      </c>
      <c r="K206" s="12">
        <f t="shared" si="52"/>
        <v>0</v>
      </c>
      <c r="L206" s="12">
        <f t="shared" si="52"/>
        <v>0</v>
      </c>
      <c r="M206" s="144">
        <f t="shared" si="50"/>
        <v>0</v>
      </c>
      <c r="N206" s="149"/>
      <c r="O206" s="136">
        <f t="shared" si="52"/>
        <v>0</v>
      </c>
      <c r="P206" s="12">
        <f t="shared" si="52"/>
        <v>0</v>
      </c>
      <c r="Q206" s="12">
        <f t="shared" si="52"/>
        <v>0</v>
      </c>
      <c r="R206" s="12">
        <f t="shared" si="52"/>
        <v>0</v>
      </c>
      <c r="S206" s="12">
        <f t="shared" si="52"/>
        <v>0</v>
      </c>
      <c r="T206" s="12">
        <f t="shared" si="52"/>
        <v>0</v>
      </c>
      <c r="U206" s="12">
        <f t="shared" si="52"/>
        <v>0</v>
      </c>
      <c r="V206" s="12">
        <f t="shared" si="52"/>
        <v>0</v>
      </c>
      <c r="W206" s="12">
        <f t="shared" si="52"/>
        <v>0</v>
      </c>
      <c r="X206" s="12">
        <f t="shared" si="52"/>
        <v>0</v>
      </c>
      <c r="Y206" s="12">
        <f t="shared" si="52"/>
        <v>0</v>
      </c>
      <c r="Z206" s="12">
        <f t="shared" si="52"/>
        <v>0</v>
      </c>
      <c r="AA206" s="12">
        <f t="shared" si="52"/>
        <v>0</v>
      </c>
      <c r="AB206" s="12">
        <f t="shared" si="52"/>
        <v>0</v>
      </c>
      <c r="AC206" s="12">
        <f t="shared" si="52"/>
        <v>0</v>
      </c>
      <c r="AD206" s="12">
        <f t="shared" si="52"/>
        <v>0</v>
      </c>
      <c r="AE206" s="12">
        <f t="shared" si="52"/>
        <v>0</v>
      </c>
      <c r="AF206" s="12">
        <f t="shared" si="52"/>
        <v>0</v>
      </c>
      <c r="AG206" s="12">
        <f t="shared" si="52"/>
        <v>0</v>
      </c>
      <c r="AH206" s="12">
        <f t="shared" si="52"/>
        <v>0</v>
      </c>
      <c r="AI206" s="12">
        <f t="shared" si="52"/>
        <v>0</v>
      </c>
      <c r="AJ206" s="12">
        <f t="shared" si="52"/>
        <v>0</v>
      </c>
      <c r="AK206" s="12">
        <f t="shared" si="52"/>
        <v>0</v>
      </c>
      <c r="AL206" s="12">
        <f t="shared" si="52"/>
        <v>0</v>
      </c>
    </row>
    <row r="207" spans="1:38" s="13" customFormat="1" ht="15.75" customHeight="1">
      <c r="A207" s="354">
        <v>26</v>
      </c>
      <c r="B207" s="214" t="s">
        <v>59</v>
      </c>
      <c r="C207" s="208">
        <v>85195</v>
      </c>
      <c r="D207" s="211" t="s">
        <v>8</v>
      </c>
      <c r="E207" s="164"/>
      <c r="F207" s="217">
        <v>2011</v>
      </c>
      <c r="G207" s="81" t="s">
        <v>9</v>
      </c>
      <c r="H207" s="15" t="s">
        <v>10</v>
      </c>
      <c r="I207" s="60">
        <f>125000+127875</f>
        <v>252875</v>
      </c>
      <c r="J207" s="61">
        <v>130817</v>
      </c>
      <c r="K207" s="61">
        <v>90000</v>
      </c>
      <c r="L207" s="61">
        <v>130817</v>
      </c>
      <c r="M207" s="146">
        <f t="shared" si="50"/>
        <v>342875</v>
      </c>
      <c r="N207" s="60"/>
      <c r="O207" s="127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s="13" customFormat="1" ht="12.75">
      <c r="A208" s="348"/>
      <c r="B208" s="215"/>
      <c r="C208" s="209"/>
      <c r="D208" s="362"/>
      <c r="E208" s="165"/>
      <c r="F208" s="228"/>
      <c r="G208" s="341">
        <v>383692</v>
      </c>
      <c r="H208" s="16" t="s">
        <v>11</v>
      </c>
      <c r="I208" s="62"/>
      <c r="J208" s="63"/>
      <c r="K208" s="63"/>
      <c r="L208" s="63"/>
      <c r="M208" s="147">
        <f t="shared" si="50"/>
        <v>0</v>
      </c>
      <c r="N208" s="62"/>
      <c r="O208" s="128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s="13" customFormat="1" ht="12.75">
      <c r="A209" s="348"/>
      <c r="B209" s="215"/>
      <c r="C209" s="209"/>
      <c r="D209" s="362"/>
      <c r="E209" s="165"/>
      <c r="F209" s="228"/>
      <c r="G209" s="342"/>
      <c r="H209" s="16" t="s">
        <v>12</v>
      </c>
      <c r="I209" s="62"/>
      <c r="J209" s="63"/>
      <c r="K209" s="63"/>
      <c r="L209" s="63"/>
      <c r="M209" s="147">
        <f t="shared" si="50"/>
        <v>0</v>
      </c>
      <c r="N209" s="62"/>
      <c r="O209" s="128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s="13" customFormat="1" ht="15.75" customHeight="1">
      <c r="A210" s="348"/>
      <c r="B210" s="215"/>
      <c r="C210" s="209"/>
      <c r="D210" s="362"/>
      <c r="E210" s="165" t="s">
        <v>80</v>
      </c>
      <c r="F210" s="212"/>
      <c r="G210" s="83" t="s">
        <v>13</v>
      </c>
      <c r="H210" s="16" t="s">
        <v>14</v>
      </c>
      <c r="I210" s="62"/>
      <c r="J210" s="63"/>
      <c r="K210" s="63"/>
      <c r="L210" s="63"/>
      <c r="M210" s="147">
        <f t="shared" si="50"/>
        <v>0</v>
      </c>
      <c r="N210" s="62"/>
      <c r="O210" s="128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s="13" customFormat="1" ht="12.75">
      <c r="A211" s="348"/>
      <c r="B211" s="215"/>
      <c r="C211" s="209"/>
      <c r="D211" s="362"/>
      <c r="E211" s="165"/>
      <c r="F211" s="227">
        <v>2013</v>
      </c>
      <c r="G211" s="341">
        <v>0</v>
      </c>
      <c r="H211" s="16" t="s">
        <v>15</v>
      </c>
      <c r="I211" s="62"/>
      <c r="J211" s="63"/>
      <c r="K211" s="63"/>
      <c r="L211" s="63"/>
      <c r="M211" s="147">
        <f t="shared" si="50"/>
        <v>0</v>
      </c>
      <c r="N211" s="62"/>
      <c r="O211" s="128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s="13" customFormat="1" ht="12.75">
      <c r="A212" s="348"/>
      <c r="B212" s="215"/>
      <c r="C212" s="209"/>
      <c r="D212" s="362"/>
      <c r="E212" s="165"/>
      <c r="F212" s="228"/>
      <c r="G212" s="342"/>
      <c r="H212" s="16" t="s">
        <v>16</v>
      </c>
      <c r="I212" s="62"/>
      <c r="J212" s="63"/>
      <c r="K212" s="63"/>
      <c r="L212" s="63"/>
      <c r="M212" s="147">
        <f t="shared" si="50"/>
        <v>0</v>
      </c>
      <c r="N212" s="62"/>
      <c r="O212" s="128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s="13" customFormat="1" ht="15.75" customHeight="1">
      <c r="A213" s="348"/>
      <c r="B213" s="215"/>
      <c r="C213" s="209"/>
      <c r="D213" s="362"/>
      <c r="E213" s="165"/>
      <c r="F213" s="228"/>
      <c r="G213" s="83" t="s">
        <v>17</v>
      </c>
      <c r="H213" s="16" t="s">
        <v>18</v>
      </c>
      <c r="I213" s="6">
        <f aca="true" t="shared" si="53" ref="I213:AL213">I207+I209+I211</f>
        <v>252875</v>
      </c>
      <c r="J213" s="7">
        <f t="shared" si="53"/>
        <v>130817</v>
      </c>
      <c r="K213" s="7">
        <f t="shared" si="53"/>
        <v>90000</v>
      </c>
      <c r="L213" s="7">
        <f t="shared" si="53"/>
        <v>130817</v>
      </c>
      <c r="M213" s="123">
        <f t="shared" si="50"/>
        <v>342875</v>
      </c>
      <c r="N213" s="149">
        <f>M213/G208</f>
        <v>0.8936204038656005</v>
      </c>
      <c r="O213" s="129">
        <f t="shared" si="53"/>
        <v>0</v>
      </c>
      <c r="P213" s="7">
        <f t="shared" si="53"/>
        <v>0</v>
      </c>
      <c r="Q213" s="7">
        <f t="shared" si="53"/>
        <v>0</v>
      </c>
      <c r="R213" s="7">
        <f t="shared" si="53"/>
        <v>0</v>
      </c>
      <c r="S213" s="7">
        <f t="shared" si="53"/>
        <v>0</v>
      </c>
      <c r="T213" s="7">
        <f t="shared" si="53"/>
        <v>0</v>
      </c>
      <c r="U213" s="7">
        <f t="shared" si="53"/>
        <v>0</v>
      </c>
      <c r="V213" s="7">
        <f t="shared" si="53"/>
        <v>0</v>
      </c>
      <c r="W213" s="7">
        <f t="shared" si="53"/>
        <v>0</v>
      </c>
      <c r="X213" s="7">
        <f t="shared" si="53"/>
        <v>0</v>
      </c>
      <c r="Y213" s="7">
        <f t="shared" si="53"/>
        <v>0</v>
      </c>
      <c r="Z213" s="7">
        <f t="shared" si="53"/>
        <v>0</v>
      </c>
      <c r="AA213" s="7">
        <f t="shared" si="53"/>
        <v>0</v>
      </c>
      <c r="AB213" s="7">
        <f t="shared" si="53"/>
        <v>0</v>
      </c>
      <c r="AC213" s="7">
        <f t="shared" si="53"/>
        <v>0</v>
      </c>
      <c r="AD213" s="7">
        <f t="shared" si="53"/>
        <v>0</v>
      </c>
      <c r="AE213" s="7">
        <f t="shared" si="53"/>
        <v>0</v>
      </c>
      <c r="AF213" s="7">
        <f t="shared" si="53"/>
        <v>0</v>
      </c>
      <c r="AG213" s="7">
        <f t="shared" si="53"/>
        <v>0</v>
      </c>
      <c r="AH213" s="7">
        <f t="shared" si="53"/>
        <v>0</v>
      </c>
      <c r="AI213" s="7">
        <f t="shared" si="53"/>
        <v>0</v>
      </c>
      <c r="AJ213" s="7">
        <f t="shared" si="53"/>
        <v>0</v>
      </c>
      <c r="AK213" s="7">
        <f t="shared" si="53"/>
        <v>0</v>
      </c>
      <c r="AL213" s="7">
        <f t="shared" si="53"/>
        <v>0</v>
      </c>
    </row>
    <row r="214" spans="1:38" s="13" customFormat="1" ht="15.75" customHeight="1" thickBot="1">
      <c r="A214" s="348"/>
      <c r="B214" s="207"/>
      <c r="C214" s="209"/>
      <c r="D214" s="362"/>
      <c r="E214" s="165"/>
      <c r="F214" s="228"/>
      <c r="G214" s="85">
        <v>383692</v>
      </c>
      <c r="H214" s="17" t="s">
        <v>19</v>
      </c>
      <c r="I214" s="9">
        <f aca="true" t="shared" si="54" ref="I214:AL214">I208+I210+I212</f>
        <v>0</v>
      </c>
      <c r="J214" s="10">
        <f t="shared" si="54"/>
        <v>0</v>
      </c>
      <c r="K214" s="10">
        <f t="shared" si="54"/>
        <v>0</v>
      </c>
      <c r="L214" s="10">
        <f t="shared" si="54"/>
        <v>0</v>
      </c>
      <c r="M214" s="124">
        <f t="shared" si="50"/>
        <v>0</v>
      </c>
      <c r="N214" s="9">
        <f t="shared" si="54"/>
        <v>0</v>
      </c>
      <c r="O214" s="130">
        <f t="shared" si="54"/>
        <v>0</v>
      </c>
      <c r="P214" s="10">
        <f t="shared" si="54"/>
        <v>0</v>
      </c>
      <c r="Q214" s="10">
        <f t="shared" si="54"/>
        <v>0</v>
      </c>
      <c r="R214" s="10">
        <f t="shared" si="54"/>
        <v>0</v>
      </c>
      <c r="S214" s="10">
        <f t="shared" si="54"/>
        <v>0</v>
      </c>
      <c r="T214" s="10">
        <f t="shared" si="54"/>
        <v>0</v>
      </c>
      <c r="U214" s="10">
        <f t="shared" si="54"/>
        <v>0</v>
      </c>
      <c r="V214" s="10">
        <f t="shared" si="54"/>
        <v>0</v>
      </c>
      <c r="W214" s="10">
        <f t="shared" si="54"/>
        <v>0</v>
      </c>
      <c r="X214" s="10">
        <f t="shared" si="54"/>
        <v>0</v>
      </c>
      <c r="Y214" s="10">
        <f t="shared" si="54"/>
        <v>0</v>
      </c>
      <c r="Z214" s="10">
        <f t="shared" si="54"/>
        <v>0</v>
      </c>
      <c r="AA214" s="10">
        <f t="shared" si="54"/>
        <v>0</v>
      </c>
      <c r="AB214" s="10">
        <f t="shared" si="54"/>
        <v>0</v>
      </c>
      <c r="AC214" s="10">
        <f t="shared" si="54"/>
        <v>0</v>
      </c>
      <c r="AD214" s="10">
        <f t="shared" si="54"/>
        <v>0</v>
      </c>
      <c r="AE214" s="10">
        <f t="shared" si="54"/>
        <v>0</v>
      </c>
      <c r="AF214" s="10">
        <f t="shared" si="54"/>
        <v>0</v>
      </c>
      <c r="AG214" s="10">
        <f t="shared" si="54"/>
        <v>0</v>
      </c>
      <c r="AH214" s="10">
        <f t="shared" si="54"/>
        <v>0</v>
      </c>
      <c r="AI214" s="10">
        <f t="shared" si="54"/>
        <v>0</v>
      </c>
      <c r="AJ214" s="10">
        <f t="shared" si="54"/>
        <v>0</v>
      </c>
      <c r="AK214" s="10">
        <f t="shared" si="54"/>
        <v>0</v>
      </c>
      <c r="AL214" s="10">
        <f t="shared" si="54"/>
        <v>0</v>
      </c>
    </row>
    <row r="215" spans="1:38" s="13" customFormat="1" ht="13.5" customHeight="1">
      <c r="A215" s="354">
        <v>27</v>
      </c>
      <c r="B215" s="214" t="s">
        <v>60</v>
      </c>
      <c r="C215" s="208">
        <v>85195</v>
      </c>
      <c r="D215" s="211" t="s">
        <v>8</v>
      </c>
      <c r="E215" s="164"/>
      <c r="F215" s="217">
        <v>2011</v>
      </c>
      <c r="G215" s="81" t="s">
        <v>9</v>
      </c>
      <c r="H215" s="15" t="s">
        <v>10</v>
      </c>
      <c r="I215" s="60">
        <f>35000+35805</f>
        <v>70805</v>
      </c>
      <c r="J215" s="61">
        <v>36630</v>
      </c>
      <c r="K215" s="61">
        <v>36630</v>
      </c>
      <c r="L215" s="61">
        <v>36630</v>
      </c>
      <c r="M215" s="146">
        <f t="shared" si="50"/>
        <v>107435</v>
      </c>
      <c r="N215" s="60"/>
      <c r="O215" s="127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s="13" customFormat="1" ht="15" customHeight="1">
      <c r="A216" s="348"/>
      <c r="B216" s="215"/>
      <c r="C216" s="209"/>
      <c r="D216" s="362"/>
      <c r="E216" s="165"/>
      <c r="F216" s="228"/>
      <c r="G216" s="341">
        <v>107435</v>
      </c>
      <c r="H216" s="16" t="s">
        <v>11</v>
      </c>
      <c r="I216" s="62"/>
      <c r="J216" s="63"/>
      <c r="K216" s="63"/>
      <c r="L216" s="63"/>
      <c r="M216" s="147">
        <f t="shared" si="50"/>
        <v>0</v>
      </c>
      <c r="N216" s="62"/>
      <c r="O216" s="128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s="13" customFormat="1" ht="15" customHeight="1">
      <c r="A217" s="348"/>
      <c r="B217" s="215"/>
      <c r="C217" s="209"/>
      <c r="D217" s="362"/>
      <c r="E217" s="165"/>
      <c r="F217" s="228"/>
      <c r="G217" s="342"/>
      <c r="H217" s="16" t="s">
        <v>12</v>
      </c>
      <c r="I217" s="62"/>
      <c r="J217" s="63"/>
      <c r="K217" s="63"/>
      <c r="L217" s="63"/>
      <c r="M217" s="147">
        <f t="shared" si="50"/>
        <v>0</v>
      </c>
      <c r="N217" s="62"/>
      <c r="O217" s="128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s="13" customFormat="1" ht="15" customHeight="1">
      <c r="A218" s="348"/>
      <c r="B218" s="215"/>
      <c r="C218" s="209"/>
      <c r="D218" s="362"/>
      <c r="E218" s="165" t="s">
        <v>80</v>
      </c>
      <c r="F218" s="212"/>
      <c r="G218" s="83" t="s">
        <v>13</v>
      </c>
      <c r="H218" s="16" t="s">
        <v>14</v>
      </c>
      <c r="I218" s="62"/>
      <c r="J218" s="63"/>
      <c r="K218" s="63"/>
      <c r="L218" s="63"/>
      <c r="M218" s="147">
        <f t="shared" si="50"/>
        <v>0</v>
      </c>
      <c r="N218" s="62"/>
      <c r="O218" s="128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s="13" customFormat="1" ht="15" customHeight="1">
      <c r="A219" s="348"/>
      <c r="B219" s="215"/>
      <c r="C219" s="209"/>
      <c r="D219" s="362"/>
      <c r="E219" s="165"/>
      <c r="F219" s="227">
        <v>2013</v>
      </c>
      <c r="G219" s="341">
        <v>0</v>
      </c>
      <c r="H219" s="16" t="s">
        <v>15</v>
      </c>
      <c r="I219" s="62"/>
      <c r="J219" s="63"/>
      <c r="K219" s="63"/>
      <c r="L219" s="63"/>
      <c r="M219" s="147">
        <f t="shared" si="50"/>
        <v>0</v>
      </c>
      <c r="N219" s="62"/>
      <c r="O219" s="128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s="13" customFormat="1" ht="15" customHeight="1">
      <c r="A220" s="348"/>
      <c r="B220" s="215"/>
      <c r="C220" s="209"/>
      <c r="D220" s="362"/>
      <c r="E220" s="165"/>
      <c r="F220" s="228"/>
      <c r="G220" s="342"/>
      <c r="H220" s="16" t="s">
        <v>16</v>
      </c>
      <c r="I220" s="62"/>
      <c r="J220" s="63"/>
      <c r="K220" s="63"/>
      <c r="L220" s="63"/>
      <c r="M220" s="147">
        <f t="shared" si="50"/>
        <v>0</v>
      </c>
      <c r="N220" s="62"/>
      <c r="O220" s="128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s="13" customFormat="1" ht="15" customHeight="1">
      <c r="A221" s="348"/>
      <c r="B221" s="215"/>
      <c r="C221" s="209"/>
      <c r="D221" s="362"/>
      <c r="E221" s="165"/>
      <c r="F221" s="228"/>
      <c r="G221" s="83" t="s">
        <v>17</v>
      </c>
      <c r="H221" s="16" t="s">
        <v>18</v>
      </c>
      <c r="I221" s="6">
        <f aca="true" t="shared" si="55" ref="I221:AL221">I215+I217+I219</f>
        <v>70805</v>
      </c>
      <c r="J221" s="7">
        <f t="shared" si="55"/>
        <v>36630</v>
      </c>
      <c r="K221" s="7">
        <f t="shared" si="55"/>
        <v>36630</v>
      </c>
      <c r="L221" s="7">
        <f t="shared" si="55"/>
        <v>36630</v>
      </c>
      <c r="M221" s="123">
        <f t="shared" si="50"/>
        <v>107435</v>
      </c>
      <c r="N221" s="149">
        <f>M221/G216</f>
        <v>1</v>
      </c>
      <c r="O221" s="129">
        <f t="shared" si="55"/>
        <v>0</v>
      </c>
      <c r="P221" s="7">
        <f t="shared" si="55"/>
        <v>0</v>
      </c>
      <c r="Q221" s="7">
        <f t="shared" si="55"/>
        <v>0</v>
      </c>
      <c r="R221" s="7">
        <f t="shared" si="55"/>
        <v>0</v>
      </c>
      <c r="S221" s="7">
        <f t="shared" si="55"/>
        <v>0</v>
      </c>
      <c r="T221" s="7">
        <f t="shared" si="55"/>
        <v>0</v>
      </c>
      <c r="U221" s="7">
        <f t="shared" si="55"/>
        <v>0</v>
      </c>
      <c r="V221" s="7">
        <f t="shared" si="55"/>
        <v>0</v>
      </c>
      <c r="W221" s="7">
        <f t="shared" si="55"/>
        <v>0</v>
      </c>
      <c r="X221" s="7">
        <f t="shared" si="55"/>
        <v>0</v>
      </c>
      <c r="Y221" s="7">
        <f t="shared" si="55"/>
        <v>0</v>
      </c>
      <c r="Z221" s="7">
        <f t="shared" si="55"/>
        <v>0</v>
      </c>
      <c r="AA221" s="7">
        <f t="shared" si="55"/>
        <v>0</v>
      </c>
      <c r="AB221" s="7">
        <f t="shared" si="55"/>
        <v>0</v>
      </c>
      <c r="AC221" s="7">
        <f t="shared" si="55"/>
        <v>0</v>
      </c>
      <c r="AD221" s="7">
        <f t="shared" si="55"/>
        <v>0</v>
      </c>
      <c r="AE221" s="7">
        <f t="shared" si="55"/>
        <v>0</v>
      </c>
      <c r="AF221" s="7">
        <f t="shared" si="55"/>
        <v>0</v>
      </c>
      <c r="AG221" s="7">
        <f t="shared" si="55"/>
        <v>0</v>
      </c>
      <c r="AH221" s="7">
        <f t="shared" si="55"/>
        <v>0</v>
      </c>
      <c r="AI221" s="7">
        <f t="shared" si="55"/>
        <v>0</v>
      </c>
      <c r="AJ221" s="7">
        <f t="shared" si="55"/>
        <v>0</v>
      </c>
      <c r="AK221" s="7">
        <f t="shared" si="55"/>
        <v>0</v>
      </c>
      <c r="AL221" s="7">
        <f t="shared" si="55"/>
        <v>0</v>
      </c>
    </row>
    <row r="222" spans="1:38" s="13" customFormat="1" ht="15" customHeight="1" thickBot="1">
      <c r="A222" s="348"/>
      <c r="B222" s="207"/>
      <c r="C222" s="210"/>
      <c r="D222" s="363"/>
      <c r="E222" s="166"/>
      <c r="F222" s="216"/>
      <c r="G222" s="85">
        <v>107435</v>
      </c>
      <c r="H222" s="17" t="s">
        <v>19</v>
      </c>
      <c r="I222" s="9">
        <f aca="true" t="shared" si="56" ref="I222:AL222">I216+I218+I220</f>
        <v>0</v>
      </c>
      <c r="J222" s="10">
        <f t="shared" si="56"/>
        <v>0</v>
      </c>
      <c r="K222" s="10">
        <f t="shared" si="56"/>
        <v>0</v>
      </c>
      <c r="L222" s="10">
        <f t="shared" si="56"/>
        <v>0</v>
      </c>
      <c r="M222" s="124">
        <f t="shared" si="50"/>
        <v>0</v>
      </c>
      <c r="N222" s="149"/>
      <c r="O222" s="130">
        <f t="shared" si="56"/>
        <v>0</v>
      </c>
      <c r="P222" s="10">
        <f t="shared" si="56"/>
        <v>0</v>
      </c>
      <c r="Q222" s="10">
        <f t="shared" si="56"/>
        <v>0</v>
      </c>
      <c r="R222" s="10">
        <f t="shared" si="56"/>
        <v>0</v>
      </c>
      <c r="S222" s="10">
        <f t="shared" si="56"/>
        <v>0</v>
      </c>
      <c r="T222" s="10">
        <f t="shared" si="56"/>
        <v>0</v>
      </c>
      <c r="U222" s="10">
        <f t="shared" si="56"/>
        <v>0</v>
      </c>
      <c r="V222" s="10">
        <f t="shared" si="56"/>
        <v>0</v>
      </c>
      <c r="W222" s="10">
        <f t="shared" si="56"/>
        <v>0</v>
      </c>
      <c r="X222" s="10">
        <f t="shared" si="56"/>
        <v>0</v>
      </c>
      <c r="Y222" s="10">
        <f t="shared" si="56"/>
        <v>0</v>
      </c>
      <c r="Z222" s="10">
        <f t="shared" si="56"/>
        <v>0</v>
      </c>
      <c r="AA222" s="10">
        <f t="shared" si="56"/>
        <v>0</v>
      </c>
      <c r="AB222" s="10">
        <f t="shared" si="56"/>
        <v>0</v>
      </c>
      <c r="AC222" s="10">
        <f t="shared" si="56"/>
        <v>0</v>
      </c>
      <c r="AD222" s="10">
        <f t="shared" si="56"/>
        <v>0</v>
      </c>
      <c r="AE222" s="10">
        <f t="shared" si="56"/>
        <v>0</v>
      </c>
      <c r="AF222" s="10">
        <f t="shared" si="56"/>
        <v>0</v>
      </c>
      <c r="AG222" s="10">
        <f t="shared" si="56"/>
        <v>0</v>
      </c>
      <c r="AH222" s="10">
        <f t="shared" si="56"/>
        <v>0</v>
      </c>
      <c r="AI222" s="10">
        <f t="shared" si="56"/>
        <v>0</v>
      </c>
      <c r="AJ222" s="10">
        <f t="shared" si="56"/>
        <v>0</v>
      </c>
      <c r="AK222" s="10">
        <f t="shared" si="56"/>
        <v>0</v>
      </c>
      <c r="AL222" s="10">
        <f t="shared" si="56"/>
        <v>0</v>
      </c>
    </row>
    <row r="223" spans="1:38" s="90" customFormat="1" ht="15" customHeight="1">
      <c r="A223" s="354">
        <v>28</v>
      </c>
      <c r="B223" s="356" t="s">
        <v>111</v>
      </c>
      <c r="C223" s="357">
        <v>85201</v>
      </c>
      <c r="D223" s="358" t="s">
        <v>65</v>
      </c>
      <c r="E223" s="167"/>
      <c r="F223" s="223">
        <v>2009</v>
      </c>
      <c r="G223" s="81" t="s">
        <v>9</v>
      </c>
      <c r="H223" s="103" t="s">
        <v>10</v>
      </c>
      <c r="I223" s="59">
        <v>1707372</v>
      </c>
      <c r="J223" s="87">
        <v>559944</v>
      </c>
      <c r="K223" s="87">
        <v>279972</v>
      </c>
      <c r="L223" s="87">
        <v>559944</v>
      </c>
      <c r="M223" s="158">
        <f t="shared" si="50"/>
        <v>1987344</v>
      </c>
      <c r="N223" s="59">
        <v>0</v>
      </c>
      <c r="O223" s="132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</row>
    <row r="224" spans="1:38" s="90" customFormat="1" ht="12.75">
      <c r="A224" s="348"/>
      <c r="B224" s="349"/>
      <c r="C224" s="351"/>
      <c r="D224" s="353"/>
      <c r="E224" s="168"/>
      <c r="F224" s="361"/>
      <c r="G224" s="341">
        <v>2267316</v>
      </c>
      <c r="H224" s="104" t="s">
        <v>11</v>
      </c>
      <c r="I224" s="92"/>
      <c r="J224" s="93"/>
      <c r="K224" s="93"/>
      <c r="L224" s="93"/>
      <c r="M224" s="159">
        <f t="shared" si="50"/>
        <v>0</v>
      </c>
      <c r="N224" s="92"/>
      <c r="O224" s="133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</row>
    <row r="225" spans="1:38" s="90" customFormat="1" ht="15" customHeight="1">
      <c r="A225" s="348"/>
      <c r="B225" s="349"/>
      <c r="C225" s="351"/>
      <c r="D225" s="353"/>
      <c r="E225" s="168"/>
      <c r="F225" s="361"/>
      <c r="G225" s="342"/>
      <c r="H225" s="104" t="s">
        <v>12</v>
      </c>
      <c r="I225" s="92"/>
      <c r="J225" s="93"/>
      <c r="K225" s="93"/>
      <c r="L225" s="93"/>
      <c r="M225" s="159">
        <f t="shared" si="50"/>
        <v>0</v>
      </c>
      <c r="N225" s="92"/>
      <c r="O225" s="133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</row>
    <row r="226" spans="1:38" s="90" customFormat="1" ht="15" customHeight="1">
      <c r="A226" s="348"/>
      <c r="B226" s="349"/>
      <c r="C226" s="351"/>
      <c r="D226" s="353"/>
      <c r="E226" s="168"/>
      <c r="F226" s="224"/>
      <c r="G226" s="83" t="s">
        <v>13</v>
      </c>
      <c r="H226" s="104" t="s">
        <v>14</v>
      </c>
      <c r="I226" s="92"/>
      <c r="J226" s="93"/>
      <c r="K226" s="93"/>
      <c r="L226" s="93"/>
      <c r="M226" s="159">
        <f t="shared" si="50"/>
        <v>0</v>
      </c>
      <c r="N226" s="92"/>
      <c r="O226" s="133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</row>
    <row r="227" spans="1:38" s="90" customFormat="1" ht="15" customHeight="1">
      <c r="A227" s="348"/>
      <c r="B227" s="349"/>
      <c r="C227" s="351"/>
      <c r="D227" s="353"/>
      <c r="E227" s="168"/>
      <c r="F227" s="360">
        <v>2013</v>
      </c>
      <c r="G227" s="341">
        <v>0</v>
      </c>
      <c r="H227" s="104" t="s">
        <v>15</v>
      </c>
      <c r="I227" s="92"/>
      <c r="J227" s="93"/>
      <c r="K227" s="93"/>
      <c r="L227" s="93"/>
      <c r="M227" s="159">
        <f t="shared" si="50"/>
        <v>0</v>
      </c>
      <c r="N227" s="92"/>
      <c r="O227" s="133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</row>
    <row r="228" spans="1:38" s="90" customFormat="1" ht="15" customHeight="1">
      <c r="A228" s="348"/>
      <c r="B228" s="349"/>
      <c r="C228" s="351"/>
      <c r="D228" s="353"/>
      <c r="E228" s="168"/>
      <c r="F228" s="361"/>
      <c r="G228" s="342"/>
      <c r="H228" s="104" t="s">
        <v>16</v>
      </c>
      <c r="I228" s="92"/>
      <c r="J228" s="93"/>
      <c r="K228" s="93"/>
      <c r="L228" s="93"/>
      <c r="M228" s="159">
        <f t="shared" si="50"/>
        <v>0</v>
      </c>
      <c r="N228" s="92"/>
      <c r="O228" s="133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</row>
    <row r="229" spans="1:38" s="90" customFormat="1" ht="15" customHeight="1">
      <c r="A229" s="348"/>
      <c r="B229" s="349"/>
      <c r="C229" s="351"/>
      <c r="D229" s="353"/>
      <c r="E229" s="168"/>
      <c r="F229" s="361"/>
      <c r="G229" s="83" t="s">
        <v>17</v>
      </c>
      <c r="H229" s="104" t="s">
        <v>18</v>
      </c>
      <c r="I229" s="96">
        <f aca="true" t="shared" si="57" ref="I229:AL230">I223+I225+I227</f>
        <v>1707372</v>
      </c>
      <c r="J229" s="97">
        <f t="shared" si="57"/>
        <v>559944</v>
      </c>
      <c r="K229" s="97">
        <f t="shared" si="57"/>
        <v>279972</v>
      </c>
      <c r="L229" s="97">
        <f t="shared" si="57"/>
        <v>559944</v>
      </c>
      <c r="M229" s="98">
        <f t="shared" si="50"/>
        <v>1987344</v>
      </c>
      <c r="N229" s="149">
        <f>M229/G224</f>
        <v>0.8765183150473952</v>
      </c>
      <c r="O229" s="134">
        <f t="shared" si="57"/>
        <v>0</v>
      </c>
      <c r="P229" s="97">
        <f t="shared" si="57"/>
        <v>0</v>
      </c>
      <c r="Q229" s="97">
        <f t="shared" si="57"/>
        <v>0</v>
      </c>
      <c r="R229" s="97">
        <f t="shared" si="57"/>
        <v>0</v>
      </c>
      <c r="S229" s="97">
        <f t="shared" si="57"/>
        <v>0</v>
      </c>
      <c r="T229" s="97">
        <f t="shared" si="57"/>
        <v>0</v>
      </c>
      <c r="U229" s="97">
        <f t="shared" si="57"/>
        <v>0</v>
      </c>
      <c r="V229" s="97">
        <f t="shared" si="57"/>
        <v>0</v>
      </c>
      <c r="W229" s="97">
        <f t="shared" si="57"/>
        <v>0</v>
      </c>
      <c r="X229" s="97">
        <f t="shared" si="57"/>
        <v>0</v>
      </c>
      <c r="Y229" s="97">
        <f t="shared" si="57"/>
        <v>0</v>
      </c>
      <c r="Z229" s="97">
        <f t="shared" si="57"/>
        <v>0</v>
      </c>
      <c r="AA229" s="97">
        <f t="shared" si="57"/>
        <v>0</v>
      </c>
      <c r="AB229" s="97">
        <f t="shared" si="57"/>
        <v>0</v>
      </c>
      <c r="AC229" s="97">
        <f t="shared" si="57"/>
        <v>0</v>
      </c>
      <c r="AD229" s="97">
        <f t="shared" si="57"/>
        <v>0</v>
      </c>
      <c r="AE229" s="97">
        <f t="shared" si="57"/>
        <v>0</v>
      </c>
      <c r="AF229" s="97">
        <f t="shared" si="57"/>
        <v>0</v>
      </c>
      <c r="AG229" s="97">
        <f t="shared" si="57"/>
        <v>0</v>
      </c>
      <c r="AH229" s="97">
        <f t="shared" si="57"/>
        <v>0</v>
      </c>
      <c r="AI229" s="97">
        <f t="shared" si="57"/>
        <v>0</v>
      </c>
      <c r="AJ229" s="97">
        <f t="shared" si="57"/>
        <v>0</v>
      </c>
      <c r="AK229" s="97">
        <f t="shared" si="57"/>
        <v>0</v>
      </c>
      <c r="AL229" s="98">
        <f t="shared" si="57"/>
        <v>0</v>
      </c>
    </row>
    <row r="230" spans="1:38" s="90" customFormat="1" ht="15" customHeight="1" thickBot="1">
      <c r="A230" s="355"/>
      <c r="B230" s="350"/>
      <c r="C230" s="352"/>
      <c r="D230" s="359"/>
      <c r="E230" s="169"/>
      <c r="F230" s="248"/>
      <c r="G230" s="85">
        <v>2267316</v>
      </c>
      <c r="H230" s="105" t="s">
        <v>19</v>
      </c>
      <c r="I230" s="100">
        <f t="shared" si="57"/>
        <v>0</v>
      </c>
      <c r="J230" s="101">
        <f t="shared" si="57"/>
        <v>0</v>
      </c>
      <c r="K230" s="101">
        <f t="shared" si="57"/>
        <v>0</v>
      </c>
      <c r="L230" s="101">
        <f t="shared" si="57"/>
        <v>0</v>
      </c>
      <c r="M230" s="102">
        <f t="shared" si="50"/>
        <v>0</v>
      </c>
      <c r="N230" s="150"/>
      <c r="O230" s="135">
        <f t="shared" si="57"/>
        <v>0</v>
      </c>
      <c r="P230" s="101">
        <f t="shared" si="57"/>
        <v>0</v>
      </c>
      <c r="Q230" s="101">
        <f t="shared" si="57"/>
        <v>0</v>
      </c>
      <c r="R230" s="101">
        <f t="shared" si="57"/>
        <v>0</v>
      </c>
      <c r="S230" s="101">
        <f t="shared" si="57"/>
        <v>0</v>
      </c>
      <c r="T230" s="101">
        <f t="shared" si="57"/>
        <v>0</v>
      </c>
      <c r="U230" s="101">
        <f t="shared" si="57"/>
        <v>0</v>
      </c>
      <c r="V230" s="101">
        <f t="shared" si="57"/>
        <v>0</v>
      </c>
      <c r="W230" s="101">
        <f t="shared" si="57"/>
        <v>0</v>
      </c>
      <c r="X230" s="101">
        <f t="shared" si="57"/>
        <v>0</v>
      </c>
      <c r="Y230" s="101">
        <f t="shared" si="57"/>
        <v>0</v>
      </c>
      <c r="Z230" s="101">
        <f t="shared" si="57"/>
        <v>0</v>
      </c>
      <c r="AA230" s="101">
        <f t="shared" si="57"/>
        <v>0</v>
      </c>
      <c r="AB230" s="101">
        <f t="shared" si="57"/>
        <v>0</v>
      </c>
      <c r="AC230" s="101">
        <f t="shared" si="57"/>
        <v>0</v>
      </c>
      <c r="AD230" s="101">
        <f t="shared" si="57"/>
        <v>0</v>
      </c>
      <c r="AE230" s="101">
        <f t="shared" si="57"/>
        <v>0</v>
      </c>
      <c r="AF230" s="101">
        <f t="shared" si="57"/>
        <v>0</v>
      </c>
      <c r="AG230" s="101">
        <f t="shared" si="57"/>
        <v>0</v>
      </c>
      <c r="AH230" s="101">
        <f t="shared" si="57"/>
        <v>0</v>
      </c>
      <c r="AI230" s="101">
        <f t="shared" si="57"/>
        <v>0</v>
      </c>
      <c r="AJ230" s="101">
        <f t="shared" si="57"/>
        <v>0</v>
      </c>
      <c r="AK230" s="101">
        <f t="shared" si="57"/>
        <v>0</v>
      </c>
      <c r="AL230" s="102">
        <f t="shared" si="57"/>
        <v>0</v>
      </c>
    </row>
    <row r="231" spans="1:38" s="90" customFormat="1" ht="15" customHeight="1">
      <c r="A231" s="354">
        <v>29</v>
      </c>
      <c r="B231" s="356" t="s">
        <v>112</v>
      </c>
      <c r="C231" s="357">
        <v>85201</v>
      </c>
      <c r="D231" s="358" t="s">
        <v>65</v>
      </c>
      <c r="E231" s="168"/>
      <c r="F231" s="361">
        <v>2009</v>
      </c>
      <c r="G231" s="81" t="s">
        <v>9</v>
      </c>
      <c r="H231" s="103" t="s">
        <v>10</v>
      </c>
      <c r="I231" s="59">
        <v>521834</v>
      </c>
      <c r="J231" s="87">
        <v>168925</v>
      </c>
      <c r="K231" s="87">
        <v>79592</v>
      </c>
      <c r="L231" s="87">
        <v>182925</v>
      </c>
      <c r="M231" s="158">
        <f t="shared" si="50"/>
        <v>601426</v>
      </c>
      <c r="N231" s="59">
        <v>0</v>
      </c>
      <c r="O231" s="132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</row>
    <row r="232" spans="1:38" s="90" customFormat="1" ht="15" customHeight="1">
      <c r="A232" s="348"/>
      <c r="B232" s="349"/>
      <c r="C232" s="351"/>
      <c r="D232" s="353"/>
      <c r="E232" s="168"/>
      <c r="F232" s="361"/>
      <c r="G232" s="341">
        <v>732990</v>
      </c>
      <c r="H232" s="104" t="s">
        <v>11</v>
      </c>
      <c r="I232" s="92"/>
      <c r="J232" s="93"/>
      <c r="K232" s="93"/>
      <c r="L232" s="93"/>
      <c r="M232" s="159">
        <f t="shared" si="50"/>
        <v>0</v>
      </c>
      <c r="N232" s="92"/>
      <c r="O232" s="133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</row>
    <row r="233" spans="1:38" s="90" customFormat="1" ht="15" customHeight="1">
      <c r="A233" s="348"/>
      <c r="B233" s="349"/>
      <c r="C233" s="351"/>
      <c r="D233" s="353"/>
      <c r="E233" s="168"/>
      <c r="F233" s="361"/>
      <c r="G233" s="342"/>
      <c r="H233" s="104" t="s">
        <v>12</v>
      </c>
      <c r="I233" s="92"/>
      <c r="J233" s="93"/>
      <c r="K233" s="93"/>
      <c r="L233" s="93"/>
      <c r="M233" s="159">
        <f t="shared" si="50"/>
        <v>0</v>
      </c>
      <c r="N233" s="92"/>
      <c r="O233" s="133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</row>
    <row r="234" spans="1:38" s="90" customFormat="1" ht="15" customHeight="1">
      <c r="A234" s="348"/>
      <c r="B234" s="349"/>
      <c r="C234" s="351"/>
      <c r="D234" s="353"/>
      <c r="E234" s="168"/>
      <c r="F234" s="224"/>
      <c r="G234" s="83" t="s">
        <v>13</v>
      </c>
      <c r="H234" s="104" t="s">
        <v>14</v>
      </c>
      <c r="I234" s="92"/>
      <c r="J234" s="93"/>
      <c r="K234" s="93"/>
      <c r="L234" s="93"/>
      <c r="M234" s="159">
        <f t="shared" si="50"/>
        <v>0</v>
      </c>
      <c r="N234" s="92"/>
      <c r="O234" s="133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</row>
    <row r="235" spans="1:38" s="90" customFormat="1" ht="15" customHeight="1">
      <c r="A235" s="348"/>
      <c r="B235" s="349"/>
      <c r="C235" s="351"/>
      <c r="D235" s="353"/>
      <c r="E235" s="168"/>
      <c r="F235" s="360">
        <v>2014</v>
      </c>
      <c r="G235" s="341">
        <v>0</v>
      </c>
      <c r="H235" s="104" t="s">
        <v>15</v>
      </c>
      <c r="I235" s="92"/>
      <c r="J235" s="93"/>
      <c r="K235" s="93"/>
      <c r="L235" s="93"/>
      <c r="M235" s="159">
        <f t="shared" si="50"/>
        <v>0</v>
      </c>
      <c r="N235" s="92"/>
      <c r="O235" s="133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</row>
    <row r="236" spans="1:40" s="90" customFormat="1" ht="15" customHeight="1">
      <c r="A236" s="348"/>
      <c r="B236" s="349"/>
      <c r="C236" s="351"/>
      <c r="D236" s="353"/>
      <c r="E236" s="168"/>
      <c r="F236" s="361"/>
      <c r="G236" s="342"/>
      <c r="H236" s="104" t="s">
        <v>16</v>
      </c>
      <c r="I236" s="92"/>
      <c r="J236" s="93"/>
      <c r="K236" s="93"/>
      <c r="L236" s="93"/>
      <c r="M236" s="159">
        <f t="shared" si="50"/>
        <v>0</v>
      </c>
      <c r="N236" s="92"/>
      <c r="O236" s="133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N236" s="115"/>
    </row>
    <row r="237" spans="1:38" s="90" customFormat="1" ht="15" customHeight="1">
      <c r="A237" s="348"/>
      <c r="B237" s="349"/>
      <c r="C237" s="351"/>
      <c r="D237" s="353"/>
      <c r="E237" s="168"/>
      <c r="F237" s="361"/>
      <c r="G237" s="83" t="s">
        <v>17</v>
      </c>
      <c r="H237" s="104" t="s">
        <v>18</v>
      </c>
      <c r="I237" s="96">
        <f aca="true" t="shared" si="58" ref="I237:AL238">I231+I233+I235</f>
        <v>521834</v>
      </c>
      <c r="J237" s="97">
        <f t="shared" si="58"/>
        <v>168925</v>
      </c>
      <c r="K237" s="97">
        <f t="shared" si="58"/>
        <v>79592</v>
      </c>
      <c r="L237" s="97">
        <f t="shared" si="58"/>
        <v>182925</v>
      </c>
      <c r="M237" s="98">
        <f t="shared" si="50"/>
        <v>601426</v>
      </c>
      <c r="N237" s="149">
        <f>M237/G232</f>
        <v>0.8205105117395872</v>
      </c>
      <c r="O237" s="134">
        <f t="shared" si="58"/>
        <v>0</v>
      </c>
      <c r="P237" s="97">
        <f t="shared" si="58"/>
        <v>0</v>
      </c>
      <c r="Q237" s="97">
        <f t="shared" si="58"/>
        <v>0</v>
      </c>
      <c r="R237" s="97">
        <f t="shared" si="58"/>
        <v>0</v>
      </c>
      <c r="S237" s="97">
        <f t="shared" si="58"/>
        <v>0</v>
      </c>
      <c r="T237" s="97">
        <f t="shared" si="58"/>
        <v>0</v>
      </c>
      <c r="U237" s="97">
        <f t="shared" si="58"/>
        <v>0</v>
      </c>
      <c r="V237" s="97">
        <f t="shared" si="58"/>
        <v>0</v>
      </c>
      <c r="W237" s="97">
        <f t="shared" si="58"/>
        <v>0</v>
      </c>
      <c r="X237" s="97">
        <f t="shared" si="58"/>
        <v>0</v>
      </c>
      <c r="Y237" s="97">
        <f t="shared" si="58"/>
        <v>0</v>
      </c>
      <c r="Z237" s="97">
        <f t="shared" si="58"/>
        <v>0</v>
      </c>
      <c r="AA237" s="97">
        <f t="shared" si="58"/>
        <v>0</v>
      </c>
      <c r="AB237" s="97">
        <f t="shared" si="58"/>
        <v>0</v>
      </c>
      <c r="AC237" s="97">
        <f t="shared" si="58"/>
        <v>0</v>
      </c>
      <c r="AD237" s="97">
        <f t="shared" si="58"/>
        <v>0</v>
      </c>
      <c r="AE237" s="97">
        <f t="shared" si="58"/>
        <v>0</v>
      </c>
      <c r="AF237" s="97">
        <f t="shared" si="58"/>
        <v>0</v>
      </c>
      <c r="AG237" s="97">
        <f t="shared" si="58"/>
        <v>0</v>
      </c>
      <c r="AH237" s="97">
        <f t="shared" si="58"/>
        <v>0</v>
      </c>
      <c r="AI237" s="97">
        <f t="shared" si="58"/>
        <v>0</v>
      </c>
      <c r="AJ237" s="97">
        <f t="shared" si="58"/>
        <v>0</v>
      </c>
      <c r="AK237" s="97">
        <f t="shared" si="58"/>
        <v>0</v>
      </c>
      <c r="AL237" s="98">
        <f t="shared" si="58"/>
        <v>0</v>
      </c>
    </row>
    <row r="238" spans="1:38" s="90" customFormat="1" ht="15" customHeight="1" thickBot="1">
      <c r="A238" s="348"/>
      <c r="B238" s="350"/>
      <c r="C238" s="352"/>
      <c r="D238" s="353"/>
      <c r="E238" s="168"/>
      <c r="F238" s="248"/>
      <c r="G238" s="85">
        <v>732990</v>
      </c>
      <c r="H238" s="105" t="s">
        <v>19</v>
      </c>
      <c r="I238" s="100">
        <f t="shared" si="58"/>
        <v>0</v>
      </c>
      <c r="J238" s="101">
        <f t="shared" si="58"/>
        <v>0</v>
      </c>
      <c r="K238" s="101">
        <f t="shared" si="58"/>
        <v>0</v>
      </c>
      <c r="L238" s="101">
        <f t="shared" si="58"/>
        <v>0</v>
      </c>
      <c r="M238" s="102">
        <f t="shared" si="50"/>
        <v>0</v>
      </c>
      <c r="N238" s="149"/>
      <c r="O238" s="135">
        <f t="shared" si="58"/>
        <v>0</v>
      </c>
      <c r="P238" s="101">
        <f t="shared" si="58"/>
        <v>0</v>
      </c>
      <c r="Q238" s="101">
        <f t="shared" si="58"/>
        <v>0</v>
      </c>
      <c r="R238" s="101">
        <f t="shared" si="58"/>
        <v>0</v>
      </c>
      <c r="S238" s="101">
        <f t="shared" si="58"/>
        <v>0</v>
      </c>
      <c r="T238" s="101">
        <f t="shared" si="58"/>
        <v>0</v>
      </c>
      <c r="U238" s="101">
        <f t="shared" si="58"/>
        <v>0</v>
      </c>
      <c r="V238" s="101">
        <f t="shared" si="58"/>
        <v>0</v>
      </c>
      <c r="W238" s="101">
        <f t="shared" si="58"/>
        <v>0</v>
      </c>
      <c r="X238" s="101">
        <f t="shared" si="58"/>
        <v>0</v>
      </c>
      <c r="Y238" s="101">
        <f t="shared" si="58"/>
        <v>0</v>
      </c>
      <c r="Z238" s="101">
        <f t="shared" si="58"/>
        <v>0</v>
      </c>
      <c r="AA238" s="101">
        <f t="shared" si="58"/>
        <v>0</v>
      </c>
      <c r="AB238" s="101">
        <f t="shared" si="58"/>
        <v>0</v>
      </c>
      <c r="AC238" s="101">
        <f t="shared" si="58"/>
        <v>0</v>
      </c>
      <c r="AD238" s="101">
        <f t="shared" si="58"/>
        <v>0</v>
      </c>
      <c r="AE238" s="101">
        <f t="shared" si="58"/>
        <v>0</v>
      </c>
      <c r="AF238" s="101">
        <f t="shared" si="58"/>
        <v>0</v>
      </c>
      <c r="AG238" s="101">
        <f t="shared" si="58"/>
        <v>0</v>
      </c>
      <c r="AH238" s="101">
        <f t="shared" si="58"/>
        <v>0</v>
      </c>
      <c r="AI238" s="101">
        <f t="shared" si="58"/>
        <v>0</v>
      </c>
      <c r="AJ238" s="101">
        <f t="shared" si="58"/>
        <v>0</v>
      </c>
      <c r="AK238" s="101">
        <f t="shared" si="58"/>
        <v>0</v>
      </c>
      <c r="AL238" s="101">
        <f t="shared" si="58"/>
        <v>0</v>
      </c>
    </row>
    <row r="239" spans="1:38" s="90" customFormat="1" ht="15" customHeight="1">
      <c r="A239" s="354">
        <v>30</v>
      </c>
      <c r="B239" s="356" t="s">
        <v>113</v>
      </c>
      <c r="C239" s="357">
        <v>85201</v>
      </c>
      <c r="D239" s="358" t="s">
        <v>65</v>
      </c>
      <c r="E239" s="167"/>
      <c r="F239" s="223">
        <v>2008</v>
      </c>
      <c r="G239" s="81" t="s">
        <v>9</v>
      </c>
      <c r="H239" s="103" t="s">
        <v>10</v>
      </c>
      <c r="I239" s="59">
        <v>696076</v>
      </c>
      <c r="J239" s="87">
        <v>89868</v>
      </c>
      <c r="K239" s="87">
        <v>0</v>
      </c>
      <c r="L239" s="87">
        <v>0</v>
      </c>
      <c r="M239" s="158">
        <f t="shared" si="50"/>
        <v>696076</v>
      </c>
      <c r="N239" s="59">
        <v>0</v>
      </c>
      <c r="O239" s="132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</row>
    <row r="240" spans="1:38" s="90" customFormat="1" ht="15" customHeight="1">
      <c r="A240" s="348"/>
      <c r="B240" s="349"/>
      <c r="C240" s="351"/>
      <c r="D240" s="353"/>
      <c r="E240" s="168"/>
      <c r="F240" s="361"/>
      <c r="G240" s="341">
        <v>785944</v>
      </c>
      <c r="H240" s="104" t="s">
        <v>11</v>
      </c>
      <c r="I240" s="92"/>
      <c r="J240" s="93"/>
      <c r="K240" s="93"/>
      <c r="L240" s="93"/>
      <c r="M240" s="159">
        <f t="shared" si="50"/>
        <v>0</v>
      </c>
      <c r="N240" s="92"/>
      <c r="O240" s="133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</row>
    <row r="241" spans="1:38" s="90" customFormat="1" ht="15" customHeight="1">
      <c r="A241" s="348"/>
      <c r="B241" s="349"/>
      <c r="C241" s="351"/>
      <c r="D241" s="353"/>
      <c r="E241" s="168"/>
      <c r="F241" s="361"/>
      <c r="G241" s="342"/>
      <c r="H241" s="104" t="s">
        <v>12</v>
      </c>
      <c r="I241" s="92"/>
      <c r="J241" s="93"/>
      <c r="K241" s="93"/>
      <c r="L241" s="93"/>
      <c r="M241" s="159">
        <f t="shared" si="50"/>
        <v>0</v>
      </c>
      <c r="N241" s="92"/>
      <c r="O241" s="133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</row>
    <row r="242" spans="1:38" s="90" customFormat="1" ht="15" customHeight="1">
      <c r="A242" s="348"/>
      <c r="B242" s="349"/>
      <c r="C242" s="351"/>
      <c r="D242" s="353"/>
      <c r="E242" s="168"/>
      <c r="F242" s="224"/>
      <c r="G242" s="83" t="s">
        <v>13</v>
      </c>
      <c r="H242" s="104" t="s">
        <v>14</v>
      </c>
      <c r="I242" s="92"/>
      <c r="J242" s="93"/>
      <c r="K242" s="93"/>
      <c r="L242" s="93"/>
      <c r="M242" s="159">
        <f t="shared" si="50"/>
        <v>0</v>
      </c>
      <c r="N242" s="92"/>
      <c r="O242" s="133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</row>
    <row r="243" spans="1:38" s="90" customFormat="1" ht="15" customHeight="1">
      <c r="A243" s="348"/>
      <c r="B243" s="349"/>
      <c r="C243" s="351"/>
      <c r="D243" s="353"/>
      <c r="E243" s="168"/>
      <c r="F243" s="360">
        <v>2013</v>
      </c>
      <c r="G243" s="341">
        <v>0</v>
      </c>
      <c r="H243" s="104" t="s">
        <v>15</v>
      </c>
      <c r="I243" s="92"/>
      <c r="J243" s="93"/>
      <c r="K243" s="93"/>
      <c r="L243" s="93"/>
      <c r="M243" s="159">
        <f t="shared" si="50"/>
        <v>0</v>
      </c>
      <c r="N243" s="92"/>
      <c r="O243" s="133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</row>
    <row r="244" spans="1:38" s="90" customFormat="1" ht="15" customHeight="1">
      <c r="A244" s="348"/>
      <c r="B244" s="349"/>
      <c r="C244" s="351"/>
      <c r="D244" s="353"/>
      <c r="E244" s="168"/>
      <c r="F244" s="361"/>
      <c r="G244" s="342"/>
      <c r="H244" s="104" t="s">
        <v>16</v>
      </c>
      <c r="I244" s="92"/>
      <c r="J244" s="93"/>
      <c r="K244" s="93"/>
      <c r="L244" s="93"/>
      <c r="M244" s="159">
        <f t="shared" si="50"/>
        <v>0</v>
      </c>
      <c r="N244" s="92"/>
      <c r="O244" s="133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</row>
    <row r="245" spans="1:38" s="90" customFormat="1" ht="15" customHeight="1">
      <c r="A245" s="348"/>
      <c r="B245" s="349"/>
      <c r="C245" s="351"/>
      <c r="D245" s="353"/>
      <c r="E245" s="168"/>
      <c r="F245" s="361"/>
      <c r="G245" s="83" t="s">
        <v>17</v>
      </c>
      <c r="H245" s="104" t="s">
        <v>18</v>
      </c>
      <c r="I245" s="96">
        <f aca="true" t="shared" si="59" ref="I245:AL246">I239+I241+I243</f>
        <v>696076</v>
      </c>
      <c r="J245" s="97">
        <f t="shared" si="59"/>
        <v>89868</v>
      </c>
      <c r="K245" s="97">
        <f t="shared" si="59"/>
        <v>0</v>
      </c>
      <c r="L245" s="97">
        <f t="shared" si="59"/>
        <v>0</v>
      </c>
      <c r="M245" s="98">
        <f t="shared" si="50"/>
        <v>696076</v>
      </c>
      <c r="N245" s="149">
        <f>M245/G240</f>
        <v>0.8856559754893478</v>
      </c>
      <c r="O245" s="134">
        <f t="shared" si="59"/>
        <v>0</v>
      </c>
      <c r="P245" s="97">
        <f t="shared" si="59"/>
        <v>0</v>
      </c>
      <c r="Q245" s="97">
        <f t="shared" si="59"/>
        <v>0</v>
      </c>
      <c r="R245" s="97">
        <f t="shared" si="59"/>
        <v>0</v>
      </c>
      <c r="S245" s="97">
        <f t="shared" si="59"/>
        <v>0</v>
      </c>
      <c r="T245" s="97">
        <f t="shared" si="59"/>
        <v>0</v>
      </c>
      <c r="U245" s="97">
        <f t="shared" si="59"/>
        <v>0</v>
      </c>
      <c r="V245" s="97">
        <f t="shared" si="59"/>
        <v>0</v>
      </c>
      <c r="W245" s="97">
        <f t="shared" si="59"/>
        <v>0</v>
      </c>
      <c r="X245" s="97">
        <f t="shared" si="59"/>
        <v>0</v>
      </c>
      <c r="Y245" s="97">
        <f t="shared" si="59"/>
        <v>0</v>
      </c>
      <c r="Z245" s="97">
        <f t="shared" si="59"/>
        <v>0</v>
      </c>
      <c r="AA245" s="97">
        <f t="shared" si="59"/>
        <v>0</v>
      </c>
      <c r="AB245" s="97">
        <f t="shared" si="59"/>
        <v>0</v>
      </c>
      <c r="AC245" s="97">
        <f t="shared" si="59"/>
        <v>0</v>
      </c>
      <c r="AD245" s="97">
        <f t="shared" si="59"/>
        <v>0</v>
      </c>
      <c r="AE245" s="97">
        <f t="shared" si="59"/>
        <v>0</v>
      </c>
      <c r="AF245" s="97">
        <f t="shared" si="59"/>
        <v>0</v>
      </c>
      <c r="AG245" s="97">
        <f t="shared" si="59"/>
        <v>0</v>
      </c>
      <c r="AH245" s="97">
        <f t="shared" si="59"/>
        <v>0</v>
      </c>
      <c r="AI245" s="97">
        <f t="shared" si="59"/>
        <v>0</v>
      </c>
      <c r="AJ245" s="97">
        <f t="shared" si="59"/>
        <v>0</v>
      </c>
      <c r="AK245" s="97">
        <f t="shared" si="59"/>
        <v>0</v>
      </c>
      <c r="AL245" s="97">
        <f t="shared" si="59"/>
        <v>0</v>
      </c>
    </row>
    <row r="246" spans="1:38" s="90" customFormat="1" ht="15" customHeight="1" thickBot="1">
      <c r="A246" s="348"/>
      <c r="B246" s="350"/>
      <c r="C246" s="352"/>
      <c r="D246" s="359"/>
      <c r="E246" s="169"/>
      <c r="F246" s="248"/>
      <c r="G246" s="85">
        <v>785944</v>
      </c>
      <c r="H246" s="105" t="s">
        <v>19</v>
      </c>
      <c r="I246" s="100">
        <f t="shared" si="59"/>
        <v>0</v>
      </c>
      <c r="J246" s="101">
        <f t="shared" si="59"/>
        <v>0</v>
      </c>
      <c r="K246" s="101">
        <f t="shared" si="59"/>
        <v>0</v>
      </c>
      <c r="L246" s="101">
        <f t="shared" si="59"/>
        <v>0</v>
      </c>
      <c r="M246" s="102">
        <f t="shared" si="50"/>
        <v>0</v>
      </c>
      <c r="N246" s="149"/>
      <c r="O246" s="135">
        <f t="shared" si="59"/>
        <v>0</v>
      </c>
      <c r="P246" s="101">
        <f t="shared" si="59"/>
        <v>0</v>
      </c>
      <c r="Q246" s="101">
        <f t="shared" si="59"/>
        <v>0</v>
      </c>
      <c r="R246" s="101">
        <f t="shared" si="59"/>
        <v>0</v>
      </c>
      <c r="S246" s="101">
        <f t="shared" si="59"/>
        <v>0</v>
      </c>
      <c r="T246" s="101">
        <f t="shared" si="59"/>
        <v>0</v>
      </c>
      <c r="U246" s="101">
        <f t="shared" si="59"/>
        <v>0</v>
      </c>
      <c r="V246" s="101">
        <f t="shared" si="59"/>
        <v>0</v>
      </c>
      <c r="W246" s="101">
        <f t="shared" si="59"/>
        <v>0</v>
      </c>
      <c r="X246" s="101">
        <f t="shared" si="59"/>
        <v>0</v>
      </c>
      <c r="Y246" s="101">
        <f t="shared" si="59"/>
        <v>0</v>
      </c>
      <c r="Z246" s="101">
        <f t="shared" si="59"/>
        <v>0</v>
      </c>
      <c r="AA246" s="101">
        <f t="shared" si="59"/>
        <v>0</v>
      </c>
      <c r="AB246" s="101">
        <f t="shared" si="59"/>
        <v>0</v>
      </c>
      <c r="AC246" s="101">
        <f t="shared" si="59"/>
        <v>0</v>
      </c>
      <c r="AD246" s="101">
        <f t="shared" si="59"/>
        <v>0</v>
      </c>
      <c r="AE246" s="101">
        <f t="shared" si="59"/>
        <v>0</v>
      </c>
      <c r="AF246" s="101">
        <f t="shared" si="59"/>
        <v>0</v>
      </c>
      <c r="AG246" s="101">
        <f t="shared" si="59"/>
        <v>0</v>
      </c>
      <c r="AH246" s="101">
        <f t="shared" si="59"/>
        <v>0</v>
      </c>
      <c r="AI246" s="101">
        <f t="shared" si="59"/>
        <v>0</v>
      </c>
      <c r="AJ246" s="101">
        <f t="shared" si="59"/>
        <v>0</v>
      </c>
      <c r="AK246" s="101">
        <f t="shared" si="59"/>
        <v>0</v>
      </c>
      <c r="AL246" s="101">
        <f t="shared" si="59"/>
        <v>0</v>
      </c>
    </row>
    <row r="247" spans="1:38" s="90" customFormat="1" ht="14.25" customHeight="1">
      <c r="A247" s="354">
        <v>31</v>
      </c>
      <c r="B247" s="356" t="s">
        <v>114</v>
      </c>
      <c r="C247" s="357">
        <v>85201</v>
      </c>
      <c r="D247" s="358" t="s">
        <v>65</v>
      </c>
      <c r="E247" s="167"/>
      <c r="F247" s="223">
        <v>2011</v>
      </c>
      <c r="G247" s="81" t="s">
        <v>9</v>
      </c>
      <c r="H247" s="103" t="s">
        <v>10</v>
      </c>
      <c r="I247" s="59">
        <v>369600</v>
      </c>
      <c r="J247" s="87">
        <v>554400</v>
      </c>
      <c r="K247" s="87">
        <v>277200</v>
      </c>
      <c r="L247" s="87">
        <v>554400</v>
      </c>
      <c r="M247" s="158">
        <f t="shared" si="50"/>
        <v>646800</v>
      </c>
      <c r="N247" s="59">
        <v>0</v>
      </c>
      <c r="O247" s="132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</row>
    <row r="248" spans="1:38" s="90" customFormat="1" ht="14.25" customHeight="1">
      <c r="A248" s="348"/>
      <c r="B248" s="349"/>
      <c r="C248" s="351"/>
      <c r="D248" s="353"/>
      <c r="E248" s="168"/>
      <c r="F248" s="361"/>
      <c r="G248" s="341">
        <v>2217600</v>
      </c>
      <c r="H248" s="104" t="s">
        <v>11</v>
      </c>
      <c r="I248" s="92"/>
      <c r="J248" s="93"/>
      <c r="K248" s="93"/>
      <c r="L248" s="93"/>
      <c r="M248" s="159">
        <f t="shared" si="50"/>
        <v>0</v>
      </c>
      <c r="N248" s="92"/>
      <c r="O248" s="133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</row>
    <row r="249" spans="1:38" s="90" customFormat="1" ht="14.25" customHeight="1">
      <c r="A249" s="348"/>
      <c r="B249" s="349"/>
      <c r="C249" s="351"/>
      <c r="D249" s="353"/>
      <c r="E249" s="168"/>
      <c r="F249" s="361"/>
      <c r="G249" s="342"/>
      <c r="H249" s="104" t="s">
        <v>12</v>
      </c>
      <c r="I249" s="92"/>
      <c r="J249" s="93"/>
      <c r="K249" s="93"/>
      <c r="L249" s="93"/>
      <c r="M249" s="159">
        <f t="shared" si="50"/>
        <v>0</v>
      </c>
      <c r="N249" s="92"/>
      <c r="O249" s="133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</row>
    <row r="250" spans="1:38" s="90" customFormat="1" ht="14.25" customHeight="1">
      <c r="A250" s="348"/>
      <c r="B250" s="349"/>
      <c r="C250" s="351"/>
      <c r="D250" s="353"/>
      <c r="E250" s="168"/>
      <c r="F250" s="224"/>
      <c r="G250" s="83" t="s">
        <v>13</v>
      </c>
      <c r="H250" s="104" t="s">
        <v>14</v>
      </c>
      <c r="I250" s="92"/>
      <c r="J250" s="93"/>
      <c r="K250" s="93"/>
      <c r="L250" s="93"/>
      <c r="M250" s="159">
        <f t="shared" si="50"/>
        <v>0</v>
      </c>
      <c r="N250" s="92"/>
      <c r="O250" s="133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</row>
    <row r="251" spans="1:38" s="90" customFormat="1" ht="14.25" customHeight="1">
      <c r="A251" s="348"/>
      <c r="B251" s="349"/>
      <c r="C251" s="351"/>
      <c r="D251" s="353"/>
      <c r="E251" s="168"/>
      <c r="F251" s="360">
        <v>2016</v>
      </c>
      <c r="G251" s="341">
        <v>0</v>
      </c>
      <c r="H251" s="104" t="s">
        <v>15</v>
      </c>
      <c r="I251" s="92"/>
      <c r="J251" s="93"/>
      <c r="K251" s="93"/>
      <c r="L251" s="93"/>
      <c r="M251" s="159">
        <f t="shared" si="50"/>
        <v>0</v>
      </c>
      <c r="N251" s="92"/>
      <c r="O251" s="133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</row>
    <row r="252" spans="1:38" s="90" customFormat="1" ht="14.25" customHeight="1">
      <c r="A252" s="348"/>
      <c r="B252" s="349"/>
      <c r="C252" s="351"/>
      <c r="D252" s="353"/>
      <c r="E252" s="168"/>
      <c r="F252" s="361"/>
      <c r="G252" s="342"/>
      <c r="H252" s="104" t="s">
        <v>16</v>
      </c>
      <c r="I252" s="92"/>
      <c r="J252" s="93"/>
      <c r="K252" s="93"/>
      <c r="L252" s="93"/>
      <c r="M252" s="159">
        <f t="shared" si="50"/>
        <v>0</v>
      </c>
      <c r="N252" s="92"/>
      <c r="O252" s="133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</row>
    <row r="253" spans="1:38" s="90" customFormat="1" ht="14.25" customHeight="1">
      <c r="A253" s="348"/>
      <c r="B253" s="349"/>
      <c r="C253" s="351"/>
      <c r="D253" s="353"/>
      <c r="E253" s="168"/>
      <c r="F253" s="361"/>
      <c r="G253" s="83" t="s">
        <v>17</v>
      </c>
      <c r="H253" s="104" t="s">
        <v>18</v>
      </c>
      <c r="I253" s="96">
        <f aca="true" t="shared" si="60" ref="I253:AL254">I247+I249+I251</f>
        <v>369600</v>
      </c>
      <c r="J253" s="97">
        <f t="shared" si="60"/>
        <v>554400</v>
      </c>
      <c r="K253" s="97">
        <f t="shared" si="60"/>
        <v>277200</v>
      </c>
      <c r="L253" s="97">
        <f t="shared" si="60"/>
        <v>554400</v>
      </c>
      <c r="M253" s="98">
        <f t="shared" si="50"/>
        <v>646800</v>
      </c>
      <c r="N253" s="149">
        <f>M253/G248</f>
        <v>0.2916666666666667</v>
      </c>
      <c r="O253" s="134">
        <f t="shared" si="60"/>
        <v>0</v>
      </c>
      <c r="P253" s="97">
        <f t="shared" si="60"/>
        <v>0</v>
      </c>
      <c r="Q253" s="97">
        <f t="shared" si="60"/>
        <v>0</v>
      </c>
      <c r="R253" s="97">
        <f t="shared" si="60"/>
        <v>0</v>
      </c>
      <c r="S253" s="97">
        <f t="shared" si="60"/>
        <v>0</v>
      </c>
      <c r="T253" s="97">
        <f t="shared" si="60"/>
        <v>0</v>
      </c>
      <c r="U253" s="97">
        <f t="shared" si="60"/>
        <v>0</v>
      </c>
      <c r="V253" s="97">
        <f t="shared" si="60"/>
        <v>0</v>
      </c>
      <c r="W253" s="97">
        <f t="shared" si="60"/>
        <v>0</v>
      </c>
      <c r="X253" s="97">
        <f t="shared" si="60"/>
        <v>0</v>
      </c>
      <c r="Y253" s="97">
        <f t="shared" si="60"/>
        <v>0</v>
      </c>
      <c r="Z253" s="97">
        <f t="shared" si="60"/>
        <v>0</v>
      </c>
      <c r="AA253" s="97">
        <f t="shared" si="60"/>
        <v>0</v>
      </c>
      <c r="AB253" s="97">
        <f t="shared" si="60"/>
        <v>0</v>
      </c>
      <c r="AC253" s="97">
        <f t="shared" si="60"/>
        <v>0</v>
      </c>
      <c r="AD253" s="97">
        <f t="shared" si="60"/>
        <v>0</v>
      </c>
      <c r="AE253" s="97">
        <f t="shared" si="60"/>
        <v>0</v>
      </c>
      <c r="AF253" s="97">
        <f t="shared" si="60"/>
        <v>0</v>
      </c>
      <c r="AG253" s="97">
        <f t="shared" si="60"/>
        <v>0</v>
      </c>
      <c r="AH253" s="97">
        <f t="shared" si="60"/>
        <v>0</v>
      </c>
      <c r="AI253" s="97">
        <f t="shared" si="60"/>
        <v>0</v>
      </c>
      <c r="AJ253" s="97">
        <f t="shared" si="60"/>
        <v>0</v>
      </c>
      <c r="AK253" s="97">
        <f t="shared" si="60"/>
        <v>0</v>
      </c>
      <c r="AL253" s="97">
        <f t="shared" si="60"/>
        <v>0</v>
      </c>
    </row>
    <row r="254" spans="1:38" s="90" customFormat="1" ht="14.25" customHeight="1" thickBot="1">
      <c r="A254" s="348"/>
      <c r="B254" s="350"/>
      <c r="C254" s="352"/>
      <c r="D254" s="359"/>
      <c r="E254" s="169"/>
      <c r="F254" s="248"/>
      <c r="G254" s="85">
        <v>2217600</v>
      </c>
      <c r="H254" s="105" t="s">
        <v>19</v>
      </c>
      <c r="I254" s="100">
        <f t="shared" si="60"/>
        <v>0</v>
      </c>
      <c r="J254" s="101">
        <f t="shared" si="60"/>
        <v>0</v>
      </c>
      <c r="K254" s="101">
        <f t="shared" si="60"/>
        <v>0</v>
      </c>
      <c r="L254" s="101">
        <f t="shared" si="60"/>
        <v>0</v>
      </c>
      <c r="M254" s="102">
        <f t="shared" si="50"/>
        <v>0</v>
      </c>
      <c r="N254" s="149"/>
      <c r="O254" s="135">
        <f t="shared" si="60"/>
        <v>0</v>
      </c>
      <c r="P254" s="101">
        <f t="shared" si="60"/>
        <v>0</v>
      </c>
      <c r="Q254" s="101">
        <f t="shared" si="60"/>
        <v>0</v>
      </c>
      <c r="R254" s="101">
        <f t="shared" si="60"/>
        <v>0</v>
      </c>
      <c r="S254" s="101">
        <f t="shared" si="60"/>
        <v>0</v>
      </c>
      <c r="T254" s="101">
        <f t="shared" si="60"/>
        <v>0</v>
      </c>
      <c r="U254" s="101">
        <f t="shared" si="60"/>
        <v>0</v>
      </c>
      <c r="V254" s="101">
        <f t="shared" si="60"/>
        <v>0</v>
      </c>
      <c r="W254" s="101">
        <f t="shared" si="60"/>
        <v>0</v>
      </c>
      <c r="X254" s="101">
        <f t="shared" si="60"/>
        <v>0</v>
      </c>
      <c r="Y254" s="101">
        <f t="shared" si="60"/>
        <v>0</v>
      </c>
      <c r="Z254" s="101">
        <f t="shared" si="60"/>
        <v>0</v>
      </c>
      <c r="AA254" s="101">
        <f t="shared" si="60"/>
        <v>0</v>
      </c>
      <c r="AB254" s="101">
        <f t="shared" si="60"/>
        <v>0</v>
      </c>
      <c r="AC254" s="101">
        <f t="shared" si="60"/>
        <v>0</v>
      </c>
      <c r="AD254" s="101">
        <f t="shared" si="60"/>
        <v>0</v>
      </c>
      <c r="AE254" s="101">
        <f t="shared" si="60"/>
        <v>0</v>
      </c>
      <c r="AF254" s="101">
        <f t="shared" si="60"/>
        <v>0</v>
      </c>
      <c r="AG254" s="101">
        <f t="shared" si="60"/>
        <v>0</v>
      </c>
      <c r="AH254" s="101">
        <f t="shared" si="60"/>
        <v>0</v>
      </c>
      <c r="AI254" s="101">
        <f t="shared" si="60"/>
        <v>0</v>
      </c>
      <c r="AJ254" s="101">
        <f t="shared" si="60"/>
        <v>0</v>
      </c>
      <c r="AK254" s="101">
        <f t="shared" si="60"/>
        <v>0</v>
      </c>
      <c r="AL254" s="101">
        <f t="shared" si="60"/>
        <v>0</v>
      </c>
    </row>
    <row r="255" spans="1:38" s="90" customFormat="1" ht="16.5" customHeight="1">
      <c r="A255" s="354">
        <v>32</v>
      </c>
      <c r="B255" s="356" t="s">
        <v>119</v>
      </c>
      <c r="C255" s="357">
        <v>85201</v>
      </c>
      <c r="D255" s="358" t="s">
        <v>65</v>
      </c>
      <c r="E255" s="167"/>
      <c r="F255" s="223">
        <v>2008</v>
      </c>
      <c r="G255" s="81" t="s">
        <v>9</v>
      </c>
      <c r="H255" s="103" t="s">
        <v>10</v>
      </c>
      <c r="I255" s="59">
        <v>152652</v>
      </c>
      <c r="J255" s="87">
        <v>53164</v>
      </c>
      <c r="K255" s="87">
        <v>27401</v>
      </c>
      <c r="L255" s="87">
        <v>53164</v>
      </c>
      <c r="M255" s="158">
        <f t="shared" si="50"/>
        <v>180053</v>
      </c>
      <c r="N255" s="59">
        <v>0</v>
      </c>
      <c r="O255" s="132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</row>
    <row r="256" spans="1:38" s="90" customFormat="1" ht="16.5" customHeight="1">
      <c r="A256" s="348"/>
      <c r="B256" s="349"/>
      <c r="C256" s="351"/>
      <c r="D256" s="353"/>
      <c r="E256" s="168"/>
      <c r="F256" s="361"/>
      <c r="G256" s="341">
        <v>205816</v>
      </c>
      <c r="H256" s="104" t="s">
        <v>11</v>
      </c>
      <c r="I256" s="92"/>
      <c r="J256" s="93"/>
      <c r="K256" s="93"/>
      <c r="L256" s="93"/>
      <c r="M256" s="159">
        <f t="shared" si="50"/>
        <v>0</v>
      </c>
      <c r="N256" s="92"/>
      <c r="O256" s="133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</row>
    <row r="257" spans="1:38" s="90" customFormat="1" ht="16.5" customHeight="1">
      <c r="A257" s="348"/>
      <c r="B257" s="349"/>
      <c r="C257" s="351"/>
      <c r="D257" s="353"/>
      <c r="E257" s="168"/>
      <c r="F257" s="361"/>
      <c r="G257" s="342"/>
      <c r="H257" s="104" t="s">
        <v>12</v>
      </c>
      <c r="I257" s="92"/>
      <c r="J257" s="93"/>
      <c r="K257" s="93"/>
      <c r="L257" s="93"/>
      <c r="M257" s="159">
        <f t="shared" si="50"/>
        <v>0</v>
      </c>
      <c r="N257" s="92"/>
      <c r="O257" s="133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</row>
    <row r="258" spans="1:38" s="90" customFormat="1" ht="16.5" customHeight="1">
      <c r="A258" s="348"/>
      <c r="B258" s="349"/>
      <c r="C258" s="351"/>
      <c r="D258" s="353"/>
      <c r="E258" s="168"/>
      <c r="F258" s="224"/>
      <c r="G258" s="83" t="s">
        <v>13</v>
      </c>
      <c r="H258" s="104" t="s">
        <v>14</v>
      </c>
      <c r="I258" s="92"/>
      <c r="J258" s="93"/>
      <c r="K258" s="93"/>
      <c r="L258" s="93"/>
      <c r="M258" s="159">
        <f t="shared" si="50"/>
        <v>0</v>
      </c>
      <c r="N258" s="92"/>
      <c r="O258" s="133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</row>
    <row r="259" spans="1:38" s="90" customFormat="1" ht="16.5" customHeight="1">
      <c r="A259" s="348"/>
      <c r="B259" s="349"/>
      <c r="C259" s="351"/>
      <c r="D259" s="353"/>
      <c r="E259" s="168"/>
      <c r="F259" s="360">
        <v>2013</v>
      </c>
      <c r="G259" s="341">
        <v>0</v>
      </c>
      <c r="H259" s="104" t="s">
        <v>15</v>
      </c>
      <c r="I259" s="92"/>
      <c r="J259" s="93"/>
      <c r="K259" s="93"/>
      <c r="L259" s="93"/>
      <c r="M259" s="159">
        <f t="shared" si="50"/>
        <v>0</v>
      </c>
      <c r="N259" s="92"/>
      <c r="O259" s="133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</row>
    <row r="260" spans="1:38" s="90" customFormat="1" ht="16.5" customHeight="1">
      <c r="A260" s="348"/>
      <c r="B260" s="349"/>
      <c r="C260" s="351"/>
      <c r="D260" s="353"/>
      <c r="E260" s="168"/>
      <c r="F260" s="361"/>
      <c r="G260" s="342"/>
      <c r="H260" s="104" t="s">
        <v>16</v>
      </c>
      <c r="I260" s="92"/>
      <c r="J260" s="93"/>
      <c r="K260" s="93"/>
      <c r="L260" s="93"/>
      <c r="M260" s="159">
        <f t="shared" si="50"/>
        <v>0</v>
      </c>
      <c r="N260" s="92"/>
      <c r="O260" s="133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</row>
    <row r="261" spans="1:38" s="90" customFormat="1" ht="16.5" customHeight="1">
      <c r="A261" s="348"/>
      <c r="B261" s="349"/>
      <c r="C261" s="351"/>
      <c r="D261" s="353"/>
      <c r="E261" s="168"/>
      <c r="F261" s="361"/>
      <c r="G261" s="83" t="s">
        <v>17</v>
      </c>
      <c r="H261" s="104" t="s">
        <v>18</v>
      </c>
      <c r="I261" s="96">
        <f aca="true" t="shared" si="61" ref="I261:AL262">I255+I257+I259</f>
        <v>152652</v>
      </c>
      <c r="J261" s="97">
        <f t="shared" si="61"/>
        <v>53164</v>
      </c>
      <c r="K261" s="97">
        <f t="shared" si="61"/>
        <v>27401</v>
      </c>
      <c r="L261" s="97">
        <f t="shared" si="61"/>
        <v>53164</v>
      </c>
      <c r="M261" s="98">
        <f t="shared" si="50"/>
        <v>180053</v>
      </c>
      <c r="N261" s="149">
        <f>M261/G256</f>
        <v>0.8748250864850158</v>
      </c>
      <c r="O261" s="134">
        <f t="shared" si="61"/>
        <v>0</v>
      </c>
      <c r="P261" s="97">
        <f t="shared" si="61"/>
        <v>0</v>
      </c>
      <c r="Q261" s="97">
        <f t="shared" si="61"/>
        <v>0</v>
      </c>
      <c r="R261" s="97">
        <f t="shared" si="61"/>
        <v>0</v>
      </c>
      <c r="S261" s="97">
        <f t="shared" si="61"/>
        <v>0</v>
      </c>
      <c r="T261" s="97">
        <f t="shared" si="61"/>
        <v>0</v>
      </c>
      <c r="U261" s="97">
        <f t="shared" si="61"/>
        <v>0</v>
      </c>
      <c r="V261" s="97">
        <f t="shared" si="61"/>
        <v>0</v>
      </c>
      <c r="W261" s="97">
        <f t="shared" si="61"/>
        <v>0</v>
      </c>
      <c r="X261" s="97">
        <f t="shared" si="61"/>
        <v>0</v>
      </c>
      <c r="Y261" s="97">
        <f t="shared" si="61"/>
        <v>0</v>
      </c>
      <c r="Z261" s="97">
        <f t="shared" si="61"/>
        <v>0</v>
      </c>
      <c r="AA261" s="97">
        <f t="shared" si="61"/>
        <v>0</v>
      </c>
      <c r="AB261" s="97">
        <f t="shared" si="61"/>
        <v>0</v>
      </c>
      <c r="AC261" s="97">
        <f t="shared" si="61"/>
        <v>0</v>
      </c>
      <c r="AD261" s="97">
        <f t="shared" si="61"/>
        <v>0</v>
      </c>
      <c r="AE261" s="97">
        <f t="shared" si="61"/>
        <v>0</v>
      </c>
      <c r="AF261" s="97">
        <f t="shared" si="61"/>
        <v>0</v>
      </c>
      <c r="AG261" s="97">
        <f t="shared" si="61"/>
        <v>0</v>
      </c>
      <c r="AH261" s="97">
        <f t="shared" si="61"/>
        <v>0</v>
      </c>
      <c r="AI261" s="97">
        <f t="shared" si="61"/>
        <v>0</v>
      </c>
      <c r="AJ261" s="97">
        <f t="shared" si="61"/>
        <v>0</v>
      </c>
      <c r="AK261" s="97">
        <f t="shared" si="61"/>
        <v>0</v>
      </c>
      <c r="AL261" s="97">
        <f t="shared" si="61"/>
        <v>0</v>
      </c>
    </row>
    <row r="262" spans="1:38" s="90" customFormat="1" ht="16.5" customHeight="1" thickBot="1">
      <c r="A262" s="355"/>
      <c r="B262" s="350"/>
      <c r="C262" s="352"/>
      <c r="D262" s="359"/>
      <c r="E262" s="169"/>
      <c r="F262" s="248"/>
      <c r="G262" s="85">
        <v>205816</v>
      </c>
      <c r="H262" s="105" t="s">
        <v>19</v>
      </c>
      <c r="I262" s="100">
        <f t="shared" si="61"/>
        <v>0</v>
      </c>
      <c r="J262" s="101">
        <f t="shared" si="61"/>
        <v>0</v>
      </c>
      <c r="K262" s="101">
        <f t="shared" si="61"/>
        <v>0</v>
      </c>
      <c r="L262" s="101">
        <f t="shared" si="61"/>
        <v>0</v>
      </c>
      <c r="M262" s="102">
        <f t="shared" si="50"/>
        <v>0</v>
      </c>
      <c r="N262" s="150"/>
      <c r="O262" s="135">
        <f t="shared" si="61"/>
        <v>0</v>
      </c>
      <c r="P262" s="101">
        <f t="shared" si="61"/>
        <v>0</v>
      </c>
      <c r="Q262" s="101">
        <f t="shared" si="61"/>
        <v>0</v>
      </c>
      <c r="R262" s="101">
        <f t="shared" si="61"/>
        <v>0</v>
      </c>
      <c r="S262" s="101">
        <f t="shared" si="61"/>
        <v>0</v>
      </c>
      <c r="T262" s="101">
        <f t="shared" si="61"/>
        <v>0</v>
      </c>
      <c r="U262" s="101">
        <f t="shared" si="61"/>
        <v>0</v>
      </c>
      <c r="V262" s="101">
        <f t="shared" si="61"/>
        <v>0</v>
      </c>
      <c r="W262" s="101">
        <f t="shared" si="61"/>
        <v>0</v>
      </c>
      <c r="X262" s="101">
        <f t="shared" si="61"/>
        <v>0</v>
      </c>
      <c r="Y262" s="101">
        <f t="shared" si="61"/>
        <v>0</v>
      </c>
      <c r="Z262" s="101">
        <f t="shared" si="61"/>
        <v>0</v>
      </c>
      <c r="AA262" s="101">
        <f t="shared" si="61"/>
        <v>0</v>
      </c>
      <c r="AB262" s="101">
        <f t="shared" si="61"/>
        <v>0</v>
      </c>
      <c r="AC262" s="101">
        <f t="shared" si="61"/>
        <v>0</v>
      </c>
      <c r="AD262" s="101">
        <f t="shared" si="61"/>
        <v>0</v>
      </c>
      <c r="AE262" s="101">
        <f t="shared" si="61"/>
        <v>0</v>
      </c>
      <c r="AF262" s="101">
        <f t="shared" si="61"/>
        <v>0</v>
      </c>
      <c r="AG262" s="101">
        <f t="shared" si="61"/>
        <v>0</v>
      </c>
      <c r="AH262" s="101">
        <f t="shared" si="61"/>
        <v>0</v>
      </c>
      <c r="AI262" s="101">
        <f t="shared" si="61"/>
        <v>0</v>
      </c>
      <c r="AJ262" s="101">
        <f t="shared" si="61"/>
        <v>0</v>
      </c>
      <c r="AK262" s="101">
        <f t="shared" si="61"/>
        <v>0</v>
      </c>
      <c r="AL262" s="101">
        <f t="shared" si="61"/>
        <v>0</v>
      </c>
    </row>
    <row r="263" spans="1:38" s="90" customFormat="1" ht="14.25" customHeight="1">
      <c r="A263" s="354">
        <v>33</v>
      </c>
      <c r="B263" s="356" t="s">
        <v>120</v>
      </c>
      <c r="C263" s="357">
        <v>85201</v>
      </c>
      <c r="D263" s="358" t="s">
        <v>65</v>
      </c>
      <c r="E263" s="167"/>
      <c r="F263" s="223">
        <v>2010</v>
      </c>
      <c r="G263" s="81" t="s">
        <v>9</v>
      </c>
      <c r="H263" s="103" t="s">
        <v>10</v>
      </c>
      <c r="I263" s="59">
        <v>43674.35</v>
      </c>
      <c r="J263" s="87">
        <v>55860</v>
      </c>
      <c r="K263" s="87">
        <v>27104</v>
      </c>
      <c r="L263" s="87">
        <v>55860</v>
      </c>
      <c r="M263" s="158">
        <f t="shared" si="50"/>
        <v>70778.35</v>
      </c>
      <c r="N263" s="59">
        <v>0</v>
      </c>
      <c r="O263" s="132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</row>
    <row r="264" spans="1:38" s="90" customFormat="1" ht="14.25" customHeight="1">
      <c r="A264" s="348"/>
      <c r="B264" s="349"/>
      <c r="C264" s="351"/>
      <c r="D264" s="353"/>
      <c r="E264" s="168"/>
      <c r="F264" s="361"/>
      <c r="G264" s="341">
        <v>211254.35</v>
      </c>
      <c r="H264" s="104" t="s">
        <v>11</v>
      </c>
      <c r="I264" s="92"/>
      <c r="J264" s="93"/>
      <c r="K264" s="93"/>
      <c r="L264" s="93"/>
      <c r="M264" s="159">
        <f aca="true" t="shared" si="62" ref="M264:M318">SUM(I264,K264)</f>
        <v>0</v>
      </c>
      <c r="N264" s="92"/>
      <c r="O264" s="133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</row>
    <row r="265" spans="1:38" s="90" customFormat="1" ht="14.25" customHeight="1">
      <c r="A265" s="348"/>
      <c r="B265" s="349"/>
      <c r="C265" s="351"/>
      <c r="D265" s="353"/>
      <c r="E265" s="168"/>
      <c r="F265" s="361"/>
      <c r="G265" s="342"/>
      <c r="H265" s="104" t="s">
        <v>12</v>
      </c>
      <c r="I265" s="92"/>
      <c r="J265" s="93"/>
      <c r="K265" s="93"/>
      <c r="L265" s="93"/>
      <c r="M265" s="159">
        <f t="shared" si="62"/>
        <v>0</v>
      </c>
      <c r="N265" s="92"/>
      <c r="O265" s="133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</row>
    <row r="266" spans="1:38" s="90" customFormat="1" ht="14.25" customHeight="1">
      <c r="A266" s="348"/>
      <c r="B266" s="349"/>
      <c r="C266" s="351"/>
      <c r="D266" s="353"/>
      <c r="E266" s="168"/>
      <c r="F266" s="224"/>
      <c r="G266" s="83" t="s">
        <v>13</v>
      </c>
      <c r="H266" s="104" t="s">
        <v>14</v>
      </c>
      <c r="I266" s="92"/>
      <c r="J266" s="93"/>
      <c r="K266" s="93"/>
      <c r="L266" s="93"/>
      <c r="M266" s="159">
        <f t="shared" si="62"/>
        <v>0</v>
      </c>
      <c r="N266" s="92"/>
      <c r="O266" s="133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</row>
    <row r="267" spans="1:38" s="90" customFormat="1" ht="14.25" customHeight="1">
      <c r="A267" s="348"/>
      <c r="B267" s="349"/>
      <c r="C267" s="351"/>
      <c r="D267" s="353"/>
      <c r="E267" s="168"/>
      <c r="F267" s="360">
        <v>2015</v>
      </c>
      <c r="G267" s="341">
        <v>0</v>
      </c>
      <c r="H267" s="104" t="s">
        <v>15</v>
      </c>
      <c r="I267" s="92"/>
      <c r="J267" s="93"/>
      <c r="K267" s="93"/>
      <c r="L267" s="93"/>
      <c r="M267" s="159">
        <f t="shared" si="62"/>
        <v>0</v>
      </c>
      <c r="N267" s="92"/>
      <c r="O267" s="133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</row>
    <row r="268" spans="1:38" s="90" customFormat="1" ht="14.25" customHeight="1">
      <c r="A268" s="348"/>
      <c r="B268" s="349"/>
      <c r="C268" s="351"/>
      <c r="D268" s="353"/>
      <c r="E268" s="168"/>
      <c r="F268" s="361"/>
      <c r="G268" s="342"/>
      <c r="H268" s="104" t="s">
        <v>16</v>
      </c>
      <c r="I268" s="92"/>
      <c r="J268" s="93"/>
      <c r="K268" s="93"/>
      <c r="L268" s="93"/>
      <c r="M268" s="159">
        <f t="shared" si="62"/>
        <v>0</v>
      </c>
      <c r="N268" s="92"/>
      <c r="O268" s="133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</row>
    <row r="269" spans="1:38" s="90" customFormat="1" ht="14.25" customHeight="1">
      <c r="A269" s="348"/>
      <c r="B269" s="349"/>
      <c r="C269" s="351"/>
      <c r="D269" s="353"/>
      <c r="E269" s="168"/>
      <c r="F269" s="361"/>
      <c r="G269" s="83" t="s">
        <v>17</v>
      </c>
      <c r="H269" s="104" t="s">
        <v>18</v>
      </c>
      <c r="I269" s="96">
        <f aca="true" t="shared" si="63" ref="I269:AL270">I263+I265+I267</f>
        <v>43674.35</v>
      </c>
      <c r="J269" s="97">
        <f t="shared" si="63"/>
        <v>55860</v>
      </c>
      <c r="K269" s="97">
        <f t="shared" si="63"/>
        <v>27104</v>
      </c>
      <c r="L269" s="97">
        <f t="shared" si="63"/>
        <v>55860</v>
      </c>
      <c r="M269" s="98">
        <f t="shared" si="62"/>
        <v>70778.35</v>
      </c>
      <c r="N269" s="149">
        <f>M269/G264</f>
        <v>0.33503854476842726</v>
      </c>
      <c r="O269" s="134">
        <f t="shared" si="63"/>
        <v>0</v>
      </c>
      <c r="P269" s="97">
        <f t="shared" si="63"/>
        <v>0</v>
      </c>
      <c r="Q269" s="97">
        <f t="shared" si="63"/>
        <v>0</v>
      </c>
      <c r="R269" s="97">
        <f t="shared" si="63"/>
        <v>0</v>
      </c>
      <c r="S269" s="97">
        <f t="shared" si="63"/>
        <v>0</v>
      </c>
      <c r="T269" s="97">
        <f t="shared" si="63"/>
        <v>0</v>
      </c>
      <c r="U269" s="97">
        <f t="shared" si="63"/>
        <v>0</v>
      </c>
      <c r="V269" s="97">
        <f t="shared" si="63"/>
        <v>0</v>
      </c>
      <c r="W269" s="97">
        <f t="shared" si="63"/>
        <v>0</v>
      </c>
      <c r="X269" s="97">
        <f t="shared" si="63"/>
        <v>0</v>
      </c>
      <c r="Y269" s="97">
        <f t="shared" si="63"/>
        <v>0</v>
      </c>
      <c r="Z269" s="97">
        <f t="shared" si="63"/>
        <v>0</v>
      </c>
      <c r="AA269" s="97">
        <f t="shared" si="63"/>
        <v>0</v>
      </c>
      <c r="AB269" s="97">
        <f t="shared" si="63"/>
        <v>0</v>
      </c>
      <c r="AC269" s="97">
        <f t="shared" si="63"/>
        <v>0</v>
      </c>
      <c r="AD269" s="97">
        <f t="shared" si="63"/>
        <v>0</v>
      </c>
      <c r="AE269" s="97">
        <f t="shared" si="63"/>
        <v>0</v>
      </c>
      <c r="AF269" s="97">
        <f t="shared" si="63"/>
        <v>0</v>
      </c>
      <c r="AG269" s="97">
        <f t="shared" si="63"/>
        <v>0</v>
      </c>
      <c r="AH269" s="97">
        <f t="shared" si="63"/>
        <v>0</v>
      </c>
      <c r="AI269" s="97">
        <f t="shared" si="63"/>
        <v>0</v>
      </c>
      <c r="AJ269" s="97">
        <f t="shared" si="63"/>
        <v>0</v>
      </c>
      <c r="AK269" s="97">
        <f t="shared" si="63"/>
        <v>0</v>
      </c>
      <c r="AL269" s="97">
        <f t="shared" si="63"/>
        <v>0</v>
      </c>
    </row>
    <row r="270" spans="1:38" s="90" customFormat="1" ht="14.25" customHeight="1" thickBot="1">
      <c r="A270" s="355"/>
      <c r="B270" s="350"/>
      <c r="C270" s="352"/>
      <c r="D270" s="359"/>
      <c r="E270" s="169"/>
      <c r="F270" s="248"/>
      <c r="G270" s="85">
        <v>211254.35</v>
      </c>
      <c r="H270" s="105" t="s">
        <v>19</v>
      </c>
      <c r="I270" s="100">
        <f t="shared" si="63"/>
        <v>0</v>
      </c>
      <c r="J270" s="101">
        <f t="shared" si="63"/>
        <v>0</v>
      </c>
      <c r="K270" s="101">
        <f t="shared" si="63"/>
        <v>0</v>
      </c>
      <c r="L270" s="101">
        <f t="shared" si="63"/>
        <v>0</v>
      </c>
      <c r="M270" s="102">
        <f t="shared" si="62"/>
        <v>0</v>
      </c>
      <c r="N270" s="150"/>
      <c r="O270" s="135">
        <f t="shared" si="63"/>
        <v>0</v>
      </c>
      <c r="P270" s="101">
        <f t="shared" si="63"/>
        <v>0</v>
      </c>
      <c r="Q270" s="101">
        <f t="shared" si="63"/>
        <v>0</v>
      </c>
      <c r="R270" s="101">
        <f t="shared" si="63"/>
        <v>0</v>
      </c>
      <c r="S270" s="101">
        <f t="shared" si="63"/>
        <v>0</v>
      </c>
      <c r="T270" s="101">
        <f t="shared" si="63"/>
        <v>0</v>
      </c>
      <c r="U270" s="101">
        <f t="shared" si="63"/>
        <v>0</v>
      </c>
      <c r="V270" s="101">
        <f t="shared" si="63"/>
        <v>0</v>
      </c>
      <c r="W270" s="101">
        <f t="shared" si="63"/>
        <v>0</v>
      </c>
      <c r="X270" s="101">
        <f t="shared" si="63"/>
        <v>0</v>
      </c>
      <c r="Y270" s="101">
        <f t="shared" si="63"/>
        <v>0</v>
      </c>
      <c r="Z270" s="101">
        <f t="shared" si="63"/>
        <v>0</v>
      </c>
      <c r="AA270" s="101">
        <f t="shared" si="63"/>
        <v>0</v>
      </c>
      <c r="AB270" s="101">
        <f t="shared" si="63"/>
        <v>0</v>
      </c>
      <c r="AC270" s="101">
        <f t="shared" si="63"/>
        <v>0</v>
      </c>
      <c r="AD270" s="101">
        <f t="shared" si="63"/>
        <v>0</v>
      </c>
      <c r="AE270" s="101">
        <f t="shared" si="63"/>
        <v>0</v>
      </c>
      <c r="AF270" s="101">
        <f t="shared" si="63"/>
        <v>0</v>
      </c>
      <c r="AG270" s="101">
        <f t="shared" si="63"/>
        <v>0</v>
      </c>
      <c r="AH270" s="101">
        <f t="shared" si="63"/>
        <v>0</v>
      </c>
      <c r="AI270" s="101">
        <f t="shared" si="63"/>
        <v>0</v>
      </c>
      <c r="AJ270" s="101">
        <f t="shared" si="63"/>
        <v>0</v>
      </c>
      <c r="AK270" s="101">
        <f t="shared" si="63"/>
        <v>0</v>
      </c>
      <c r="AL270" s="101">
        <f t="shared" si="63"/>
        <v>0</v>
      </c>
    </row>
    <row r="271" spans="1:38" s="90" customFormat="1" ht="15" customHeight="1">
      <c r="A271" s="348">
        <v>34</v>
      </c>
      <c r="B271" s="349" t="s">
        <v>121</v>
      </c>
      <c r="C271" s="351">
        <v>85201</v>
      </c>
      <c r="D271" s="353" t="s">
        <v>65</v>
      </c>
      <c r="E271" s="168"/>
      <c r="F271" s="361">
        <v>2012</v>
      </c>
      <c r="G271" s="118" t="s">
        <v>9</v>
      </c>
      <c r="H271" s="106" t="s">
        <v>10</v>
      </c>
      <c r="I271" s="111">
        <v>0</v>
      </c>
      <c r="J271" s="107">
        <v>30000</v>
      </c>
      <c r="K271" s="107">
        <v>15000</v>
      </c>
      <c r="L271" s="107">
        <v>30000</v>
      </c>
      <c r="M271" s="160">
        <f t="shared" si="62"/>
        <v>15000</v>
      </c>
      <c r="N271" s="111">
        <v>0</v>
      </c>
      <c r="O271" s="137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</row>
    <row r="272" spans="1:38" s="90" customFormat="1" ht="15" customHeight="1">
      <c r="A272" s="348"/>
      <c r="B272" s="349"/>
      <c r="C272" s="351"/>
      <c r="D272" s="353"/>
      <c r="E272" s="168"/>
      <c r="F272" s="361"/>
      <c r="G272" s="341">
        <v>60000</v>
      </c>
      <c r="H272" s="104" t="s">
        <v>11</v>
      </c>
      <c r="I272" s="92">
        <v>0</v>
      </c>
      <c r="J272" s="93"/>
      <c r="K272" s="93"/>
      <c r="L272" s="93"/>
      <c r="M272" s="159">
        <f t="shared" si="62"/>
        <v>0</v>
      </c>
      <c r="N272" s="92"/>
      <c r="O272" s="133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</row>
    <row r="273" spans="1:38" s="90" customFormat="1" ht="15" customHeight="1">
      <c r="A273" s="348"/>
      <c r="B273" s="349"/>
      <c r="C273" s="351"/>
      <c r="D273" s="353"/>
      <c r="E273" s="168"/>
      <c r="F273" s="361"/>
      <c r="G273" s="342"/>
      <c r="H273" s="104" t="s">
        <v>12</v>
      </c>
      <c r="I273" s="92"/>
      <c r="J273" s="93"/>
      <c r="K273" s="93"/>
      <c r="L273" s="93"/>
      <c r="M273" s="159">
        <f t="shared" si="62"/>
        <v>0</v>
      </c>
      <c r="N273" s="92"/>
      <c r="O273" s="133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</row>
    <row r="274" spans="1:38" s="90" customFormat="1" ht="15" customHeight="1">
      <c r="A274" s="348"/>
      <c r="B274" s="349"/>
      <c r="C274" s="351"/>
      <c r="D274" s="353"/>
      <c r="E274" s="168"/>
      <c r="F274" s="224"/>
      <c r="G274" s="83" t="s">
        <v>13</v>
      </c>
      <c r="H274" s="104" t="s">
        <v>14</v>
      </c>
      <c r="I274" s="92"/>
      <c r="J274" s="93"/>
      <c r="K274" s="93"/>
      <c r="L274" s="93"/>
      <c r="M274" s="159">
        <f t="shared" si="62"/>
        <v>0</v>
      </c>
      <c r="N274" s="92"/>
      <c r="O274" s="133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</row>
    <row r="275" spans="1:38" s="90" customFormat="1" ht="15" customHeight="1">
      <c r="A275" s="348"/>
      <c r="B275" s="349"/>
      <c r="C275" s="351"/>
      <c r="D275" s="353"/>
      <c r="E275" s="168"/>
      <c r="F275" s="360">
        <v>2014</v>
      </c>
      <c r="G275" s="341">
        <v>0</v>
      </c>
      <c r="H275" s="104" t="s">
        <v>15</v>
      </c>
      <c r="I275" s="92"/>
      <c r="J275" s="93"/>
      <c r="K275" s="93"/>
      <c r="L275" s="93"/>
      <c r="M275" s="159">
        <f t="shared" si="62"/>
        <v>0</v>
      </c>
      <c r="N275" s="92"/>
      <c r="O275" s="133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4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</row>
    <row r="276" spans="1:38" s="90" customFormat="1" ht="15" customHeight="1">
      <c r="A276" s="348"/>
      <c r="B276" s="349"/>
      <c r="C276" s="351"/>
      <c r="D276" s="353"/>
      <c r="E276" s="168"/>
      <c r="F276" s="361"/>
      <c r="G276" s="342"/>
      <c r="H276" s="104" t="s">
        <v>16</v>
      </c>
      <c r="I276" s="92"/>
      <c r="J276" s="93"/>
      <c r="K276" s="93"/>
      <c r="L276" s="93"/>
      <c r="M276" s="159">
        <f t="shared" si="62"/>
        <v>0</v>
      </c>
      <c r="N276" s="92"/>
      <c r="O276" s="133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4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</row>
    <row r="277" spans="1:38" s="90" customFormat="1" ht="15" customHeight="1">
      <c r="A277" s="348"/>
      <c r="B277" s="349"/>
      <c r="C277" s="351"/>
      <c r="D277" s="353"/>
      <c r="E277" s="168"/>
      <c r="F277" s="361"/>
      <c r="G277" s="83" t="s">
        <v>17</v>
      </c>
      <c r="H277" s="104" t="s">
        <v>18</v>
      </c>
      <c r="I277" s="96">
        <f aca="true" t="shared" si="64" ref="I277:AL278">I271+I273+I275</f>
        <v>0</v>
      </c>
      <c r="J277" s="97">
        <f t="shared" si="64"/>
        <v>30000</v>
      </c>
      <c r="K277" s="97">
        <f t="shared" si="64"/>
        <v>15000</v>
      </c>
      <c r="L277" s="97">
        <f t="shared" si="64"/>
        <v>30000</v>
      </c>
      <c r="M277" s="98">
        <f t="shared" si="62"/>
        <v>15000</v>
      </c>
      <c r="N277" s="149">
        <f>M277/G272</f>
        <v>0.25</v>
      </c>
      <c r="O277" s="134">
        <f t="shared" si="64"/>
        <v>0</v>
      </c>
      <c r="P277" s="97">
        <f t="shared" si="64"/>
        <v>0</v>
      </c>
      <c r="Q277" s="97">
        <f t="shared" si="64"/>
        <v>0</v>
      </c>
      <c r="R277" s="97">
        <f t="shared" si="64"/>
        <v>0</v>
      </c>
      <c r="S277" s="97">
        <f t="shared" si="64"/>
        <v>0</v>
      </c>
      <c r="T277" s="97">
        <f t="shared" si="64"/>
        <v>0</v>
      </c>
      <c r="U277" s="97">
        <f t="shared" si="64"/>
        <v>0</v>
      </c>
      <c r="V277" s="97">
        <f t="shared" si="64"/>
        <v>0</v>
      </c>
      <c r="W277" s="97">
        <f t="shared" si="64"/>
        <v>0</v>
      </c>
      <c r="X277" s="97">
        <f t="shared" si="64"/>
        <v>0</v>
      </c>
      <c r="Y277" s="97">
        <f t="shared" si="64"/>
        <v>0</v>
      </c>
      <c r="Z277" s="97">
        <f t="shared" si="64"/>
        <v>0</v>
      </c>
      <c r="AA277" s="97">
        <f t="shared" si="64"/>
        <v>0</v>
      </c>
      <c r="AB277" s="97">
        <f t="shared" si="64"/>
        <v>0</v>
      </c>
      <c r="AC277" s="97">
        <f t="shared" si="64"/>
        <v>0</v>
      </c>
      <c r="AD277" s="97">
        <f t="shared" si="64"/>
        <v>0</v>
      </c>
      <c r="AE277" s="97">
        <f t="shared" si="64"/>
        <v>0</v>
      </c>
      <c r="AF277" s="97">
        <f t="shared" si="64"/>
        <v>0</v>
      </c>
      <c r="AG277" s="97">
        <f t="shared" si="64"/>
        <v>0</v>
      </c>
      <c r="AH277" s="97">
        <f t="shared" si="64"/>
        <v>0</v>
      </c>
      <c r="AI277" s="97">
        <f t="shared" si="64"/>
        <v>0</v>
      </c>
      <c r="AJ277" s="97">
        <f t="shared" si="64"/>
        <v>0</v>
      </c>
      <c r="AK277" s="97">
        <f t="shared" si="64"/>
        <v>0</v>
      </c>
      <c r="AL277" s="97">
        <f t="shared" si="64"/>
        <v>0</v>
      </c>
    </row>
    <row r="278" spans="1:38" s="90" customFormat="1" ht="15" customHeight="1" thickBot="1">
      <c r="A278" s="348"/>
      <c r="B278" s="350"/>
      <c r="C278" s="352"/>
      <c r="D278" s="353"/>
      <c r="E278" s="168"/>
      <c r="F278" s="248"/>
      <c r="G278" s="85">
        <v>60000</v>
      </c>
      <c r="H278" s="105" t="s">
        <v>19</v>
      </c>
      <c r="I278" s="100">
        <f t="shared" si="64"/>
        <v>0</v>
      </c>
      <c r="J278" s="101">
        <f t="shared" si="64"/>
        <v>0</v>
      </c>
      <c r="K278" s="101">
        <f t="shared" si="64"/>
        <v>0</v>
      </c>
      <c r="L278" s="101">
        <f t="shared" si="64"/>
        <v>0</v>
      </c>
      <c r="M278" s="102">
        <f t="shared" si="62"/>
        <v>0</v>
      </c>
      <c r="N278" s="149"/>
      <c r="O278" s="135">
        <f t="shared" si="64"/>
        <v>0</v>
      </c>
      <c r="P278" s="101">
        <f t="shared" si="64"/>
        <v>0</v>
      </c>
      <c r="Q278" s="101">
        <f t="shared" si="64"/>
        <v>0</v>
      </c>
      <c r="R278" s="101">
        <f t="shared" si="64"/>
        <v>0</v>
      </c>
      <c r="S278" s="101">
        <f t="shared" si="64"/>
        <v>0</v>
      </c>
      <c r="T278" s="101">
        <f t="shared" si="64"/>
        <v>0</v>
      </c>
      <c r="U278" s="101">
        <f t="shared" si="64"/>
        <v>0</v>
      </c>
      <c r="V278" s="101">
        <f t="shared" si="64"/>
        <v>0</v>
      </c>
      <c r="W278" s="101">
        <f t="shared" si="64"/>
        <v>0</v>
      </c>
      <c r="X278" s="101">
        <f t="shared" si="64"/>
        <v>0</v>
      </c>
      <c r="Y278" s="101">
        <f t="shared" si="64"/>
        <v>0</v>
      </c>
      <c r="Z278" s="101">
        <f t="shared" si="64"/>
        <v>0</v>
      </c>
      <c r="AA278" s="101">
        <f t="shared" si="64"/>
        <v>0</v>
      </c>
      <c r="AB278" s="109">
        <f t="shared" si="64"/>
        <v>0</v>
      </c>
      <c r="AC278" s="109">
        <f t="shared" si="64"/>
        <v>0</v>
      </c>
      <c r="AD278" s="109">
        <f t="shared" si="64"/>
        <v>0</v>
      </c>
      <c r="AE278" s="109">
        <f t="shared" si="64"/>
        <v>0</v>
      </c>
      <c r="AF278" s="109">
        <f t="shared" si="64"/>
        <v>0</v>
      </c>
      <c r="AG278" s="109">
        <f t="shared" si="64"/>
        <v>0</v>
      </c>
      <c r="AH278" s="109">
        <f t="shared" si="64"/>
        <v>0</v>
      </c>
      <c r="AI278" s="109">
        <f t="shared" si="64"/>
        <v>0</v>
      </c>
      <c r="AJ278" s="109">
        <f t="shared" si="64"/>
        <v>0</v>
      </c>
      <c r="AK278" s="109">
        <f t="shared" si="64"/>
        <v>0</v>
      </c>
      <c r="AL278" s="109">
        <f t="shared" si="64"/>
        <v>0</v>
      </c>
    </row>
    <row r="279" spans="1:38" s="90" customFormat="1" ht="15" customHeight="1">
      <c r="A279" s="354">
        <v>35</v>
      </c>
      <c r="B279" s="356" t="s">
        <v>115</v>
      </c>
      <c r="C279" s="357">
        <v>85214</v>
      </c>
      <c r="D279" s="358" t="s">
        <v>65</v>
      </c>
      <c r="E279" s="167"/>
      <c r="F279" s="223">
        <v>2010</v>
      </c>
      <c r="G279" s="81" t="s">
        <v>9</v>
      </c>
      <c r="H279" s="103" t="s">
        <v>10</v>
      </c>
      <c r="I279" s="59">
        <v>1130242</v>
      </c>
      <c r="J279" s="87">
        <v>283000</v>
      </c>
      <c r="K279" s="87">
        <v>283000</v>
      </c>
      <c r="L279" s="87">
        <v>566000</v>
      </c>
      <c r="M279" s="158">
        <f t="shared" si="62"/>
        <v>1413242</v>
      </c>
      <c r="N279" s="59">
        <v>0</v>
      </c>
      <c r="O279" s="132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</row>
    <row r="280" spans="1:38" s="90" customFormat="1" ht="15" customHeight="1">
      <c r="A280" s="348"/>
      <c r="B280" s="349"/>
      <c r="C280" s="351"/>
      <c r="D280" s="353"/>
      <c r="E280" s="168"/>
      <c r="F280" s="361"/>
      <c r="G280" s="341">
        <v>1413242</v>
      </c>
      <c r="H280" s="104" t="s">
        <v>11</v>
      </c>
      <c r="I280" s="92"/>
      <c r="J280" s="93"/>
      <c r="K280" s="93"/>
      <c r="L280" s="93"/>
      <c r="M280" s="159">
        <f t="shared" si="62"/>
        <v>0</v>
      </c>
      <c r="N280" s="92"/>
      <c r="O280" s="133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</row>
    <row r="281" spans="1:38" s="90" customFormat="1" ht="15" customHeight="1">
      <c r="A281" s="348"/>
      <c r="B281" s="349"/>
      <c r="C281" s="351"/>
      <c r="D281" s="353"/>
      <c r="E281" s="168"/>
      <c r="F281" s="361"/>
      <c r="G281" s="342"/>
      <c r="H281" s="104" t="s">
        <v>12</v>
      </c>
      <c r="I281" s="92"/>
      <c r="J281" s="93"/>
      <c r="K281" s="93"/>
      <c r="L281" s="93"/>
      <c r="M281" s="159">
        <f t="shared" si="62"/>
        <v>0</v>
      </c>
      <c r="N281" s="92"/>
      <c r="O281" s="133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</row>
    <row r="282" spans="1:38" s="90" customFormat="1" ht="15" customHeight="1">
      <c r="A282" s="348"/>
      <c r="B282" s="349"/>
      <c r="C282" s="351"/>
      <c r="D282" s="353"/>
      <c r="E282" s="168"/>
      <c r="F282" s="224"/>
      <c r="G282" s="83" t="s">
        <v>13</v>
      </c>
      <c r="H282" s="104" t="s">
        <v>14</v>
      </c>
      <c r="I282" s="92"/>
      <c r="J282" s="93"/>
      <c r="K282" s="93"/>
      <c r="L282" s="93"/>
      <c r="M282" s="159">
        <f t="shared" si="62"/>
        <v>0</v>
      </c>
      <c r="N282" s="92"/>
      <c r="O282" s="133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</row>
    <row r="283" spans="1:38" s="90" customFormat="1" ht="15" customHeight="1">
      <c r="A283" s="348"/>
      <c r="B283" s="349"/>
      <c r="C283" s="351"/>
      <c r="D283" s="353"/>
      <c r="E283" s="168"/>
      <c r="F283" s="360">
        <v>2013</v>
      </c>
      <c r="G283" s="341">
        <v>0</v>
      </c>
      <c r="H283" s="104" t="s">
        <v>15</v>
      </c>
      <c r="I283" s="92"/>
      <c r="J283" s="93"/>
      <c r="K283" s="93"/>
      <c r="L283" s="93"/>
      <c r="M283" s="159">
        <f t="shared" si="62"/>
        <v>0</v>
      </c>
      <c r="N283" s="92"/>
      <c r="O283" s="133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</row>
    <row r="284" spans="1:38" s="90" customFormat="1" ht="15" customHeight="1">
      <c r="A284" s="348"/>
      <c r="B284" s="349"/>
      <c r="C284" s="351"/>
      <c r="D284" s="353"/>
      <c r="E284" s="168"/>
      <c r="F284" s="361"/>
      <c r="G284" s="342"/>
      <c r="H284" s="110" t="s">
        <v>16</v>
      </c>
      <c r="I284" s="92"/>
      <c r="J284" s="93"/>
      <c r="K284" s="93"/>
      <c r="L284" s="93"/>
      <c r="M284" s="159">
        <f t="shared" si="62"/>
        <v>0</v>
      </c>
      <c r="N284" s="92"/>
      <c r="O284" s="133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</row>
    <row r="285" spans="1:38" s="90" customFormat="1" ht="15" customHeight="1">
      <c r="A285" s="348"/>
      <c r="B285" s="349"/>
      <c r="C285" s="351"/>
      <c r="D285" s="353"/>
      <c r="E285" s="168"/>
      <c r="F285" s="361"/>
      <c r="G285" s="83" t="s">
        <v>17</v>
      </c>
      <c r="H285" s="104" t="s">
        <v>18</v>
      </c>
      <c r="I285" s="96">
        <f aca="true" t="shared" si="65" ref="I285:AL286">SUM(I279,I283)</f>
        <v>1130242</v>
      </c>
      <c r="J285" s="97">
        <f t="shared" si="65"/>
        <v>283000</v>
      </c>
      <c r="K285" s="97">
        <f t="shared" si="65"/>
        <v>283000</v>
      </c>
      <c r="L285" s="97">
        <f t="shared" si="65"/>
        <v>566000</v>
      </c>
      <c r="M285" s="98">
        <f t="shared" si="62"/>
        <v>1413242</v>
      </c>
      <c r="N285" s="149">
        <f>M285/G280</f>
        <v>1</v>
      </c>
      <c r="O285" s="134">
        <f t="shared" si="65"/>
        <v>0</v>
      </c>
      <c r="P285" s="97">
        <f t="shared" si="65"/>
        <v>0</v>
      </c>
      <c r="Q285" s="97">
        <f t="shared" si="65"/>
        <v>0</v>
      </c>
      <c r="R285" s="97">
        <f t="shared" si="65"/>
        <v>0</v>
      </c>
      <c r="S285" s="97">
        <f t="shared" si="65"/>
        <v>0</v>
      </c>
      <c r="T285" s="97">
        <f t="shared" si="65"/>
        <v>0</v>
      </c>
      <c r="U285" s="97">
        <f t="shared" si="65"/>
        <v>0</v>
      </c>
      <c r="V285" s="97">
        <f t="shared" si="65"/>
        <v>0</v>
      </c>
      <c r="W285" s="97">
        <f t="shared" si="65"/>
        <v>0</v>
      </c>
      <c r="X285" s="97">
        <f t="shared" si="65"/>
        <v>0</v>
      </c>
      <c r="Y285" s="97">
        <f t="shared" si="65"/>
        <v>0</v>
      </c>
      <c r="Z285" s="97">
        <f t="shared" si="65"/>
        <v>0</v>
      </c>
      <c r="AA285" s="97">
        <f t="shared" si="65"/>
        <v>0</v>
      </c>
      <c r="AB285" s="97">
        <f t="shared" si="65"/>
        <v>0</v>
      </c>
      <c r="AC285" s="97">
        <f t="shared" si="65"/>
        <v>0</v>
      </c>
      <c r="AD285" s="97">
        <f t="shared" si="65"/>
        <v>0</v>
      </c>
      <c r="AE285" s="97">
        <f t="shared" si="65"/>
        <v>0</v>
      </c>
      <c r="AF285" s="97">
        <f t="shared" si="65"/>
        <v>0</v>
      </c>
      <c r="AG285" s="97">
        <f t="shared" si="65"/>
        <v>0</v>
      </c>
      <c r="AH285" s="97">
        <f t="shared" si="65"/>
        <v>0</v>
      </c>
      <c r="AI285" s="97">
        <f t="shared" si="65"/>
        <v>0</v>
      </c>
      <c r="AJ285" s="97">
        <f t="shared" si="65"/>
        <v>0</v>
      </c>
      <c r="AK285" s="97">
        <f t="shared" si="65"/>
        <v>0</v>
      </c>
      <c r="AL285" s="97">
        <f t="shared" si="65"/>
        <v>0</v>
      </c>
    </row>
    <row r="286" spans="1:38" s="90" customFormat="1" ht="15" customHeight="1" thickBot="1">
      <c r="A286" s="348"/>
      <c r="B286" s="350"/>
      <c r="C286" s="352"/>
      <c r="D286" s="359"/>
      <c r="E286" s="169"/>
      <c r="F286" s="248"/>
      <c r="G286" s="85">
        <v>1413242</v>
      </c>
      <c r="H286" s="105" t="s">
        <v>19</v>
      </c>
      <c r="I286" s="100">
        <f t="shared" si="65"/>
        <v>0</v>
      </c>
      <c r="J286" s="101">
        <f t="shared" si="65"/>
        <v>0</v>
      </c>
      <c r="K286" s="101">
        <f t="shared" si="65"/>
        <v>0</v>
      </c>
      <c r="L286" s="101">
        <f t="shared" si="65"/>
        <v>0</v>
      </c>
      <c r="M286" s="102">
        <f t="shared" si="62"/>
        <v>0</v>
      </c>
      <c r="N286" s="149"/>
      <c r="O286" s="135">
        <f t="shared" si="65"/>
        <v>0</v>
      </c>
      <c r="P286" s="101">
        <f t="shared" si="65"/>
        <v>0</v>
      </c>
      <c r="Q286" s="101">
        <f t="shared" si="65"/>
        <v>0</v>
      </c>
      <c r="R286" s="101">
        <f t="shared" si="65"/>
        <v>0</v>
      </c>
      <c r="S286" s="101">
        <f t="shared" si="65"/>
        <v>0</v>
      </c>
      <c r="T286" s="101">
        <f t="shared" si="65"/>
        <v>0</v>
      </c>
      <c r="U286" s="101">
        <f t="shared" si="65"/>
        <v>0</v>
      </c>
      <c r="V286" s="101">
        <f t="shared" si="65"/>
        <v>0</v>
      </c>
      <c r="W286" s="101">
        <f t="shared" si="65"/>
        <v>0</v>
      </c>
      <c r="X286" s="101">
        <f t="shared" si="65"/>
        <v>0</v>
      </c>
      <c r="Y286" s="101">
        <f t="shared" si="65"/>
        <v>0</v>
      </c>
      <c r="Z286" s="101">
        <f t="shared" si="65"/>
        <v>0</v>
      </c>
      <c r="AA286" s="101">
        <f t="shared" si="65"/>
        <v>0</v>
      </c>
      <c r="AB286" s="101">
        <f t="shared" si="65"/>
        <v>0</v>
      </c>
      <c r="AC286" s="101">
        <f t="shared" si="65"/>
        <v>0</v>
      </c>
      <c r="AD286" s="101">
        <f t="shared" si="65"/>
        <v>0</v>
      </c>
      <c r="AE286" s="101">
        <f t="shared" si="65"/>
        <v>0</v>
      </c>
      <c r="AF286" s="101">
        <f t="shared" si="65"/>
        <v>0</v>
      </c>
      <c r="AG286" s="101">
        <f t="shared" si="65"/>
        <v>0</v>
      </c>
      <c r="AH286" s="101">
        <f t="shared" si="65"/>
        <v>0</v>
      </c>
      <c r="AI286" s="101">
        <f t="shared" si="65"/>
        <v>0</v>
      </c>
      <c r="AJ286" s="101">
        <f t="shared" si="65"/>
        <v>0</v>
      </c>
      <c r="AK286" s="101">
        <f t="shared" si="65"/>
        <v>0</v>
      </c>
      <c r="AL286" s="101">
        <f t="shared" si="65"/>
        <v>0</v>
      </c>
    </row>
    <row r="287" spans="1:38" s="90" customFormat="1" ht="17.25" customHeight="1">
      <c r="A287" s="354">
        <v>36</v>
      </c>
      <c r="B287" s="356" t="s">
        <v>66</v>
      </c>
      <c r="C287" s="357">
        <v>85214</v>
      </c>
      <c r="D287" s="358" t="s">
        <v>65</v>
      </c>
      <c r="E287" s="167"/>
      <c r="F287" s="223">
        <v>2011</v>
      </c>
      <c r="G287" s="81" t="s">
        <v>9</v>
      </c>
      <c r="H287" s="103" t="s">
        <v>10</v>
      </c>
      <c r="I287" s="59">
        <v>173244</v>
      </c>
      <c r="J287" s="199">
        <v>280100</v>
      </c>
      <c r="K287" s="87">
        <v>306300</v>
      </c>
      <c r="L287" s="87">
        <v>599500</v>
      </c>
      <c r="M287" s="158">
        <f t="shared" si="62"/>
        <v>479544</v>
      </c>
      <c r="N287" s="59">
        <v>0</v>
      </c>
      <c r="O287" s="132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</row>
    <row r="288" spans="1:38" s="90" customFormat="1" ht="12.75">
      <c r="A288" s="348"/>
      <c r="B288" s="349"/>
      <c r="C288" s="351"/>
      <c r="D288" s="353"/>
      <c r="E288" s="168"/>
      <c r="F288" s="361"/>
      <c r="G288" s="341">
        <v>453344</v>
      </c>
      <c r="H288" s="104" t="s">
        <v>11</v>
      </c>
      <c r="I288" s="92"/>
      <c r="J288" s="200"/>
      <c r="K288" s="93"/>
      <c r="L288" s="93"/>
      <c r="M288" s="159">
        <f t="shared" si="62"/>
        <v>0</v>
      </c>
      <c r="N288" s="92"/>
      <c r="O288" s="133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</row>
    <row r="289" spans="1:38" s="90" customFormat="1" ht="12.75">
      <c r="A289" s="348"/>
      <c r="B289" s="349"/>
      <c r="C289" s="351"/>
      <c r="D289" s="353"/>
      <c r="E289" s="168"/>
      <c r="F289" s="361"/>
      <c r="G289" s="342"/>
      <c r="H289" s="104" t="s">
        <v>12</v>
      </c>
      <c r="I289" s="92"/>
      <c r="J289" s="200"/>
      <c r="K289" s="93"/>
      <c r="L289" s="93"/>
      <c r="M289" s="159">
        <f t="shared" si="62"/>
        <v>0</v>
      </c>
      <c r="N289" s="92"/>
      <c r="O289" s="133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</row>
    <row r="290" spans="1:38" s="90" customFormat="1" ht="12.75">
      <c r="A290" s="348"/>
      <c r="B290" s="349"/>
      <c r="C290" s="351"/>
      <c r="D290" s="353"/>
      <c r="E290" s="168"/>
      <c r="F290" s="224"/>
      <c r="G290" s="83" t="s">
        <v>13</v>
      </c>
      <c r="H290" s="104" t="s">
        <v>14</v>
      </c>
      <c r="I290" s="92"/>
      <c r="J290" s="200"/>
      <c r="K290" s="93"/>
      <c r="L290" s="93"/>
      <c r="M290" s="159">
        <f t="shared" si="62"/>
        <v>0</v>
      </c>
      <c r="N290" s="92"/>
      <c r="O290" s="133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</row>
    <row r="291" spans="1:38" s="90" customFormat="1" ht="12.75">
      <c r="A291" s="348"/>
      <c r="B291" s="349"/>
      <c r="C291" s="351"/>
      <c r="D291" s="353"/>
      <c r="E291" s="168"/>
      <c r="F291" s="360">
        <v>2013</v>
      </c>
      <c r="G291" s="341">
        <v>0</v>
      </c>
      <c r="H291" s="104" t="s">
        <v>15</v>
      </c>
      <c r="I291" s="92"/>
      <c r="J291" s="200"/>
      <c r="K291" s="93"/>
      <c r="L291" s="93"/>
      <c r="M291" s="159">
        <f t="shared" si="62"/>
        <v>0</v>
      </c>
      <c r="N291" s="92"/>
      <c r="O291" s="133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</row>
    <row r="292" spans="1:38" s="90" customFormat="1" ht="17.25" customHeight="1">
      <c r="A292" s="348"/>
      <c r="B292" s="349"/>
      <c r="C292" s="351"/>
      <c r="D292" s="353"/>
      <c r="E292" s="168"/>
      <c r="F292" s="361"/>
      <c r="G292" s="342"/>
      <c r="H292" s="104" t="s">
        <v>16</v>
      </c>
      <c r="I292" s="92"/>
      <c r="J292" s="200"/>
      <c r="K292" s="93"/>
      <c r="L292" s="93"/>
      <c r="M292" s="159">
        <f t="shared" si="62"/>
        <v>0</v>
      </c>
      <c r="N292" s="92"/>
      <c r="O292" s="133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</row>
    <row r="293" spans="1:38" s="90" customFormat="1" ht="17.25" customHeight="1">
      <c r="A293" s="348"/>
      <c r="B293" s="349"/>
      <c r="C293" s="351"/>
      <c r="D293" s="353"/>
      <c r="E293" s="168"/>
      <c r="F293" s="361"/>
      <c r="G293" s="83" t="s">
        <v>17</v>
      </c>
      <c r="H293" s="104" t="s">
        <v>18</v>
      </c>
      <c r="I293" s="96">
        <f aca="true" t="shared" si="66" ref="I293:AL294">I287+I289+I291</f>
        <v>173244</v>
      </c>
      <c r="J293" s="201">
        <f t="shared" si="66"/>
        <v>280100</v>
      </c>
      <c r="K293" s="97">
        <f t="shared" si="66"/>
        <v>306300</v>
      </c>
      <c r="L293" s="97">
        <f t="shared" si="66"/>
        <v>599500</v>
      </c>
      <c r="M293" s="98">
        <f t="shared" si="62"/>
        <v>479544</v>
      </c>
      <c r="N293" s="149">
        <f>M293/G288</f>
        <v>1.057792757817463</v>
      </c>
      <c r="O293" s="134">
        <f t="shared" si="66"/>
        <v>0</v>
      </c>
      <c r="P293" s="97">
        <f t="shared" si="66"/>
        <v>0</v>
      </c>
      <c r="Q293" s="97">
        <f t="shared" si="66"/>
        <v>0</v>
      </c>
      <c r="R293" s="97">
        <f t="shared" si="66"/>
        <v>0</v>
      </c>
      <c r="S293" s="97">
        <f t="shared" si="66"/>
        <v>0</v>
      </c>
      <c r="T293" s="97">
        <f t="shared" si="66"/>
        <v>0</v>
      </c>
      <c r="U293" s="97">
        <f t="shared" si="66"/>
        <v>0</v>
      </c>
      <c r="V293" s="97">
        <f t="shared" si="66"/>
        <v>0</v>
      </c>
      <c r="W293" s="97">
        <f t="shared" si="66"/>
        <v>0</v>
      </c>
      <c r="X293" s="97">
        <f t="shared" si="66"/>
        <v>0</v>
      </c>
      <c r="Y293" s="97">
        <f t="shared" si="66"/>
        <v>0</v>
      </c>
      <c r="Z293" s="97">
        <f t="shared" si="66"/>
        <v>0</v>
      </c>
      <c r="AA293" s="97">
        <f t="shared" si="66"/>
        <v>0</v>
      </c>
      <c r="AB293" s="97">
        <f t="shared" si="66"/>
        <v>0</v>
      </c>
      <c r="AC293" s="97">
        <f t="shared" si="66"/>
        <v>0</v>
      </c>
      <c r="AD293" s="97">
        <f t="shared" si="66"/>
        <v>0</v>
      </c>
      <c r="AE293" s="97">
        <f t="shared" si="66"/>
        <v>0</v>
      </c>
      <c r="AF293" s="97">
        <f t="shared" si="66"/>
        <v>0</v>
      </c>
      <c r="AG293" s="97">
        <f t="shared" si="66"/>
        <v>0</v>
      </c>
      <c r="AH293" s="97">
        <f t="shared" si="66"/>
        <v>0</v>
      </c>
      <c r="AI293" s="97">
        <f t="shared" si="66"/>
        <v>0</v>
      </c>
      <c r="AJ293" s="97">
        <f t="shared" si="66"/>
        <v>0</v>
      </c>
      <c r="AK293" s="97">
        <f t="shared" si="66"/>
        <v>0</v>
      </c>
      <c r="AL293" s="97">
        <f t="shared" si="66"/>
        <v>0</v>
      </c>
    </row>
    <row r="294" spans="1:38" s="90" customFormat="1" ht="17.25" customHeight="1" thickBot="1">
      <c r="A294" s="355"/>
      <c r="B294" s="350"/>
      <c r="C294" s="352"/>
      <c r="D294" s="359"/>
      <c r="E294" s="169"/>
      <c r="F294" s="248"/>
      <c r="G294" s="85">
        <v>453344</v>
      </c>
      <c r="H294" s="105" t="s">
        <v>19</v>
      </c>
      <c r="I294" s="100">
        <f t="shared" si="66"/>
        <v>0</v>
      </c>
      <c r="J294" s="202">
        <f t="shared" si="66"/>
        <v>0</v>
      </c>
      <c r="K294" s="101">
        <f t="shared" si="66"/>
        <v>0</v>
      </c>
      <c r="L294" s="101">
        <f t="shared" si="66"/>
        <v>0</v>
      </c>
      <c r="M294" s="102">
        <f t="shared" si="62"/>
        <v>0</v>
      </c>
      <c r="N294" s="150"/>
      <c r="O294" s="135">
        <f t="shared" si="66"/>
        <v>0</v>
      </c>
      <c r="P294" s="101">
        <f t="shared" si="66"/>
        <v>0</v>
      </c>
      <c r="Q294" s="101">
        <f t="shared" si="66"/>
        <v>0</v>
      </c>
      <c r="R294" s="101">
        <f t="shared" si="66"/>
        <v>0</v>
      </c>
      <c r="S294" s="101">
        <f t="shared" si="66"/>
        <v>0</v>
      </c>
      <c r="T294" s="101">
        <f t="shared" si="66"/>
        <v>0</v>
      </c>
      <c r="U294" s="101">
        <f t="shared" si="66"/>
        <v>0</v>
      </c>
      <c r="V294" s="101">
        <f t="shared" si="66"/>
        <v>0</v>
      </c>
      <c r="W294" s="101">
        <f t="shared" si="66"/>
        <v>0</v>
      </c>
      <c r="X294" s="101">
        <f t="shared" si="66"/>
        <v>0</v>
      </c>
      <c r="Y294" s="101">
        <f t="shared" si="66"/>
        <v>0</v>
      </c>
      <c r="Z294" s="101">
        <f t="shared" si="66"/>
        <v>0</v>
      </c>
      <c r="AA294" s="101">
        <f t="shared" si="66"/>
        <v>0</v>
      </c>
      <c r="AB294" s="101">
        <f t="shared" si="66"/>
        <v>0</v>
      </c>
      <c r="AC294" s="101">
        <f t="shared" si="66"/>
        <v>0</v>
      </c>
      <c r="AD294" s="101">
        <f t="shared" si="66"/>
        <v>0</v>
      </c>
      <c r="AE294" s="101">
        <f t="shared" si="66"/>
        <v>0</v>
      </c>
      <c r="AF294" s="101">
        <f t="shared" si="66"/>
        <v>0</v>
      </c>
      <c r="AG294" s="101">
        <f t="shared" si="66"/>
        <v>0</v>
      </c>
      <c r="AH294" s="101">
        <f t="shared" si="66"/>
        <v>0</v>
      </c>
      <c r="AI294" s="101">
        <f t="shared" si="66"/>
        <v>0</v>
      </c>
      <c r="AJ294" s="101">
        <f t="shared" si="66"/>
        <v>0</v>
      </c>
      <c r="AK294" s="101">
        <f t="shared" si="66"/>
        <v>0</v>
      </c>
      <c r="AL294" s="101">
        <f t="shared" si="66"/>
        <v>0</v>
      </c>
    </row>
    <row r="295" spans="1:38" s="90" customFormat="1" ht="15" customHeight="1">
      <c r="A295" s="354">
        <v>37</v>
      </c>
      <c r="B295" s="356" t="s">
        <v>67</v>
      </c>
      <c r="C295" s="357">
        <v>85214</v>
      </c>
      <c r="D295" s="358" t="s">
        <v>65</v>
      </c>
      <c r="E295" s="167"/>
      <c r="F295" s="223">
        <v>2011</v>
      </c>
      <c r="G295" s="81" t="s">
        <v>9</v>
      </c>
      <c r="H295" s="103" t="s">
        <v>10</v>
      </c>
      <c r="I295" s="59">
        <v>244762</v>
      </c>
      <c r="J295" s="199">
        <v>57636</v>
      </c>
      <c r="K295" s="87">
        <v>113432</v>
      </c>
      <c r="L295" s="87">
        <v>230545</v>
      </c>
      <c r="M295" s="158">
        <f t="shared" si="62"/>
        <v>358194</v>
      </c>
      <c r="N295" s="59">
        <v>0</v>
      </c>
      <c r="O295" s="137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</row>
    <row r="296" spans="1:38" s="90" customFormat="1" ht="15" customHeight="1">
      <c r="A296" s="348"/>
      <c r="B296" s="349"/>
      <c r="C296" s="351"/>
      <c r="D296" s="353"/>
      <c r="E296" s="168"/>
      <c r="F296" s="361"/>
      <c r="G296" s="341">
        <v>302398</v>
      </c>
      <c r="H296" s="104" t="s">
        <v>11</v>
      </c>
      <c r="I296" s="92"/>
      <c r="J296" s="200"/>
      <c r="K296" s="93"/>
      <c r="L296" s="93"/>
      <c r="M296" s="159">
        <f t="shared" si="62"/>
        <v>0</v>
      </c>
      <c r="N296" s="92"/>
      <c r="O296" s="133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</row>
    <row r="297" spans="1:38" s="90" customFormat="1" ht="15" customHeight="1">
      <c r="A297" s="348"/>
      <c r="B297" s="349"/>
      <c r="C297" s="351"/>
      <c r="D297" s="353"/>
      <c r="E297" s="168"/>
      <c r="F297" s="361"/>
      <c r="G297" s="342"/>
      <c r="H297" s="104" t="s">
        <v>12</v>
      </c>
      <c r="I297" s="92"/>
      <c r="J297" s="200"/>
      <c r="K297" s="93"/>
      <c r="L297" s="93"/>
      <c r="M297" s="159">
        <f t="shared" si="62"/>
        <v>0</v>
      </c>
      <c r="N297" s="92"/>
      <c r="O297" s="133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</row>
    <row r="298" spans="1:38" s="90" customFormat="1" ht="15" customHeight="1">
      <c r="A298" s="348"/>
      <c r="B298" s="349"/>
      <c r="C298" s="351"/>
      <c r="D298" s="353"/>
      <c r="E298" s="168"/>
      <c r="F298" s="224"/>
      <c r="G298" s="83" t="s">
        <v>13</v>
      </c>
      <c r="H298" s="104" t="s">
        <v>14</v>
      </c>
      <c r="I298" s="92"/>
      <c r="J298" s="200"/>
      <c r="K298" s="93"/>
      <c r="L298" s="93"/>
      <c r="M298" s="159">
        <f t="shared" si="62"/>
        <v>0</v>
      </c>
      <c r="N298" s="92"/>
      <c r="O298" s="133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</row>
    <row r="299" spans="1:38" s="90" customFormat="1" ht="15" customHeight="1">
      <c r="A299" s="348"/>
      <c r="B299" s="349"/>
      <c r="C299" s="351"/>
      <c r="D299" s="353"/>
      <c r="E299" s="168"/>
      <c r="F299" s="360">
        <v>2013</v>
      </c>
      <c r="G299" s="341">
        <v>0</v>
      </c>
      <c r="H299" s="104" t="s">
        <v>15</v>
      </c>
      <c r="I299" s="92"/>
      <c r="J299" s="200"/>
      <c r="K299" s="93"/>
      <c r="L299" s="93"/>
      <c r="M299" s="159">
        <f t="shared" si="62"/>
        <v>0</v>
      </c>
      <c r="N299" s="92"/>
      <c r="O299" s="133"/>
      <c r="P299" s="95"/>
      <c r="Q299" s="95"/>
      <c r="R299" s="95"/>
      <c r="S299" s="95"/>
      <c r="T299" s="94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</row>
    <row r="300" spans="1:38" s="90" customFormat="1" ht="15" customHeight="1">
      <c r="A300" s="348"/>
      <c r="B300" s="349"/>
      <c r="C300" s="351"/>
      <c r="D300" s="353"/>
      <c r="E300" s="168"/>
      <c r="F300" s="361"/>
      <c r="G300" s="342"/>
      <c r="H300" s="104" t="s">
        <v>16</v>
      </c>
      <c r="I300" s="92"/>
      <c r="J300" s="200"/>
      <c r="K300" s="93"/>
      <c r="L300" s="93"/>
      <c r="M300" s="159">
        <f t="shared" si="62"/>
        <v>0</v>
      </c>
      <c r="N300" s="92"/>
      <c r="O300" s="133"/>
      <c r="P300" s="95"/>
      <c r="Q300" s="95"/>
      <c r="R300" s="95"/>
      <c r="S300" s="95"/>
      <c r="T300" s="94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</row>
    <row r="301" spans="1:38" s="90" customFormat="1" ht="15" customHeight="1">
      <c r="A301" s="348"/>
      <c r="B301" s="349"/>
      <c r="C301" s="351"/>
      <c r="D301" s="353"/>
      <c r="E301" s="168"/>
      <c r="F301" s="361"/>
      <c r="G301" s="83" t="s">
        <v>17</v>
      </c>
      <c r="H301" s="104" t="s">
        <v>18</v>
      </c>
      <c r="I301" s="96">
        <f aca="true" t="shared" si="67" ref="I301:AL302">I295+I297+I299</f>
        <v>244762</v>
      </c>
      <c r="J301" s="201">
        <f t="shared" si="67"/>
        <v>57636</v>
      </c>
      <c r="K301" s="97">
        <f t="shared" si="67"/>
        <v>113432</v>
      </c>
      <c r="L301" s="97">
        <f t="shared" si="67"/>
        <v>230545</v>
      </c>
      <c r="M301" s="98">
        <f t="shared" si="62"/>
        <v>358194</v>
      </c>
      <c r="N301" s="149">
        <f>M301/G296</f>
        <v>1.184511802326735</v>
      </c>
      <c r="O301" s="134">
        <f t="shared" si="67"/>
        <v>0</v>
      </c>
      <c r="P301" s="97">
        <f t="shared" si="67"/>
        <v>0</v>
      </c>
      <c r="Q301" s="97">
        <f t="shared" si="67"/>
        <v>0</v>
      </c>
      <c r="R301" s="97">
        <f t="shared" si="67"/>
        <v>0</v>
      </c>
      <c r="S301" s="97">
        <f t="shared" si="67"/>
        <v>0</v>
      </c>
      <c r="T301" s="97">
        <f t="shared" si="67"/>
        <v>0</v>
      </c>
      <c r="U301" s="97">
        <f t="shared" si="67"/>
        <v>0</v>
      </c>
      <c r="V301" s="97">
        <f t="shared" si="67"/>
        <v>0</v>
      </c>
      <c r="W301" s="97">
        <f t="shared" si="67"/>
        <v>0</v>
      </c>
      <c r="X301" s="97">
        <f t="shared" si="67"/>
        <v>0</v>
      </c>
      <c r="Y301" s="97">
        <f t="shared" si="67"/>
        <v>0</v>
      </c>
      <c r="Z301" s="97">
        <f t="shared" si="67"/>
        <v>0</v>
      </c>
      <c r="AA301" s="97">
        <f t="shared" si="67"/>
        <v>0</v>
      </c>
      <c r="AB301" s="97">
        <f t="shared" si="67"/>
        <v>0</v>
      </c>
      <c r="AC301" s="97">
        <f t="shared" si="67"/>
        <v>0</v>
      </c>
      <c r="AD301" s="97">
        <f t="shared" si="67"/>
        <v>0</v>
      </c>
      <c r="AE301" s="97">
        <f t="shared" si="67"/>
        <v>0</v>
      </c>
      <c r="AF301" s="97">
        <f t="shared" si="67"/>
        <v>0</v>
      </c>
      <c r="AG301" s="97">
        <f t="shared" si="67"/>
        <v>0</v>
      </c>
      <c r="AH301" s="97">
        <f t="shared" si="67"/>
        <v>0</v>
      </c>
      <c r="AI301" s="97">
        <f t="shared" si="67"/>
        <v>0</v>
      </c>
      <c r="AJ301" s="97">
        <f t="shared" si="67"/>
        <v>0</v>
      </c>
      <c r="AK301" s="97">
        <f t="shared" si="67"/>
        <v>0</v>
      </c>
      <c r="AL301" s="97">
        <f t="shared" si="67"/>
        <v>0</v>
      </c>
    </row>
    <row r="302" spans="1:38" s="90" customFormat="1" ht="15" customHeight="1" thickBot="1">
      <c r="A302" s="355"/>
      <c r="B302" s="350"/>
      <c r="C302" s="352"/>
      <c r="D302" s="359"/>
      <c r="E302" s="169"/>
      <c r="F302" s="248"/>
      <c r="G302" s="85">
        <v>302398</v>
      </c>
      <c r="H302" s="105" t="s">
        <v>19</v>
      </c>
      <c r="I302" s="100">
        <f t="shared" si="67"/>
        <v>0</v>
      </c>
      <c r="J302" s="202">
        <f t="shared" si="67"/>
        <v>0</v>
      </c>
      <c r="K302" s="101">
        <f t="shared" si="67"/>
        <v>0</v>
      </c>
      <c r="L302" s="101">
        <f t="shared" si="67"/>
        <v>0</v>
      </c>
      <c r="M302" s="102">
        <f t="shared" si="62"/>
        <v>0</v>
      </c>
      <c r="N302" s="150"/>
      <c r="O302" s="135">
        <f t="shared" si="67"/>
        <v>0</v>
      </c>
      <c r="P302" s="101">
        <f t="shared" si="67"/>
        <v>0</v>
      </c>
      <c r="Q302" s="101">
        <f t="shared" si="67"/>
        <v>0</v>
      </c>
      <c r="R302" s="101">
        <f t="shared" si="67"/>
        <v>0</v>
      </c>
      <c r="S302" s="101">
        <f t="shared" si="67"/>
        <v>0</v>
      </c>
      <c r="T302" s="101">
        <f t="shared" si="67"/>
        <v>0</v>
      </c>
      <c r="U302" s="101">
        <f t="shared" si="67"/>
        <v>0</v>
      </c>
      <c r="V302" s="101">
        <f t="shared" si="67"/>
        <v>0</v>
      </c>
      <c r="W302" s="101">
        <f t="shared" si="67"/>
        <v>0</v>
      </c>
      <c r="X302" s="101">
        <f t="shared" si="67"/>
        <v>0</v>
      </c>
      <c r="Y302" s="101">
        <f t="shared" si="67"/>
        <v>0</v>
      </c>
      <c r="Z302" s="101">
        <f t="shared" si="67"/>
        <v>0</v>
      </c>
      <c r="AA302" s="101">
        <f t="shared" si="67"/>
        <v>0</v>
      </c>
      <c r="AB302" s="101">
        <f t="shared" si="67"/>
        <v>0</v>
      </c>
      <c r="AC302" s="101">
        <f t="shared" si="67"/>
        <v>0</v>
      </c>
      <c r="AD302" s="101">
        <f t="shared" si="67"/>
        <v>0</v>
      </c>
      <c r="AE302" s="101">
        <f t="shared" si="67"/>
        <v>0</v>
      </c>
      <c r="AF302" s="101">
        <f t="shared" si="67"/>
        <v>0</v>
      </c>
      <c r="AG302" s="101">
        <f t="shared" si="67"/>
        <v>0</v>
      </c>
      <c r="AH302" s="101">
        <f t="shared" si="67"/>
        <v>0</v>
      </c>
      <c r="AI302" s="101">
        <f t="shared" si="67"/>
        <v>0</v>
      </c>
      <c r="AJ302" s="101">
        <f t="shared" si="67"/>
        <v>0</v>
      </c>
      <c r="AK302" s="101">
        <f t="shared" si="67"/>
        <v>0</v>
      </c>
      <c r="AL302" s="101">
        <f t="shared" si="67"/>
        <v>0</v>
      </c>
    </row>
    <row r="303" spans="1:38" s="90" customFormat="1" ht="15.75" customHeight="1">
      <c r="A303" s="354">
        <v>38</v>
      </c>
      <c r="B303" s="356" t="s">
        <v>124</v>
      </c>
      <c r="C303" s="357">
        <v>85228</v>
      </c>
      <c r="D303" s="358" t="s">
        <v>65</v>
      </c>
      <c r="E303" s="167"/>
      <c r="F303" s="223">
        <v>2011</v>
      </c>
      <c r="G303" s="81" t="s">
        <v>9</v>
      </c>
      <c r="H303" s="103" t="s">
        <v>10</v>
      </c>
      <c r="I303" s="59">
        <v>2601395</v>
      </c>
      <c r="J303" s="87">
        <v>1564017</v>
      </c>
      <c r="K303" s="87">
        <v>1430767</v>
      </c>
      <c r="L303" s="87">
        <v>1430767</v>
      </c>
      <c r="M303" s="158">
        <f t="shared" si="62"/>
        <v>4032162</v>
      </c>
      <c r="N303" s="59">
        <v>0</v>
      </c>
      <c r="O303" s="137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</row>
    <row r="304" spans="1:38" s="90" customFormat="1" ht="15.75" customHeight="1">
      <c r="A304" s="348"/>
      <c r="B304" s="349"/>
      <c r="C304" s="351"/>
      <c r="D304" s="353"/>
      <c r="E304" s="168"/>
      <c r="F304" s="361"/>
      <c r="G304" s="341">
        <v>4165412</v>
      </c>
      <c r="H304" s="104" t="s">
        <v>11</v>
      </c>
      <c r="I304" s="92"/>
      <c r="J304" s="93"/>
      <c r="K304" s="93"/>
      <c r="L304" s="93"/>
      <c r="M304" s="159">
        <f t="shared" si="62"/>
        <v>0</v>
      </c>
      <c r="N304" s="92"/>
      <c r="O304" s="133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</row>
    <row r="305" spans="1:38" s="90" customFormat="1" ht="15.75" customHeight="1">
      <c r="A305" s="348"/>
      <c r="B305" s="349"/>
      <c r="C305" s="351"/>
      <c r="D305" s="353"/>
      <c r="E305" s="168"/>
      <c r="F305" s="361"/>
      <c r="G305" s="342"/>
      <c r="H305" s="104" t="s">
        <v>12</v>
      </c>
      <c r="I305" s="92"/>
      <c r="J305" s="93"/>
      <c r="K305" s="93"/>
      <c r="L305" s="93"/>
      <c r="M305" s="159">
        <f t="shared" si="62"/>
        <v>0</v>
      </c>
      <c r="N305" s="92"/>
      <c r="O305" s="133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</row>
    <row r="306" spans="1:38" s="90" customFormat="1" ht="15.75" customHeight="1">
      <c r="A306" s="348"/>
      <c r="B306" s="349"/>
      <c r="C306" s="351"/>
      <c r="D306" s="353"/>
      <c r="E306" s="168"/>
      <c r="F306" s="224"/>
      <c r="G306" s="83" t="s">
        <v>13</v>
      </c>
      <c r="H306" s="104" t="s">
        <v>14</v>
      </c>
      <c r="I306" s="92"/>
      <c r="J306" s="93"/>
      <c r="K306" s="93"/>
      <c r="L306" s="93"/>
      <c r="M306" s="159">
        <f t="shared" si="62"/>
        <v>0</v>
      </c>
      <c r="N306" s="92"/>
      <c r="O306" s="133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</row>
    <row r="307" spans="1:38" s="90" customFormat="1" ht="15.75" customHeight="1">
      <c r="A307" s="348"/>
      <c r="B307" s="349"/>
      <c r="C307" s="351"/>
      <c r="D307" s="353"/>
      <c r="E307" s="168"/>
      <c r="F307" s="360">
        <v>2013</v>
      </c>
      <c r="G307" s="341">
        <v>0</v>
      </c>
      <c r="H307" s="104" t="s">
        <v>15</v>
      </c>
      <c r="I307" s="92"/>
      <c r="J307" s="93"/>
      <c r="K307" s="93"/>
      <c r="L307" s="93"/>
      <c r="M307" s="159">
        <f t="shared" si="62"/>
        <v>0</v>
      </c>
      <c r="N307" s="92"/>
      <c r="O307" s="133"/>
      <c r="P307" s="95"/>
      <c r="Q307" s="95"/>
      <c r="R307" s="95"/>
      <c r="S307" s="95"/>
      <c r="T307" s="94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</row>
    <row r="308" spans="1:38" s="90" customFormat="1" ht="15.75" customHeight="1">
      <c r="A308" s="348"/>
      <c r="B308" s="349"/>
      <c r="C308" s="351"/>
      <c r="D308" s="353"/>
      <c r="E308" s="168"/>
      <c r="F308" s="361"/>
      <c r="G308" s="342"/>
      <c r="H308" s="104" t="s">
        <v>16</v>
      </c>
      <c r="I308" s="92"/>
      <c r="J308" s="93"/>
      <c r="K308" s="93"/>
      <c r="L308" s="93"/>
      <c r="M308" s="159">
        <f t="shared" si="62"/>
        <v>0</v>
      </c>
      <c r="N308" s="92"/>
      <c r="O308" s="133"/>
      <c r="P308" s="95"/>
      <c r="Q308" s="95"/>
      <c r="R308" s="95"/>
      <c r="S308" s="95"/>
      <c r="T308" s="94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</row>
    <row r="309" spans="1:38" s="90" customFormat="1" ht="15.75" customHeight="1">
      <c r="A309" s="348"/>
      <c r="B309" s="349"/>
      <c r="C309" s="351"/>
      <c r="D309" s="353"/>
      <c r="E309" s="168"/>
      <c r="F309" s="361"/>
      <c r="G309" s="83" t="s">
        <v>17</v>
      </c>
      <c r="H309" s="104" t="s">
        <v>18</v>
      </c>
      <c r="I309" s="96">
        <f aca="true" t="shared" si="68" ref="I309:W310">I303+I305+I307</f>
        <v>2601395</v>
      </c>
      <c r="J309" s="97">
        <f t="shared" si="68"/>
        <v>1564017</v>
      </c>
      <c r="K309" s="97">
        <f t="shared" si="68"/>
        <v>1430767</v>
      </c>
      <c r="L309" s="97">
        <f t="shared" si="68"/>
        <v>1430767</v>
      </c>
      <c r="M309" s="98">
        <f t="shared" si="62"/>
        <v>4032162</v>
      </c>
      <c r="N309" s="149">
        <f>M309/G304</f>
        <v>0.9680103672817959</v>
      </c>
      <c r="O309" s="134">
        <f t="shared" si="68"/>
        <v>0</v>
      </c>
      <c r="P309" s="97">
        <f t="shared" si="68"/>
        <v>0</v>
      </c>
      <c r="Q309" s="97">
        <f t="shared" si="68"/>
        <v>0</v>
      </c>
      <c r="R309" s="97">
        <f t="shared" si="68"/>
        <v>0</v>
      </c>
      <c r="S309" s="97">
        <f t="shared" si="68"/>
        <v>0</v>
      </c>
      <c r="T309" s="97">
        <f t="shared" si="68"/>
        <v>0</v>
      </c>
      <c r="U309" s="97">
        <f t="shared" si="68"/>
        <v>0</v>
      </c>
      <c r="V309" s="97">
        <f t="shared" si="68"/>
        <v>0</v>
      </c>
      <c r="W309" s="97">
        <f t="shared" si="68"/>
        <v>0</v>
      </c>
      <c r="X309" s="97">
        <f aca="true" t="shared" si="69" ref="X309:AL309">X303+X305+X307</f>
        <v>0</v>
      </c>
      <c r="Y309" s="97">
        <f t="shared" si="69"/>
        <v>0</v>
      </c>
      <c r="Z309" s="97">
        <f t="shared" si="69"/>
        <v>0</v>
      </c>
      <c r="AA309" s="97">
        <f t="shared" si="69"/>
        <v>0</v>
      </c>
      <c r="AB309" s="97">
        <f t="shared" si="69"/>
        <v>0</v>
      </c>
      <c r="AC309" s="97">
        <f t="shared" si="69"/>
        <v>0</v>
      </c>
      <c r="AD309" s="97">
        <f t="shared" si="69"/>
        <v>0</v>
      </c>
      <c r="AE309" s="97">
        <f t="shared" si="69"/>
        <v>0</v>
      </c>
      <c r="AF309" s="97">
        <f t="shared" si="69"/>
        <v>0</v>
      </c>
      <c r="AG309" s="97">
        <f t="shared" si="69"/>
        <v>0</v>
      </c>
      <c r="AH309" s="97">
        <f t="shared" si="69"/>
        <v>0</v>
      </c>
      <c r="AI309" s="97">
        <f t="shared" si="69"/>
        <v>0</v>
      </c>
      <c r="AJ309" s="97">
        <f t="shared" si="69"/>
        <v>0</v>
      </c>
      <c r="AK309" s="97">
        <f t="shared" si="69"/>
        <v>0</v>
      </c>
      <c r="AL309" s="97">
        <f t="shared" si="69"/>
        <v>0</v>
      </c>
    </row>
    <row r="310" spans="1:38" s="90" customFormat="1" ht="15.75" customHeight="1" thickBot="1">
      <c r="A310" s="355"/>
      <c r="B310" s="350"/>
      <c r="C310" s="352"/>
      <c r="D310" s="359"/>
      <c r="E310" s="169"/>
      <c r="F310" s="248"/>
      <c r="G310" s="85">
        <v>4165412</v>
      </c>
      <c r="H310" s="105" t="s">
        <v>19</v>
      </c>
      <c r="I310" s="100">
        <f t="shared" si="68"/>
        <v>0</v>
      </c>
      <c r="J310" s="101">
        <f t="shared" si="68"/>
        <v>0</v>
      </c>
      <c r="K310" s="101">
        <f t="shared" si="68"/>
        <v>0</v>
      </c>
      <c r="L310" s="101">
        <f t="shared" si="68"/>
        <v>0</v>
      </c>
      <c r="M310" s="102">
        <f t="shared" si="62"/>
        <v>0</v>
      </c>
      <c r="N310" s="150"/>
      <c r="O310" s="135">
        <f t="shared" si="68"/>
        <v>0</v>
      </c>
      <c r="P310" s="101">
        <f t="shared" si="68"/>
        <v>0</v>
      </c>
      <c r="Q310" s="101">
        <f t="shared" si="68"/>
        <v>0</v>
      </c>
      <c r="R310" s="101">
        <f t="shared" si="68"/>
        <v>0</v>
      </c>
      <c r="S310" s="101">
        <f t="shared" si="68"/>
        <v>0</v>
      </c>
      <c r="T310" s="101">
        <f t="shared" si="68"/>
        <v>0</v>
      </c>
      <c r="U310" s="109">
        <f t="shared" si="68"/>
        <v>0</v>
      </c>
      <c r="V310" s="109">
        <f t="shared" si="68"/>
        <v>0</v>
      </c>
      <c r="W310" s="109">
        <f t="shared" si="68"/>
        <v>0</v>
      </c>
      <c r="X310" s="109">
        <f aca="true" t="shared" si="70" ref="X310:AL310">X304+X306+X308</f>
        <v>0</v>
      </c>
      <c r="Y310" s="109">
        <f t="shared" si="70"/>
        <v>0</v>
      </c>
      <c r="Z310" s="109">
        <f t="shared" si="70"/>
        <v>0</v>
      </c>
      <c r="AA310" s="109">
        <f t="shared" si="70"/>
        <v>0</v>
      </c>
      <c r="AB310" s="109">
        <f t="shared" si="70"/>
        <v>0</v>
      </c>
      <c r="AC310" s="109">
        <f t="shared" si="70"/>
        <v>0</v>
      </c>
      <c r="AD310" s="109">
        <f t="shared" si="70"/>
        <v>0</v>
      </c>
      <c r="AE310" s="109">
        <f t="shared" si="70"/>
        <v>0</v>
      </c>
      <c r="AF310" s="109">
        <f t="shared" si="70"/>
        <v>0</v>
      </c>
      <c r="AG310" s="109">
        <f t="shared" si="70"/>
        <v>0</v>
      </c>
      <c r="AH310" s="109">
        <f t="shared" si="70"/>
        <v>0</v>
      </c>
      <c r="AI310" s="109">
        <f t="shared" si="70"/>
        <v>0</v>
      </c>
      <c r="AJ310" s="109">
        <f t="shared" si="70"/>
        <v>0</v>
      </c>
      <c r="AK310" s="109">
        <f t="shared" si="70"/>
        <v>0</v>
      </c>
      <c r="AL310" s="109">
        <f t="shared" si="70"/>
        <v>0</v>
      </c>
    </row>
    <row r="311" spans="1:38" s="90" customFormat="1" ht="15" customHeight="1">
      <c r="A311" s="348">
        <v>39</v>
      </c>
      <c r="B311" s="349" t="s">
        <v>125</v>
      </c>
      <c r="C311" s="351">
        <v>85228</v>
      </c>
      <c r="D311" s="353" t="s">
        <v>65</v>
      </c>
      <c r="E311" s="168"/>
      <c r="F311" s="361">
        <v>2011</v>
      </c>
      <c r="G311" s="118" t="s">
        <v>9</v>
      </c>
      <c r="H311" s="106" t="s">
        <v>10</v>
      </c>
      <c r="I311" s="111">
        <v>1028222</v>
      </c>
      <c r="J311" s="107">
        <v>1122715</v>
      </c>
      <c r="K311" s="107">
        <v>1093784</v>
      </c>
      <c r="L311" s="107">
        <v>1093784</v>
      </c>
      <c r="M311" s="160">
        <f t="shared" si="62"/>
        <v>2122006</v>
      </c>
      <c r="N311" s="111">
        <v>0</v>
      </c>
      <c r="O311" s="137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</row>
    <row r="312" spans="1:38" s="90" customFormat="1" ht="15" customHeight="1">
      <c r="A312" s="348"/>
      <c r="B312" s="349"/>
      <c r="C312" s="351"/>
      <c r="D312" s="353"/>
      <c r="E312" s="168"/>
      <c r="F312" s="361"/>
      <c r="G312" s="341">
        <v>2150937</v>
      </c>
      <c r="H312" s="104" t="s">
        <v>11</v>
      </c>
      <c r="I312" s="92"/>
      <c r="J312" s="93"/>
      <c r="K312" s="93"/>
      <c r="L312" s="93"/>
      <c r="M312" s="159">
        <f t="shared" si="62"/>
        <v>0</v>
      </c>
      <c r="N312" s="92"/>
      <c r="O312" s="133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</row>
    <row r="313" spans="1:38" s="90" customFormat="1" ht="15" customHeight="1">
      <c r="A313" s="348"/>
      <c r="B313" s="349"/>
      <c r="C313" s="351"/>
      <c r="D313" s="353"/>
      <c r="E313" s="168"/>
      <c r="F313" s="361"/>
      <c r="G313" s="342"/>
      <c r="H313" s="104" t="s">
        <v>12</v>
      </c>
      <c r="I313" s="92"/>
      <c r="J313" s="93"/>
      <c r="K313" s="93"/>
      <c r="L313" s="93"/>
      <c r="M313" s="159">
        <f t="shared" si="62"/>
        <v>0</v>
      </c>
      <c r="N313" s="92"/>
      <c r="O313" s="133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</row>
    <row r="314" spans="1:38" s="90" customFormat="1" ht="15" customHeight="1">
      <c r="A314" s="348"/>
      <c r="B314" s="349"/>
      <c r="C314" s="351"/>
      <c r="D314" s="353"/>
      <c r="E314" s="168"/>
      <c r="F314" s="224"/>
      <c r="G314" s="83" t="s">
        <v>13</v>
      </c>
      <c r="H314" s="104" t="s">
        <v>14</v>
      </c>
      <c r="I314" s="92"/>
      <c r="J314" s="93"/>
      <c r="K314" s="93"/>
      <c r="L314" s="93"/>
      <c r="M314" s="159">
        <f t="shared" si="62"/>
        <v>0</v>
      </c>
      <c r="N314" s="92"/>
      <c r="O314" s="133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</row>
    <row r="315" spans="1:38" s="90" customFormat="1" ht="15" customHeight="1">
      <c r="A315" s="348"/>
      <c r="B315" s="349"/>
      <c r="C315" s="351"/>
      <c r="D315" s="353"/>
      <c r="E315" s="168"/>
      <c r="F315" s="360">
        <v>2013</v>
      </c>
      <c r="G315" s="341">
        <v>0</v>
      </c>
      <c r="H315" s="104" t="s">
        <v>15</v>
      </c>
      <c r="I315" s="92"/>
      <c r="J315" s="93"/>
      <c r="K315" s="93"/>
      <c r="L315" s="93"/>
      <c r="M315" s="159">
        <f t="shared" si="62"/>
        <v>0</v>
      </c>
      <c r="N315" s="92"/>
      <c r="O315" s="133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</row>
    <row r="316" spans="1:38" s="90" customFormat="1" ht="15" customHeight="1">
      <c r="A316" s="348"/>
      <c r="B316" s="349"/>
      <c r="C316" s="351"/>
      <c r="D316" s="353"/>
      <c r="E316" s="168"/>
      <c r="F316" s="361"/>
      <c r="G316" s="342"/>
      <c r="H316" s="104" t="s">
        <v>16</v>
      </c>
      <c r="I316" s="92"/>
      <c r="J316" s="93"/>
      <c r="K316" s="93"/>
      <c r="L316" s="93"/>
      <c r="M316" s="159">
        <f t="shared" si="62"/>
        <v>0</v>
      </c>
      <c r="N316" s="92"/>
      <c r="O316" s="133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</row>
    <row r="317" spans="1:38" s="90" customFormat="1" ht="15" customHeight="1">
      <c r="A317" s="348"/>
      <c r="B317" s="349"/>
      <c r="C317" s="351"/>
      <c r="D317" s="353"/>
      <c r="E317" s="168"/>
      <c r="F317" s="361"/>
      <c r="G317" s="83" t="s">
        <v>17</v>
      </c>
      <c r="H317" s="104" t="s">
        <v>18</v>
      </c>
      <c r="I317" s="96">
        <f aca="true" t="shared" si="71" ref="I317:AL318">I311+I313+I315</f>
        <v>1028222</v>
      </c>
      <c r="J317" s="97">
        <f t="shared" si="71"/>
        <v>1122715</v>
      </c>
      <c r="K317" s="97">
        <f t="shared" si="71"/>
        <v>1093784</v>
      </c>
      <c r="L317" s="97">
        <f t="shared" si="71"/>
        <v>1093784</v>
      </c>
      <c r="M317" s="98">
        <f t="shared" si="62"/>
        <v>2122006</v>
      </c>
      <c r="N317" s="149">
        <f>M317/G312</f>
        <v>0.9865495828097243</v>
      </c>
      <c r="O317" s="134">
        <f t="shared" si="71"/>
        <v>0</v>
      </c>
      <c r="P317" s="97">
        <f t="shared" si="71"/>
        <v>0</v>
      </c>
      <c r="Q317" s="97">
        <f t="shared" si="71"/>
        <v>0</v>
      </c>
      <c r="R317" s="97">
        <f t="shared" si="71"/>
        <v>0</v>
      </c>
      <c r="S317" s="97">
        <f t="shared" si="71"/>
        <v>0</v>
      </c>
      <c r="T317" s="97">
        <f t="shared" si="71"/>
        <v>0</v>
      </c>
      <c r="U317" s="97">
        <f t="shared" si="71"/>
        <v>0</v>
      </c>
      <c r="V317" s="97">
        <f t="shared" si="71"/>
        <v>0</v>
      </c>
      <c r="W317" s="97">
        <f t="shared" si="71"/>
        <v>0</v>
      </c>
      <c r="X317" s="97">
        <f t="shared" si="71"/>
        <v>0</v>
      </c>
      <c r="Y317" s="97">
        <f t="shared" si="71"/>
        <v>0</v>
      </c>
      <c r="Z317" s="97">
        <f t="shared" si="71"/>
        <v>0</v>
      </c>
      <c r="AA317" s="97">
        <f t="shared" si="71"/>
        <v>0</v>
      </c>
      <c r="AB317" s="97">
        <f t="shared" si="71"/>
        <v>0</v>
      </c>
      <c r="AC317" s="97">
        <f t="shared" si="71"/>
        <v>0</v>
      </c>
      <c r="AD317" s="97">
        <f t="shared" si="71"/>
        <v>0</v>
      </c>
      <c r="AE317" s="97">
        <f t="shared" si="71"/>
        <v>0</v>
      </c>
      <c r="AF317" s="97">
        <f t="shared" si="71"/>
        <v>0</v>
      </c>
      <c r="AG317" s="97">
        <f t="shared" si="71"/>
        <v>0</v>
      </c>
      <c r="AH317" s="97">
        <f t="shared" si="71"/>
        <v>0</v>
      </c>
      <c r="AI317" s="97">
        <f t="shared" si="71"/>
        <v>0</v>
      </c>
      <c r="AJ317" s="97">
        <f t="shared" si="71"/>
        <v>0</v>
      </c>
      <c r="AK317" s="97">
        <f t="shared" si="71"/>
        <v>0</v>
      </c>
      <c r="AL317" s="97">
        <f t="shared" si="71"/>
        <v>0</v>
      </c>
    </row>
    <row r="318" spans="1:38" s="90" customFormat="1" ht="15" customHeight="1" thickBot="1">
      <c r="A318" s="348"/>
      <c r="B318" s="350"/>
      <c r="C318" s="352"/>
      <c r="D318" s="359"/>
      <c r="E318" s="169"/>
      <c r="F318" s="248"/>
      <c r="G318" s="85">
        <v>2150937</v>
      </c>
      <c r="H318" s="105" t="s">
        <v>19</v>
      </c>
      <c r="I318" s="100">
        <f t="shared" si="71"/>
        <v>0</v>
      </c>
      <c r="J318" s="101">
        <f t="shared" si="71"/>
        <v>0</v>
      </c>
      <c r="K318" s="101">
        <f t="shared" si="71"/>
        <v>0</v>
      </c>
      <c r="L318" s="101">
        <f t="shared" si="71"/>
        <v>0</v>
      </c>
      <c r="M318" s="102">
        <f t="shared" si="62"/>
        <v>0</v>
      </c>
      <c r="N318" s="149"/>
      <c r="O318" s="135">
        <f t="shared" si="71"/>
        <v>0</v>
      </c>
      <c r="P318" s="101">
        <f t="shared" si="71"/>
        <v>0</v>
      </c>
      <c r="Q318" s="101">
        <f t="shared" si="71"/>
        <v>0</v>
      </c>
      <c r="R318" s="101">
        <f t="shared" si="71"/>
        <v>0</v>
      </c>
      <c r="S318" s="101">
        <f t="shared" si="71"/>
        <v>0</v>
      </c>
      <c r="T318" s="101">
        <f t="shared" si="71"/>
        <v>0</v>
      </c>
      <c r="U318" s="101">
        <f t="shared" si="71"/>
        <v>0</v>
      </c>
      <c r="V318" s="101">
        <f t="shared" si="71"/>
        <v>0</v>
      </c>
      <c r="W318" s="101">
        <f t="shared" si="71"/>
        <v>0</v>
      </c>
      <c r="X318" s="101">
        <f t="shared" si="71"/>
        <v>0</v>
      </c>
      <c r="Y318" s="101">
        <f t="shared" si="71"/>
        <v>0</v>
      </c>
      <c r="Z318" s="101">
        <f t="shared" si="71"/>
        <v>0</v>
      </c>
      <c r="AA318" s="101">
        <f t="shared" si="71"/>
        <v>0</v>
      </c>
      <c r="AB318" s="101">
        <f t="shared" si="71"/>
        <v>0</v>
      </c>
      <c r="AC318" s="101">
        <f t="shared" si="71"/>
        <v>0</v>
      </c>
      <c r="AD318" s="101">
        <f t="shared" si="71"/>
        <v>0</v>
      </c>
      <c r="AE318" s="101">
        <f t="shared" si="71"/>
        <v>0</v>
      </c>
      <c r="AF318" s="101">
        <f t="shared" si="71"/>
        <v>0</v>
      </c>
      <c r="AG318" s="101">
        <f t="shared" si="71"/>
        <v>0</v>
      </c>
      <c r="AH318" s="101">
        <f t="shared" si="71"/>
        <v>0</v>
      </c>
      <c r="AI318" s="101">
        <f t="shared" si="71"/>
        <v>0</v>
      </c>
      <c r="AJ318" s="101">
        <f t="shared" si="71"/>
        <v>0</v>
      </c>
      <c r="AK318" s="101">
        <f t="shared" si="71"/>
        <v>0</v>
      </c>
      <c r="AL318" s="101">
        <f t="shared" si="71"/>
        <v>0</v>
      </c>
    </row>
    <row r="319" spans="1:38" s="13" customFormat="1" ht="15" customHeight="1">
      <c r="A319" s="354">
        <v>43</v>
      </c>
      <c r="B319" s="214" t="s">
        <v>69</v>
      </c>
      <c r="C319" s="208">
        <v>85311</v>
      </c>
      <c r="D319" s="211" t="s">
        <v>49</v>
      </c>
      <c r="E319" s="164"/>
      <c r="F319" s="217">
        <v>2012</v>
      </c>
      <c r="G319" s="81" t="s">
        <v>9</v>
      </c>
      <c r="H319" s="15" t="s">
        <v>10</v>
      </c>
      <c r="I319" s="60">
        <v>18000</v>
      </c>
      <c r="J319" s="61">
        <v>16500</v>
      </c>
      <c r="K319" s="61">
        <v>16500</v>
      </c>
      <c r="L319" s="61">
        <v>16500</v>
      </c>
      <c r="M319" s="146">
        <f aca="true" t="shared" si="72" ref="M319:M367">SUM(I319,K319)</f>
        <v>34500</v>
      </c>
      <c r="N319" s="60"/>
      <c r="O319" s="127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s="13" customFormat="1" ht="15" customHeight="1">
      <c r="A320" s="348"/>
      <c r="B320" s="215"/>
      <c r="C320" s="209"/>
      <c r="D320" s="362"/>
      <c r="E320" s="165"/>
      <c r="F320" s="228"/>
      <c r="G320" s="341">
        <v>49100</v>
      </c>
      <c r="H320" s="16" t="s">
        <v>11</v>
      </c>
      <c r="I320" s="62"/>
      <c r="J320" s="63"/>
      <c r="K320" s="63"/>
      <c r="L320" s="63"/>
      <c r="M320" s="147">
        <f t="shared" si="72"/>
        <v>0</v>
      </c>
      <c r="N320" s="62"/>
      <c r="O320" s="12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s="13" customFormat="1" ht="15" customHeight="1">
      <c r="A321" s="348"/>
      <c r="B321" s="215"/>
      <c r="C321" s="209"/>
      <c r="D321" s="362"/>
      <c r="E321" s="165"/>
      <c r="F321" s="228"/>
      <c r="G321" s="342"/>
      <c r="H321" s="16" t="s">
        <v>12</v>
      </c>
      <c r="I321" s="62"/>
      <c r="J321" s="63"/>
      <c r="K321" s="63"/>
      <c r="L321" s="63"/>
      <c r="M321" s="147">
        <f t="shared" si="72"/>
        <v>0</v>
      </c>
      <c r="N321" s="62"/>
      <c r="O321" s="12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s="13" customFormat="1" ht="15" customHeight="1">
      <c r="A322" s="348"/>
      <c r="B322" s="215"/>
      <c r="C322" s="209"/>
      <c r="D322" s="362"/>
      <c r="E322" s="165" t="s">
        <v>98</v>
      </c>
      <c r="F322" s="212"/>
      <c r="G322" s="83" t="s">
        <v>13</v>
      </c>
      <c r="H322" s="16" t="s">
        <v>14</v>
      </c>
      <c r="I322" s="62"/>
      <c r="J322" s="63"/>
      <c r="K322" s="63"/>
      <c r="L322" s="63"/>
      <c r="M322" s="147">
        <f t="shared" si="72"/>
        <v>0</v>
      </c>
      <c r="N322" s="62"/>
      <c r="O322" s="12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s="13" customFormat="1" ht="15" customHeight="1">
      <c r="A323" s="348"/>
      <c r="B323" s="215"/>
      <c r="C323" s="209"/>
      <c r="D323" s="362"/>
      <c r="E323" s="165"/>
      <c r="F323" s="227">
        <v>2014</v>
      </c>
      <c r="G323" s="341">
        <v>0</v>
      </c>
      <c r="H323" s="16" t="s">
        <v>15</v>
      </c>
      <c r="I323" s="62"/>
      <c r="J323" s="63"/>
      <c r="K323" s="63"/>
      <c r="L323" s="63"/>
      <c r="M323" s="147">
        <f t="shared" si="72"/>
        <v>0</v>
      </c>
      <c r="N323" s="62"/>
      <c r="O323" s="12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s="13" customFormat="1" ht="15" customHeight="1">
      <c r="A324" s="348"/>
      <c r="B324" s="215"/>
      <c r="C324" s="209"/>
      <c r="D324" s="362"/>
      <c r="E324" s="165"/>
      <c r="F324" s="228"/>
      <c r="G324" s="342"/>
      <c r="H324" s="16" t="s">
        <v>16</v>
      </c>
      <c r="I324" s="62"/>
      <c r="J324" s="63"/>
      <c r="K324" s="63"/>
      <c r="L324" s="63"/>
      <c r="M324" s="147">
        <f t="shared" si="72"/>
        <v>0</v>
      </c>
      <c r="N324" s="62"/>
      <c r="O324" s="128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s="13" customFormat="1" ht="15" customHeight="1">
      <c r="A325" s="348"/>
      <c r="B325" s="215"/>
      <c r="C325" s="209"/>
      <c r="D325" s="362"/>
      <c r="E325" s="165"/>
      <c r="F325" s="228"/>
      <c r="G325" s="83" t="s">
        <v>17</v>
      </c>
      <c r="H325" s="16" t="s">
        <v>18</v>
      </c>
      <c r="I325" s="6">
        <f aca="true" t="shared" si="73" ref="I325:AL325">I319+I321+I323</f>
        <v>18000</v>
      </c>
      <c r="J325" s="7">
        <f t="shared" si="73"/>
        <v>16500</v>
      </c>
      <c r="K325" s="7">
        <f t="shared" si="73"/>
        <v>16500</v>
      </c>
      <c r="L325" s="7">
        <f t="shared" si="73"/>
        <v>16500</v>
      </c>
      <c r="M325" s="123">
        <f t="shared" si="72"/>
        <v>34500</v>
      </c>
      <c r="N325" s="149">
        <f>M325/G320</f>
        <v>0.7026476578411406</v>
      </c>
      <c r="O325" s="129">
        <f t="shared" si="73"/>
        <v>0</v>
      </c>
      <c r="P325" s="7">
        <f t="shared" si="73"/>
        <v>0</v>
      </c>
      <c r="Q325" s="7">
        <f t="shared" si="73"/>
        <v>0</v>
      </c>
      <c r="R325" s="7">
        <f t="shared" si="73"/>
        <v>0</v>
      </c>
      <c r="S325" s="7">
        <f t="shared" si="73"/>
        <v>0</v>
      </c>
      <c r="T325" s="7">
        <f t="shared" si="73"/>
        <v>0</v>
      </c>
      <c r="U325" s="7">
        <f t="shared" si="73"/>
        <v>0</v>
      </c>
      <c r="V325" s="7">
        <f t="shared" si="73"/>
        <v>0</v>
      </c>
      <c r="W325" s="7">
        <f t="shared" si="73"/>
        <v>0</v>
      </c>
      <c r="X325" s="7">
        <f t="shared" si="73"/>
        <v>0</v>
      </c>
      <c r="Y325" s="7">
        <f t="shared" si="73"/>
        <v>0</v>
      </c>
      <c r="Z325" s="7">
        <f t="shared" si="73"/>
        <v>0</v>
      </c>
      <c r="AA325" s="7">
        <f t="shared" si="73"/>
        <v>0</v>
      </c>
      <c r="AB325" s="7">
        <f t="shared" si="73"/>
        <v>0</v>
      </c>
      <c r="AC325" s="7">
        <f t="shared" si="73"/>
        <v>0</v>
      </c>
      <c r="AD325" s="7">
        <f t="shared" si="73"/>
        <v>0</v>
      </c>
      <c r="AE325" s="7">
        <f t="shared" si="73"/>
        <v>0</v>
      </c>
      <c r="AF325" s="7">
        <f t="shared" si="73"/>
        <v>0</v>
      </c>
      <c r="AG325" s="7">
        <f t="shared" si="73"/>
        <v>0</v>
      </c>
      <c r="AH325" s="7">
        <f t="shared" si="73"/>
        <v>0</v>
      </c>
      <c r="AI325" s="7">
        <f t="shared" si="73"/>
        <v>0</v>
      </c>
      <c r="AJ325" s="7">
        <f t="shared" si="73"/>
        <v>0</v>
      </c>
      <c r="AK325" s="7">
        <f t="shared" si="73"/>
        <v>0</v>
      </c>
      <c r="AL325" s="7">
        <f t="shared" si="73"/>
        <v>0</v>
      </c>
    </row>
    <row r="326" spans="1:38" s="13" customFormat="1" ht="15" customHeight="1" thickBot="1">
      <c r="A326" s="348"/>
      <c r="B326" s="207"/>
      <c r="C326" s="210"/>
      <c r="D326" s="363"/>
      <c r="E326" s="166"/>
      <c r="F326" s="216"/>
      <c r="G326" s="85">
        <v>49100</v>
      </c>
      <c r="H326" s="17" t="s">
        <v>19</v>
      </c>
      <c r="I326" s="9">
        <f aca="true" t="shared" si="74" ref="I326:AL326">I320+I322+I324</f>
        <v>0</v>
      </c>
      <c r="J326" s="10">
        <f t="shared" si="74"/>
        <v>0</v>
      </c>
      <c r="K326" s="10">
        <f t="shared" si="74"/>
        <v>0</v>
      </c>
      <c r="L326" s="10">
        <f t="shared" si="74"/>
        <v>0</v>
      </c>
      <c r="M326" s="124">
        <f t="shared" si="72"/>
        <v>0</v>
      </c>
      <c r="N326" s="149"/>
      <c r="O326" s="130">
        <f t="shared" si="74"/>
        <v>0</v>
      </c>
      <c r="P326" s="10">
        <f t="shared" si="74"/>
        <v>0</v>
      </c>
      <c r="Q326" s="10">
        <f t="shared" si="74"/>
        <v>0</v>
      </c>
      <c r="R326" s="10">
        <f t="shared" si="74"/>
        <v>0</v>
      </c>
      <c r="S326" s="10">
        <f t="shared" si="74"/>
        <v>0</v>
      </c>
      <c r="T326" s="10">
        <f t="shared" si="74"/>
        <v>0</v>
      </c>
      <c r="U326" s="10">
        <f t="shared" si="74"/>
        <v>0</v>
      </c>
      <c r="V326" s="10">
        <f t="shared" si="74"/>
        <v>0</v>
      </c>
      <c r="W326" s="10">
        <f t="shared" si="74"/>
        <v>0</v>
      </c>
      <c r="X326" s="10">
        <f t="shared" si="74"/>
        <v>0</v>
      </c>
      <c r="Y326" s="10">
        <f t="shared" si="74"/>
        <v>0</v>
      </c>
      <c r="Z326" s="10">
        <f t="shared" si="74"/>
        <v>0</v>
      </c>
      <c r="AA326" s="10">
        <f t="shared" si="74"/>
        <v>0</v>
      </c>
      <c r="AB326" s="10">
        <f t="shared" si="74"/>
        <v>0</v>
      </c>
      <c r="AC326" s="10">
        <f t="shared" si="74"/>
        <v>0</v>
      </c>
      <c r="AD326" s="10">
        <f t="shared" si="74"/>
        <v>0</v>
      </c>
      <c r="AE326" s="10">
        <f t="shared" si="74"/>
        <v>0</v>
      </c>
      <c r="AF326" s="10">
        <f t="shared" si="74"/>
        <v>0</v>
      </c>
      <c r="AG326" s="10">
        <f t="shared" si="74"/>
        <v>0</v>
      </c>
      <c r="AH326" s="10">
        <f t="shared" si="74"/>
        <v>0</v>
      </c>
      <c r="AI326" s="10">
        <f t="shared" si="74"/>
        <v>0</v>
      </c>
      <c r="AJ326" s="10">
        <f t="shared" si="74"/>
        <v>0</v>
      </c>
      <c r="AK326" s="10">
        <f t="shared" si="74"/>
        <v>0</v>
      </c>
      <c r="AL326" s="10">
        <f t="shared" si="74"/>
        <v>0</v>
      </c>
    </row>
    <row r="327" spans="1:38" s="13" customFormat="1" ht="15" customHeight="1">
      <c r="A327" s="354">
        <v>44</v>
      </c>
      <c r="B327" s="214" t="s">
        <v>70</v>
      </c>
      <c r="C327" s="208">
        <v>85311</v>
      </c>
      <c r="D327" s="211" t="s">
        <v>49</v>
      </c>
      <c r="E327" s="164"/>
      <c r="F327" s="217">
        <v>2012</v>
      </c>
      <c r="G327" s="81" t="s">
        <v>9</v>
      </c>
      <c r="H327" s="15" t="s">
        <v>10</v>
      </c>
      <c r="I327" s="60">
        <v>117600</v>
      </c>
      <c r="J327" s="61">
        <v>117600</v>
      </c>
      <c r="K327" s="61">
        <v>58800</v>
      </c>
      <c r="L327" s="61">
        <v>117600</v>
      </c>
      <c r="M327" s="146">
        <f t="shared" si="72"/>
        <v>176400</v>
      </c>
      <c r="N327" s="60"/>
      <c r="O327" s="127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s="13" customFormat="1" ht="15" customHeight="1">
      <c r="A328" s="348"/>
      <c r="B328" s="215"/>
      <c r="C328" s="209"/>
      <c r="D328" s="362"/>
      <c r="E328" s="165"/>
      <c r="F328" s="228"/>
      <c r="G328" s="341">
        <v>352800</v>
      </c>
      <c r="H328" s="16" t="s">
        <v>11</v>
      </c>
      <c r="I328" s="62"/>
      <c r="J328" s="63"/>
      <c r="K328" s="63"/>
      <c r="L328" s="63"/>
      <c r="M328" s="147">
        <f t="shared" si="72"/>
        <v>0</v>
      </c>
      <c r="N328" s="62"/>
      <c r="O328" s="128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s="13" customFormat="1" ht="15" customHeight="1">
      <c r="A329" s="348"/>
      <c r="B329" s="215"/>
      <c r="C329" s="209"/>
      <c r="D329" s="362"/>
      <c r="E329" s="165"/>
      <c r="F329" s="228"/>
      <c r="G329" s="342"/>
      <c r="H329" s="16" t="s">
        <v>12</v>
      </c>
      <c r="I329" s="62"/>
      <c r="J329" s="63"/>
      <c r="K329" s="63"/>
      <c r="L329" s="63"/>
      <c r="M329" s="147">
        <f t="shared" si="72"/>
        <v>0</v>
      </c>
      <c r="N329" s="62"/>
      <c r="O329" s="128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s="13" customFormat="1" ht="15" customHeight="1">
      <c r="A330" s="348"/>
      <c r="B330" s="215"/>
      <c r="C330" s="209"/>
      <c r="D330" s="362"/>
      <c r="E330" s="165"/>
      <c r="F330" s="212"/>
      <c r="G330" s="83" t="s">
        <v>13</v>
      </c>
      <c r="H330" s="16" t="s">
        <v>14</v>
      </c>
      <c r="I330" s="62"/>
      <c r="J330" s="63"/>
      <c r="K330" s="63"/>
      <c r="L330" s="63"/>
      <c r="M330" s="147">
        <f t="shared" si="72"/>
        <v>0</v>
      </c>
      <c r="N330" s="62"/>
      <c r="O330" s="128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s="13" customFormat="1" ht="15" customHeight="1">
      <c r="A331" s="348"/>
      <c r="B331" s="215"/>
      <c r="C331" s="209"/>
      <c r="D331" s="362"/>
      <c r="E331" s="165" t="s">
        <v>98</v>
      </c>
      <c r="F331" s="227">
        <v>2014</v>
      </c>
      <c r="G331" s="341">
        <v>0</v>
      </c>
      <c r="H331" s="16" t="s">
        <v>15</v>
      </c>
      <c r="I331" s="62"/>
      <c r="J331" s="63"/>
      <c r="K331" s="63"/>
      <c r="L331" s="63"/>
      <c r="M331" s="147">
        <f t="shared" si="72"/>
        <v>0</v>
      </c>
      <c r="N331" s="62"/>
      <c r="O331" s="128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s="13" customFormat="1" ht="15" customHeight="1">
      <c r="A332" s="348"/>
      <c r="B332" s="215"/>
      <c r="C332" s="209"/>
      <c r="D332" s="362"/>
      <c r="E332" s="165"/>
      <c r="F332" s="228"/>
      <c r="G332" s="342"/>
      <c r="H332" s="16" t="s">
        <v>16</v>
      </c>
      <c r="I332" s="62"/>
      <c r="J332" s="63"/>
      <c r="K332" s="63"/>
      <c r="L332" s="63"/>
      <c r="M332" s="147">
        <f t="shared" si="72"/>
        <v>0</v>
      </c>
      <c r="N332" s="62"/>
      <c r="O332" s="128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s="13" customFormat="1" ht="15" customHeight="1">
      <c r="A333" s="348"/>
      <c r="B333" s="215"/>
      <c r="C333" s="209"/>
      <c r="D333" s="362"/>
      <c r="E333" s="165"/>
      <c r="F333" s="228"/>
      <c r="G333" s="83" t="s">
        <v>17</v>
      </c>
      <c r="H333" s="16" t="s">
        <v>18</v>
      </c>
      <c r="I333" s="6">
        <f aca="true" t="shared" si="75" ref="I333:AL333">I327+I329+I331</f>
        <v>117600</v>
      </c>
      <c r="J333" s="7">
        <f t="shared" si="75"/>
        <v>117600</v>
      </c>
      <c r="K333" s="7">
        <f t="shared" si="75"/>
        <v>58800</v>
      </c>
      <c r="L333" s="7">
        <f t="shared" si="75"/>
        <v>117600</v>
      </c>
      <c r="M333" s="123">
        <f t="shared" si="72"/>
        <v>176400</v>
      </c>
      <c r="N333" s="149">
        <f>M333/G328</f>
        <v>0.5</v>
      </c>
      <c r="O333" s="129">
        <f t="shared" si="75"/>
        <v>0</v>
      </c>
      <c r="P333" s="7">
        <f t="shared" si="75"/>
        <v>0</v>
      </c>
      <c r="Q333" s="7">
        <f t="shared" si="75"/>
        <v>0</v>
      </c>
      <c r="R333" s="7">
        <f t="shared" si="75"/>
        <v>0</v>
      </c>
      <c r="S333" s="7">
        <f t="shared" si="75"/>
        <v>0</v>
      </c>
      <c r="T333" s="7">
        <f t="shared" si="75"/>
        <v>0</v>
      </c>
      <c r="U333" s="7">
        <f t="shared" si="75"/>
        <v>0</v>
      </c>
      <c r="V333" s="7">
        <f t="shared" si="75"/>
        <v>0</v>
      </c>
      <c r="W333" s="7">
        <f t="shared" si="75"/>
        <v>0</v>
      </c>
      <c r="X333" s="7">
        <f t="shared" si="75"/>
        <v>0</v>
      </c>
      <c r="Y333" s="7">
        <f t="shared" si="75"/>
        <v>0</v>
      </c>
      <c r="Z333" s="7">
        <f t="shared" si="75"/>
        <v>0</v>
      </c>
      <c r="AA333" s="7">
        <f t="shared" si="75"/>
        <v>0</v>
      </c>
      <c r="AB333" s="7">
        <f t="shared" si="75"/>
        <v>0</v>
      </c>
      <c r="AC333" s="7">
        <f t="shared" si="75"/>
        <v>0</v>
      </c>
      <c r="AD333" s="7">
        <f t="shared" si="75"/>
        <v>0</v>
      </c>
      <c r="AE333" s="7">
        <f t="shared" si="75"/>
        <v>0</v>
      </c>
      <c r="AF333" s="7">
        <f t="shared" si="75"/>
        <v>0</v>
      </c>
      <c r="AG333" s="7">
        <f t="shared" si="75"/>
        <v>0</v>
      </c>
      <c r="AH333" s="7">
        <f t="shared" si="75"/>
        <v>0</v>
      </c>
      <c r="AI333" s="7">
        <f t="shared" si="75"/>
        <v>0</v>
      </c>
      <c r="AJ333" s="7">
        <f t="shared" si="75"/>
        <v>0</v>
      </c>
      <c r="AK333" s="7">
        <f t="shared" si="75"/>
        <v>0</v>
      </c>
      <c r="AL333" s="7">
        <f t="shared" si="75"/>
        <v>0</v>
      </c>
    </row>
    <row r="334" spans="1:38" s="13" customFormat="1" ht="15" customHeight="1" thickBot="1">
      <c r="A334" s="348"/>
      <c r="B334" s="207"/>
      <c r="C334" s="210"/>
      <c r="D334" s="363"/>
      <c r="E334" s="166"/>
      <c r="F334" s="216"/>
      <c r="G334" s="85">
        <v>352800</v>
      </c>
      <c r="H334" s="17" t="s">
        <v>19</v>
      </c>
      <c r="I334" s="9">
        <f aca="true" t="shared" si="76" ref="I334:AL334">I328+I330+I332</f>
        <v>0</v>
      </c>
      <c r="J334" s="10">
        <f t="shared" si="76"/>
        <v>0</v>
      </c>
      <c r="K334" s="10">
        <f t="shared" si="76"/>
        <v>0</v>
      </c>
      <c r="L334" s="10">
        <f t="shared" si="76"/>
        <v>0</v>
      </c>
      <c r="M334" s="124">
        <f t="shared" si="72"/>
        <v>0</v>
      </c>
      <c r="N334" s="149"/>
      <c r="O334" s="130">
        <f t="shared" si="76"/>
        <v>0</v>
      </c>
      <c r="P334" s="10">
        <f t="shared" si="76"/>
        <v>0</v>
      </c>
      <c r="Q334" s="10">
        <f t="shared" si="76"/>
        <v>0</v>
      </c>
      <c r="R334" s="10">
        <f t="shared" si="76"/>
        <v>0</v>
      </c>
      <c r="S334" s="10">
        <f t="shared" si="76"/>
        <v>0</v>
      </c>
      <c r="T334" s="10">
        <f t="shared" si="76"/>
        <v>0</v>
      </c>
      <c r="U334" s="10">
        <f t="shared" si="76"/>
        <v>0</v>
      </c>
      <c r="V334" s="10">
        <f t="shared" si="76"/>
        <v>0</v>
      </c>
      <c r="W334" s="10">
        <f t="shared" si="76"/>
        <v>0</v>
      </c>
      <c r="X334" s="10">
        <f t="shared" si="76"/>
        <v>0</v>
      </c>
      <c r="Y334" s="10">
        <f t="shared" si="76"/>
        <v>0</v>
      </c>
      <c r="Z334" s="10">
        <f t="shared" si="76"/>
        <v>0</v>
      </c>
      <c r="AA334" s="10">
        <f t="shared" si="76"/>
        <v>0</v>
      </c>
      <c r="AB334" s="10">
        <f t="shared" si="76"/>
        <v>0</v>
      </c>
      <c r="AC334" s="10">
        <f t="shared" si="76"/>
        <v>0</v>
      </c>
      <c r="AD334" s="10">
        <f t="shared" si="76"/>
        <v>0</v>
      </c>
      <c r="AE334" s="10">
        <f t="shared" si="76"/>
        <v>0</v>
      </c>
      <c r="AF334" s="10">
        <f t="shared" si="76"/>
        <v>0</v>
      </c>
      <c r="AG334" s="10">
        <f t="shared" si="76"/>
        <v>0</v>
      </c>
      <c r="AH334" s="10">
        <f t="shared" si="76"/>
        <v>0</v>
      </c>
      <c r="AI334" s="10">
        <f t="shared" si="76"/>
        <v>0</v>
      </c>
      <c r="AJ334" s="10">
        <f t="shared" si="76"/>
        <v>0</v>
      </c>
      <c r="AK334" s="10">
        <f t="shared" si="76"/>
        <v>0</v>
      </c>
      <c r="AL334" s="10">
        <f t="shared" si="76"/>
        <v>0</v>
      </c>
    </row>
    <row r="335" spans="1:38" s="13" customFormat="1" ht="15" customHeight="1">
      <c r="A335" s="354">
        <v>45</v>
      </c>
      <c r="B335" s="214" t="s">
        <v>71</v>
      </c>
      <c r="C335" s="208">
        <v>85311</v>
      </c>
      <c r="D335" s="211" t="s">
        <v>49</v>
      </c>
      <c r="E335" s="164"/>
      <c r="F335" s="217">
        <v>2012</v>
      </c>
      <c r="G335" s="81" t="s">
        <v>9</v>
      </c>
      <c r="H335" s="15" t="s">
        <v>10</v>
      </c>
      <c r="I335" s="60">
        <v>145000</v>
      </c>
      <c r="J335" s="61">
        <v>145000</v>
      </c>
      <c r="K335" s="61">
        <v>72500</v>
      </c>
      <c r="L335" s="61">
        <v>145000</v>
      </c>
      <c r="M335" s="146">
        <f t="shared" si="72"/>
        <v>217500</v>
      </c>
      <c r="N335" s="60"/>
      <c r="O335" s="127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s="13" customFormat="1" ht="15" customHeight="1">
      <c r="A336" s="348"/>
      <c r="B336" s="215"/>
      <c r="C336" s="209"/>
      <c r="D336" s="362"/>
      <c r="E336" s="165"/>
      <c r="F336" s="228"/>
      <c r="G336" s="341">
        <v>435000</v>
      </c>
      <c r="H336" s="16" t="s">
        <v>11</v>
      </c>
      <c r="I336" s="62"/>
      <c r="J336" s="63"/>
      <c r="K336" s="63"/>
      <c r="L336" s="63"/>
      <c r="M336" s="147">
        <f t="shared" si="72"/>
        <v>0</v>
      </c>
      <c r="N336" s="62"/>
      <c r="O336" s="128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s="13" customFormat="1" ht="15" customHeight="1">
      <c r="A337" s="348"/>
      <c r="B337" s="215"/>
      <c r="C337" s="209"/>
      <c r="D337" s="362"/>
      <c r="E337" s="165"/>
      <c r="F337" s="228"/>
      <c r="G337" s="342"/>
      <c r="H337" s="16" t="s">
        <v>12</v>
      </c>
      <c r="I337" s="62"/>
      <c r="J337" s="63"/>
      <c r="K337" s="63"/>
      <c r="L337" s="63"/>
      <c r="M337" s="147">
        <f t="shared" si="72"/>
        <v>0</v>
      </c>
      <c r="N337" s="62"/>
      <c r="O337" s="128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s="13" customFormat="1" ht="15" customHeight="1">
      <c r="A338" s="348"/>
      <c r="B338" s="215"/>
      <c r="C338" s="209"/>
      <c r="D338" s="362"/>
      <c r="E338" s="165" t="s">
        <v>98</v>
      </c>
      <c r="F338" s="212"/>
      <c r="G338" s="83" t="s">
        <v>13</v>
      </c>
      <c r="H338" s="16" t="s">
        <v>14</v>
      </c>
      <c r="I338" s="62"/>
      <c r="J338" s="63"/>
      <c r="K338" s="63"/>
      <c r="L338" s="63"/>
      <c r="M338" s="147">
        <f t="shared" si="72"/>
        <v>0</v>
      </c>
      <c r="N338" s="62"/>
      <c r="O338" s="128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s="13" customFormat="1" ht="15" customHeight="1">
      <c r="A339" s="348"/>
      <c r="B339" s="215"/>
      <c r="C339" s="209"/>
      <c r="D339" s="362"/>
      <c r="E339" s="165"/>
      <c r="F339" s="227">
        <v>2014</v>
      </c>
      <c r="G339" s="341">
        <v>0</v>
      </c>
      <c r="H339" s="16" t="s">
        <v>15</v>
      </c>
      <c r="I339" s="62"/>
      <c r="J339" s="63"/>
      <c r="K339" s="63"/>
      <c r="L339" s="63"/>
      <c r="M339" s="147">
        <f t="shared" si="72"/>
        <v>0</v>
      </c>
      <c r="N339" s="62"/>
      <c r="O339" s="128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s="13" customFormat="1" ht="15" customHeight="1">
      <c r="A340" s="348"/>
      <c r="B340" s="215"/>
      <c r="C340" s="209"/>
      <c r="D340" s="362"/>
      <c r="E340" s="165"/>
      <c r="F340" s="228"/>
      <c r="G340" s="342"/>
      <c r="H340" s="16" t="s">
        <v>16</v>
      </c>
      <c r="I340" s="62"/>
      <c r="J340" s="63"/>
      <c r="K340" s="63"/>
      <c r="L340" s="63"/>
      <c r="M340" s="147">
        <f t="shared" si="72"/>
        <v>0</v>
      </c>
      <c r="N340" s="62"/>
      <c r="O340" s="128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s="13" customFormat="1" ht="15" customHeight="1">
      <c r="A341" s="348"/>
      <c r="B341" s="215"/>
      <c r="C341" s="209"/>
      <c r="D341" s="362"/>
      <c r="E341" s="165"/>
      <c r="F341" s="228"/>
      <c r="G341" s="83" t="s">
        <v>17</v>
      </c>
      <c r="H341" s="16" t="s">
        <v>18</v>
      </c>
      <c r="I341" s="6">
        <f aca="true" t="shared" si="77" ref="I341:AL341">I335+I337+I339</f>
        <v>145000</v>
      </c>
      <c r="J341" s="7">
        <f t="shared" si="77"/>
        <v>145000</v>
      </c>
      <c r="K341" s="7">
        <f t="shared" si="77"/>
        <v>72500</v>
      </c>
      <c r="L341" s="7">
        <f t="shared" si="77"/>
        <v>145000</v>
      </c>
      <c r="M341" s="123">
        <f t="shared" si="72"/>
        <v>217500</v>
      </c>
      <c r="N341" s="149">
        <f>M341/G336</f>
        <v>0.5</v>
      </c>
      <c r="O341" s="129">
        <f t="shared" si="77"/>
        <v>0</v>
      </c>
      <c r="P341" s="7">
        <f t="shared" si="77"/>
        <v>0</v>
      </c>
      <c r="Q341" s="7">
        <f t="shared" si="77"/>
        <v>0</v>
      </c>
      <c r="R341" s="7">
        <f t="shared" si="77"/>
        <v>0</v>
      </c>
      <c r="S341" s="7">
        <f t="shared" si="77"/>
        <v>0</v>
      </c>
      <c r="T341" s="7">
        <f t="shared" si="77"/>
        <v>0</v>
      </c>
      <c r="U341" s="7">
        <f t="shared" si="77"/>
        <v>0</v>
      </c>
      <c r="V341" s="7">
        <f t="shared" si="77"/>
        <v>0</v>
      </c>
      <c r="W341" s="7">
        <f t="shared" si="77"/>
        <v>0</v>
      </c>
      <c r="X341" s="7">
        <f t="shared" si="77"/>
        <v>0</v>
      </c>
      <c r="Y341" s="7">
        <f t="shared" si="77"/>
        <v>0</v>
      </c>
      <c r="Z341" s="7">
        <f t="shared" si="77"/>
        <v>0</v>
      </c>
      <c r="AA341" s="7">
        <f t="shared" si="77"/>
        <v>0</v>
      </c>
      <c r="AB341" s="7">
        <f t="shared" si="77"/>
        <v>0</v>
      </c>
      <c r="AC341" s="7">
        <f t="shared" si="77"/>
        <v>0</v>
      </c>
      <c r="AD341" s="7">
        <f t="shared" si="77"/>
        <v>0</v>
      </c>
      <c r="AE341" s="7">
        <f t="shared" si="77"/>
        <v>0</v>
      </c>
      <c r="AF341" s="7">
        <f t="shared" si="77"/>
        <v>0</v>
      </c>
      <c r="AG341" s="7">
        <f t="shared" si="77"/>
        <v>0</v>
      </c>
      <c r="AH341" s="7">
        <f t="shared" si="77"/>
        <v>0</v>
      </c>
      <c r="AI341" s="7">
        <f t="shared" si="77"/>
        <v>0</v>
      </c>
      <c r="AJ341" s="7">
        <f t="shared" si="77"/>
        <v>0</v>
      </c>
      <c r="AK341" s="7">
        <f t="shared" si="77"/>
        <v>0</v>
      </c>
      <c r="AL341" s="7">
        <f t="shared" si="77"/>
        <v>0</v>
      </c>
    </row>
    <row r="342" spans="1:38" s="13" customFormat="1" ht="15" customHeight="1" thickBot="1">
      <c r="A342" s="355"/>
      <c r="B342" s="207"/>
      <c r="C342" s="210"/>
      <c r="D342" s="363"/>
      <c r="E342" s="166"/>
      <c r="F342" s="216"/>
      <c r="G342" s="85">
        <v>435000</v>
      </c>
      <c r="H342" s="17" t="s">
        <v>19</v>
      </c>
      <c r="I342" s="9">
        <f aca="true" t="shared" si="78" ref="I342:AL342">I336+I338+I340</f>
        <v>0</v>
      </c>
      <c r="J342" s="10">
        <f t="shared" si="78"/>
        <v>0</v>
      </c>
      <c r="K342" s="10">
        <f t="shared" si="78"/>
        <v>0</v>
      </c>
      <c r="L342" s="10">
        <f t="shared" si="78"/>
        <v>0</v>
      </c>
      <c r="M342" s="124">
        <f t="shared" si="72"/>
        <v>0</v>
      </c>
      <c r="N342" s="150"/>
      <c r="O342" s="130">
        <f t="shared" si="78"/>
        <v>0</v>
      </c>
      <c r="P342" s="10">
        <f t="shared" si="78"/>
        <v>0</v>
      </c>
      <c r="Q342" s="10">
        <f t="shared" si="78"/>
        <v>0</v>
      </c>
      <c r="R342" s="10">
        <f t="shared" si="78"/>
        <v>0</v>
      </c>
      <c r="S342" s="10">
        <f t="shared" si="78"/>
        <v>0</v>
      </c>
      <c r="T342" s="10">
        <f t="shared" si="78"/>
        <v>0</v>
      </c>
      <c r="U342" s="10">
        <f t="shared" si="78"/>
        <v>0</v>
      </c>
      <c r="V342" s="10">
        <f t="shared" si="78"/>
        <v>0</v>
      </c>
      <c r="W342" s="10">
        <f t="shared" si="78"/>
        <v>0</v>
      </c>
      <c r="X342" s="10">
        <f t="shared" si="78"/>
        <v>0</v>
      </c>
      <c r="Y342" s="10">
        <f t="shared" si="78"/>
        <v>0</v>
      </c>
      <c r="Z342" s="10">
        <f t="shared" si="78"/>
        <v>0</v>
      </c>
      <c r="AA342" s="10">
        <f t="shared" si="78"/>
        <v>0</v>
      </c>
      <c r="AB342" s="10">
        <f t="shared" si="78"/>
        <v>0</v>
      </c>
      <c r="AC342" s="10">
        <f t="shared" si="78"/>
        <v>0</v>
      </c>
      <c r="AD342" s="10">
        <f t="shared" si="78"/>
        <v>0</v>
      </c>
      <c r="AE342" s="10">
        <f t="shared" si="78"/>
        <v>0</v>
      </c>
      <c r="AF342" s="10">
        <f t="shared" si="78"/>
        <v>0</v>
      </c>
      <c r="AG342" s="10">
        <f t="shared" si="78"/>
        <v>0</v>
      </c>
      <c r="AH342" s="10">
        <f t="shared" si="78"/>
        <v>0</v>
      </c>
      <c r="AI342" s="10">
        <f t="shared" si="78"/>
        <v>0</v>
      </c>
      <c r="AJ342" s="10">
        <f t="shared" si="78"/>
        <v>0</v>
      </c>
      <c r="AK342" s="10">
        <f t="shared" si="78"/>
        <v>0</v>
      </c>
      <c r="AL342" s="10">
        <f t="shared" si="78"/>
        <v>0</v>
      </c>
    </row>
    <row r="343" spans="1:38" s="13" customFormat="1" ht="14.25" customHeight="1">
      <c r="A343" s="348">
        <v>46</v>
      </c>
      <c r="B343" s="215" t="s">
        <v>72</v>
      </c>
      <c r="C343" s="209">
        <v>85311</v>
      </c>
      <c r="D343" s="362" t="s">
        <v>49</v>
      </c>
      <c r="E343" s="165"/>
      <c r="F343" s="228">
        <v>2012</v>
      </c>
      <c r="G343" s="118" t="s">
        <v>9</v>
      </c>
      <c r="H343" s="18" t="s">
        <v>10</v>
      </c>
      <c r="I343" s="64">
        <v>145000</v>
      </c>
      <c r="J343" s="65">
        <v>145000</v>
      </c>
      <c r="K343" s="65">
        <v>72500</v>
      </c>
      <c r="L343" s="65">
        <v>145000</v>
      </c>
      <c r="M343" s="157">
        <f t="shared" si="72"/>
        <v>217500</v>
      </c>
      <c r="N343" s="64"/>
      <c r="O343" s="13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</row>
    <row r="344" spans="1:38" s="13" customFormat="1" ht="14.25" customHeight="1">
      <c r="A344" s="348"/>
      <c r="B344" s="215"/>
      <c r="C344" s="209"/>
      <c r="D344" s="362"/>
      <c r="E344" s="165"/>
      <c r="F344" s="228"/>
      <c r="G344" s="341">
        <v>435000</v>
      </c>
      <c r="H344" s="16" t="s">
        <v>11</v>
      </c>
      <c r="I344" s="62"/>
      <c r="J344" s="63"/>
      <c r="K344" s="63"/>
      <c r="L344" s="63"/>
      <c r="M344" s="147">
        <f t="shared" si="72"/>
        <v>0</v>
      </c>
      <c r="N344" s="62"/>
      <c r="O344" s="128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s="13" customFormat="1" ht="14.25" customHeight="1">
      <c r="A345" s="348"/>
      <c r="B345" s="215"/>
      <c r="C345" s="209"/>
      <c r="D345" s="362"/>
      <c r="E345" s="165"/>
      <c r="F345" s="228"/>
      <c r="G345" s="342"/>
      <c r="H345" s="16" t="s">
        <v>12</v>
      </c>
      <c r="I345" s="62"/>
      <c r="J345" s="63"/>
      <c r="K345" s="63"/>
      <c r="L345" s="63"/>
      <c r="M345" s="147">
        <f t="shared" si="72"/>
        <v>0</v>
      </c>
      <c r="N345" s="62"/>
      <c r="O345" s="128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s="13" customFormat="1" ht="14.25" customHeight="1">
      <c r="A346" s="348"/>
      <c r="B346" s="215"/>
      <c r="C346" s="209"/>
      <c r="D346" s="362"/>
      <c r="E346" s="165" t="s">
        <v>98</v>
      </c>
      <c r="F346" s="212"/>
      <c r="G346" s="83" t="s">
        <v>13</v>
      </c>
      <c r="H346" s="16" t="s">
        <v>14</v>
      </c>
      <c r="I346" s="62"/>
      <c r="J346" s="63"/>
      <c r="K346" s="63"/>
      <c r="L346" s="63"/>
      <c r="M346" s="147">
        <f t="shared" si="72"/>
        <v>0</v>
      </c>
      <c r="N346" s="62"/>
      <c r="O346" s="128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s="13" customFormat="1" ht="14.25" customHeight="1">
      <c r="A347" s="348"/>
      <c r="B347" s="215"/>
      <c r="C347" s="209"/>
      <c r="D347" s="362"/>
      <c r="E347" s="165"/>
      <c r="F347" s="227">
        <v>2014</v>
      </c>
      <c r="G347" s="341">
        <v>0</v>
      </c>
      <c r="H347" s="16" t="s">
        <v>15</v>
      </c>
      <c r="I347" s="62"/>
      <c r="J347" s="63"/>
      <c r="K347" s="63"/>
      <c r="L347" s="63"/>
      <c r="M347" s="147">
        <f t="shared" si="72"/>
        <v>0</v>
      </c>
      <c r="N347" s="62"/>
      <c r="O347" s="128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s="13" customFormat="1" ht="14.25" customHeight="1">
      <c r="A348" s="348"/>
      <c r="B348" s="215"/>
      <c r="C348" s="209"/>
      <c r="D348" s="362"/>
      <c r="E348" s="165"/>
      <c r="F348" s="228"/>
      <c r="G348" s="342"/>
      <c r="H348" s="16" t="s">
        <v>16</v>
      </c>
      <c r="I348" s="62"/>
      <c r="J348" s="63"/>
      <c r="K348" s="63"/>
      <c r="L348" s="63"/>
      <c r="M348" s="147">
        <f t="shared" si="72"/>
        <v>0</v>
      </c>
      <c r="N348" s="62"/>
      <c r="O348" s="128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s="13" customFormat="1" ht="14.25" customHeight="1">
      <c r="A349" s="348"/>
      <c r="B349" s="215"/>
      <c r="C349" s="209"/>
      <c r="D349" s="362"/>
      <c r="E349" s="165"/>
      <c r="F349" s="228"/>
      <c r="G349" s="83" t="s">
        <v>17</v>
      </c>
      <c r="H349" s="16" t="s">
        <v>18</v>
      </c>
      <c r="I349" s="6">
        <f aca="true" t="shared" si="79" ref="I349:AL349">I343+I345+I347</f>
        <v>145000</v>
      </c>
      <c r="J349" s="7">
        <f t="shared" si="79"/>
        <v>145000</v>
      </c>
      <c r="K349" s="7">
        <f t="shared" si="79"/>
        <v>72500</v>
      </c>
      <c r="L349" s="7">
        <f t="shared" si="79"/>
        <v>145000</v>
      </c>
      <c r="M349" s="123">
        <f t="shared" si="72"/>
        <v>217500</v>
      </c>
      <c r="N349" s="149">
        <f>M349/G344</f>
        <v>0.5</v>
      </c>
      <c r="O349" s="129">
        <f t="shared" si="79"/>
        <v>0</v>
      </c>
      <c r="P349" s="7">
        <f t="shared" si="79"/>
        <v>0</v>
      </c>
      <c r="Q349" s="7">
        <f t="shared" si="79"/>
        <v>0</v>
      </c>
      <c r="R349" s="7">
        <f t="shared" si="79"/>
        <v>0</v>
      </c>
      <c r="S349" s="7">
        <f t="shared" si="79"/>
        <v>0</v>
      </c>
      <c r="T349" s="7">
        <f t="shared" si="79"/>
        <v>0</v>
      </c>
      <c r="U349" s="7">
        <f t="shared" si="79"/>
        <v>0</v>
      </c>
      <c r="V349" s="7">
        <f t="shared" si="79"/>
        <v>0</v>
      </c>
      <c r="W349" s="7">
        <f t="shared" si="79"/>
        <v>0</v>
      </c>
      <c r="X349" s="7">
        <f t="shared" si="79"/>
        <v>0</v>
      </c>
      <c r="Y349" s="7">
        <f t="shared" si="79"/>
        <v>0</v>
      </c>
      <c r="Z349" s="7">
        <f t="shared" si="79"/>
        <v>0</v>
      </c>
      <c r="AA349" s="7">
        <f t="shared" si="79"/>
        <v>0</v>
      </c>
      <c r="AB349" s="7">
        <f t="shared" si="79"/>
        <v>0</v>
      </c>
      <c r="AC349" s="7">
        <f t="shared" si="79"/>
        <v>0</v>
      </c>
      <c r="AD349" s="7">
        <f t="shared" si="79"/>
        <v>0</v>
      </c>
      <c r="AE349" s="7">
        <f t="shared" si="79"/>
        <v>0</v>
      </c>
      <c r="AF349" s="7">
        <f t="shared" si="79"/>
        <v>0</v>
      </c>
      <c r="AG349" s="7">
        <f t="shared" si="79"/>
        <v>0</v>
      </c>
      <c r="AH349" s="7">
        <f t="shared" si="79"/>
        <v>0</v>
      </c>
      <c r="AI349" s="7">
        <f t="shared" si="79"/>
        <v>0</v>
      </c>
      <c r="AJ349" s="7">
        <f t="shared" si="79"/>
        <v>0</v>
      </c>
      <c r="AK349" s="7">
        <f t="shared" si="79"/>
        <v>0</v>
      </c>
      <c r="AL349" s="7">
        <f t="shared" si="79"/>
        <v>0</v>
      </c>
    </row>
    <row r="350" spans="1:38" s="13" customFormat="1" ht="14.25" customHeight="1" thickBot="1">
      <c r="A350" s="348"/>
      <c r="B350" s="207"/>
      <c r="C350" s="210"/>
      <c r="D350" s="363"/>
      <c r="E350" s="166"/>
      <c r="F350" s="216"/>
      <c r="G350" s="85">
        <v>435000</v>
      </c>
      <c r="H350" s="17" t="s">
        <v>19</v>
      </c>
      <c r="I350" s="9">
        <f aca="true" t="shared" si="80" ref="I350:AL350">I344+I346+I348</f>
        <v>0</v>
      </c>
      <c r="J350" s="10">
        <f t="shared" si="80"/>
        <v>0</v>
      </c>
      <c r="K350" s="10">
        <f t="shared" si="80"/>
        <v>0</v>
      </c>
      <c r="L350" s="10">
        <f t="shared" si="80"/>
        <v>0</v>
      </c>
      <c r="M350" s="124">
        <f t="shared" si="72"/>
        <v>0</v>
      </c>
      <c r="N350" s="149"/>
      <c r="O350" s="136">
        <f t="shared" si="80"/>
        <v>0</v>
      </c>
      <c r="P350" s="12">
        <f t="shared" si="80"/>
        <v>0</v>
      </c>
      <c r="Q350" s="12">
        <f t="shared" si="80"/>
        <v>0</v>
      </c>
      <c r="R350" s="12">
        <f t="shared" si="80"/>
        <v>0</v>
      </c>
      <c r="S350" s="12">
        <f t="shared" si="80"/>
        <v>0</v>
      </c>
      <c r="T350" s="12">
        <f t="shared" si="80"/>
        <v>0</v>
      </c>
      <c r="U350" s="12">
        <f t="shared" si="80"/>
        <v>0</v>
      </c>
      <c r="V350" s="12">
        <f t="shared" si="80"/>
        <v>0</v>
      </c>
      <c r="W350" s="12">
        <f t="shared" si="80"/>
        <v>0</v>
      </c>
      <c r="X350" s="12">
        <f t="shared" si="80"/>
        <v>0</v>
      </c>
      <c r="Y350" s="12">
        <f t="shared" si="80"/>
        <v>0</v>
      </c>
      <c r="Z350" s="12">
        <f t="shared" si="80"/>
        <v>0</v>
      </c>
      <c r="AA350" s="12">
        <f t="shared" si="80"/>
        <v>0</v>
      </c>
      <c r="AB350" s="12">
        <f t="shared" si="80"/>
        <v>0</v>
      </c>
      <c r="AC350" s="12">
        <f t="shared" si="80"/>
        <v>0</v>
      </c>
      <c r="AD350" s="12">
        <f t="shared" si="80"/>
        <v>0</v>
      </c>
      <c r="AE350" s="12">
        <f t="shared" si="80"/>
        <v>0</v>
      </c>
      <c r="AF350" s="12">
        <f t="shared" si="80"/>
        <v>0</v>
      </c>
      <c r="AG350" s="12">
        <f t="shared" si="80"/>
        <v>0</v>
      </c>
      <c r="AH350" s="12">
        <f t="shared" si="80"/>
        <v>0</v>
      </c>
      <c r="AI350" s="12">
        <f t="shared" si="80"/>
        <v>0</v>
      </c>
      <c r="AJ350" s="12">
        <f t="shared" si="80"/>
        <v>0</v>
      </c>
      <c r="AK350" s="12">
        <f t="shared" si="80"/>
        <v>0</v>
      </c>
      <c r="AL350" s="12">
        <f t="shared" si="80"/>
        <v>0</v>
      </c>
    </row>
    <row r="351" spans="1:38" s="13" customFormat="1" ht="17.25" customHeight="1">
      <c r="A351" s="354">
        <v>47</v>
      </c>
      <c r="B351" s="214" t="s">
        <v>55</v>
      </c>
      <c r="C351" s="208">
        <v>85311</v>
      </c>
      <c r="D351" s="211" t="s">
        <v>8</v>
      </c>
      <c r="E351" s="164"/>
      <c r="F351" s="217">
        <v>2011</v>
      </c>
      <c r="G351" s="81" t="s">
        <v>9</v>
      </c>
      <c r="H351" s="15" t="s">
        <v>10</v>
      </c>
      <c r="I351" s="60">
        <v>180000</v>
      </c>
      <c r="J351" s="61">
        <v>108000</v>
      </c>
      <c r="K351" s="61">
        <v>54000</v>
      </c>
      <c r="L351" s="61">
        <v>108000</v>
      </c>
      <c r="M351" s="146">
        <f t="shared" si="72"/>
        <v>234000</v>
      </c>
      <c r="N351" s="60"/>
      <c r="O351" s="127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s="13" customFormat="1" ht="17.25" customHeight="1">
      <c r="A352" s="348"/>
      <c r="B352" s="215"/>
      <c r="C352" s="209"/>
      <c r="D352" s="362"/>
      <c r="E352" s="165"/>
      <c r="F352" s="228"/>
      <c r="G352" s="341">
        <v>504000</v>
      </c>
      <c r="H352" s="16" t="s">
        <v>11</v>
      </c>
      <c r="I352" s="62"/>
      <c r="J352" s="63"/>
      <c r="K352" s="63"/>
      <c r="L352" s="63"/>
      <c r="M352" s="147">
        <f t="shared" si="72"/>
        <v>0</v>
      </c>
      <c r="N352" s="62"/>
      <c r="O352" s="128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s="13" customFormat="1" ht="17.25" customHeight="1">
      <c r="A353" s="348"/>
      <c r="B353" s="215"/>
      <c r="C353" s="209"/>
      <c r="D353" s="362"/>
      <c r="E353" s="165"/>
      <c r="F353" s="228"/>
      <c r="G353" s="342"/>
      <c r="H353" s="16" t="s">
        <v>12</v>
      </c>
      <c r="I353" s="62"/>
      <c r="J353" s="63"/>
      <c r="K353" s="63"/>
      <c r="L353" s="63"/>
      <c r="M353" s="147">
        <f t="shared" si="72"/>
        <v>0</v>
      </c>
      <c r="N353" s="62"/>
      <c r="O353" s="128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1:38" s="13" customFormat="1" ht="12.75">
      <c r="A354" s="348"/>
      <c r="B354" s="215"/>
      <c r="C354" s="209"/>
      <c r="D354" s="362"/>
      <c r="E354" s="165" t="s">
        <v>98</v>
      </c>
      <c r="F354" s="212"/>
      <c r="G354" s="83" t="s">
        <v>13</v>
      </c>
      <c r="H354" s="16" t="s">
        <v>14</v>
      </c>
      <c r="I354" s="62"/>
      <c r="J354" s="63"/>
      <c r="K354" s="63"/>
      <c r="L354" s="63"/>
      <c r="M354" s="147">
        <f t="shared" si="72"/>
        <v>0</v>
      </c>
      <c r="N354" s="62"/>
      <c r="O354" s="128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s="13" customFormat="1" ht="12.75">
      <c r="A355" s="348"/>
      <c r="B355" s="215"/>
      <c r="C355" s="209"/>
      <c r="D355" s="362"/>
      <c r="E355" s="165"/>
      <c r="F355" s="227">
        <v>2015</v>
      </c>
      <c r="G355" s="341">
        <v>0</v>
      </c>
      <c r="H355" s="16" t="s">
        <v>15</v>
      </c>
      <c r="I355" s="62"/>
      <c r="J355" s="63"/>
      <c r="K355" s="63"/>
      <c r="L355" s="63"/>
      <c r="M355" s="147">
        <f t="shared" si="72"/>
        <v>0</v>
      </c>
      <c r="N355" s="62"/>
      <c r="O355" s="128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1:38" s="13" customFormat="1" ht="12.75">
      <c r="A356" s="348"/>
      <c r="B356" s="215"/>
      <c r="C356" s="209"/>
      <c r="D356" s="362"/>
      <c r="E356" s="165"/>
      <c r="F356" s="228"/>
      <c r="G356" s="342"/>
      <c r="H356" s="16" t="s">
        <v>16</v>
      </c>
      <c r="I356" s="62"/>
      <c r="J356" s="63"/>
      <c r="K356" s="63"/>
      <c r="L356" s="63"/>
      <c r="M356" s="147">
        <f t="shared" si="72"/>
        <v>0</v>
      </c>
      <c r="N356" s="62"/>
      <c r="O356" s="128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s="13" customFormat="1" ht="12.75">
      <c r="A357" s="348"/>
      <c r="B357" s="215"/>
      <c r="C357" s="209"/>
      <c r="D357" s="362"/>
      <c r="E357" s="165"/>
      <c r="F357" s="228"/>
      <c r="G357" s="83" t="s">
        <v>17</v>
      </c>
      <c r="H357" s="16" t="s">
        <v>18</v>
      </c>
      <c r="I357" s="6">
        <f aca="true" t="shared" si="81" ref="I357:AL357">I351+I353+I355</f>
        <v>180000</v>
      </c>
      <c r="J357" s="7">
        <f t="shared" si="81"/>
        <v>108000</v>
      </c>
      <c r="K357" s="7">
        <f t="shared" si="81"/>
        <v>54000</v>
      </c>
      <c r="L357" s="7">
        <f t="shared" si="81"/>
        <v>108000</v>
      </c>
      <c r="M357" s="123">
        <f t="shared" si="72"/>
        <v>234000</v>
      </c>
      <c r="N357" s="149">
        <f>M357/G352</f>
        <v>0.4642857142857143</v>
      </c>
      <c r="O357" s="129">
        <f t="shared" si="81"/>
        <v>0</v>
      </c>
      <c r="P357" s="7">
        <f t="shared" si="81"/>
        <v>0</v>
      </c>
      <c r="Q357" s="7">
        <f t="shared" si="81"/>
        <v>0</v>
      </c>
      <c r="R357" s="7">
        <f t="shared" si="81"/>
        <v>0</v>
      </c>
      <c r="S357" s="7">
        <f t="shared" si="81"/>
        <v>0</v>
      </c>
      <c r="T357" s="7">
        <f t="shared" si="81"/>
        <v>0</v>
      </c>
      <c r="U357" s="7">
        <f t="shared" si="81"/>
        <v>0</v>
      </c>
      <c r="V357" s="7">
        <f t="shared" si="81"/>
        <v>0</v>
      </c>
      <c r="W357" s="7">
        <f t="shared" si="81"/>
        <v>0</v>
      </c>
      <c r="X357" s="7">
        <f t="shared" si="81"/>
        <v>0</v>
      </c>
      <c r="Y357" s="7">
        <f t="shared" si="81"/>
        <v>0</v>
      </c>
      <c r="Z357" s="7">
        <f t="shared" si="81"/>
        <v>0</v>
      </c>
      <c r="AA357" s="7">
        <f t="shared" si="81"/>
        <v>0</v>
      </c>
      <c r="AB357" s="7">
        <f t="shared" si="81"/>
        <v>0</v>
      </c>
      <c r="AC357" s="7">
        <f t="shared" si="81"/>
        <v>0</v>
      </c>
      <c r="AD357" s="7">
        <f t="shared" si="81"/>
        <v>0</v>
      </c>
      <c r="AE357" s="7">
        <f t="shared" si="81"/>
        <v>0</v>
      </c>
      <c r="AF357" s="7">
        <f t="shared" si="81"/>
        <v>0</v>
      </c>
      <c r="AG357" s="7">
        <f t="shared" si="81"/>
        <v>0</v>
      </c>
      <c r="AH357" s="7">
        <f t="shared" si="81"/>
        <v>0</v>
      </c>
      <c r="AI357" s="7">
        <f t="shared" si="81"/>
        <v>0</v>
      </c>
      <c r="AJ357" s="7">
        <f t="shared" si="81"/>
        <v>0</v>
      </c>
      <c r="AK357" s="7">
        <f t="shared" si="81"/>
        <v>0</v>
      </c>
      <c r="AL357" s="7">
        <f t="shared" si="81"/>
        <v>0</v>
      </c>
    </row>
    <row r="358" spans="1:38" s="13" customFormat="1" ht="17.25" customHeight="1" thickBot="1">
      <c r="A358" s="348"/>
      <c r="B358" s="207"/>
      <c r="C358" s="210"/>
      <c r="D358" s="363"/>
      <c r="E358" s="166"/>
      <c r="F358" s="216"/>
      <c r="G358" s="85">
        <v>504000</v>
      </c>
      <c r="H358" s="17" t="s">
        <v>19</v>
      </c>
      <c r="I358" s="9">
        <f aca="true" t="shared" si="82" ref="I358:AL358">I352+I354+I356</f>
        <v>0</v>
      </c>
      <c r="J358" s="10">
        <f t="shared" si="82"/>
        <v>0</v>
      </c>
      <c r="K358" s="10">
        <f t="shared" si="82"/>
        <v>0</v>
      </c>
      <c r="L358" s="10">
        <f t="shared" si="82"/>
        <v>0</v>
      </c>
      <c r="M358" s="124">
        <f t="shared" si="72"/>
        <v>0</v>
      </c>
      <c r="N358" s="149"/>
      <c r="O358" s="130">
        <f t="shared" si="82"/>
        <v>0</v>
      </c>
      <c r="P358" s="10">
        <f t="shared" si="82"/>
        <v>0</v>
      </c>
      <c r="Q358" s="10">
        <f t="shared" si="82"/>
        <v>0</v>
      </c>
      <c r="R358" s="10">
        <f t="shared" si="82"/>
        <v>0</v>
      </c>
      <c r="S358" s="10">
        <f t="shared" si="82"/>
        <v>0</v>
      </c>
      <c r="T358" s="10">
        <f t="shared" si="82"/>
        <v>0</v>
      </c>
      <c r="U358" s="10">
        <f t="shared" si="82"/>
        <v>0</v>
      </c>
      <c r="V358" s="10">
        <f t="shared" si="82"/>
        <v>0</v>
      </c>
      <c r="W358" s="10">
        <f t="shared" si="82"/>
        <v>0</v>
      </c>
      <c r="X358" s="10">
        <f t="shared" si="82"/>
        <v>0</v>
      </c>
      <c r="Y358" s="10">
        <f t="shared" si="82"/>
        <v>0</v>
      </c>
      <c r="Z358" s="10">
        <f t="shared" si="82"/>
        <v>0</v>
      </c>
      <c r="AA358" s="10">
        <f t="shared" si="82"/>
        <v>0</v>
      </c>
      <c r="AB358" s="10">
        <f t="shared" si="82"/>
        <v>0</v>
      </c>
      <c r="AC358" s="10">
        <f t="shared" si="82"/>
        <v>0</v>
      </c>
      <c r="AD358" s="10">
        <f t="shared" si="82"/>
        <v>0</v>
      </c>
      <c r="AE358" s="10">
        <f t="shared" si="82"/>
        <v>0</v>
      </c>
      <c r="AF358" s="10">
        <f t="shared" si="82"/>
        <v>0</v>
      </c>
      <c r="AG358" s="10">
        <f t="shared" si="82"/>
        <v>0</v>
      </c>
      <c r="AH358" s="10">
        <f t="shared" si="82"/>
        <v>0</v>
      </c>
      <c r="AI358" s="10">
        <f t="shared" si="82"/>
        <v>0</v>
      </c>
      <c r="AJ358" s="10">
        <f t="shared" si="82"/>
        <v>0</v>
      </c>
      <c r="AK358" s="10">
        <f t="shared" si="82"/>
        <v>0</v>
      </c>
      <c r="AL358" s="10">
        <f t="shared" si="82"/>
        <v>0</v>
      </c>
    </row>
    <row r="359" spans="1:38" s="13" customFormat="1" ht="15" customHeight="1">
      <c r="A359" s="354">
        <v>48</v>
      </c>
      <c r="B359" s="214" t="s">
        <v>56</v>
      </c>
      <c r="C359" s="208">
        <v>85311</v>
      </c>
      <c r="D359" s="211" t="s">
        <v>8</v>
      </c>
      <c r="E359" s="164"/>
      <c r="F359" s="217">
        <v>2011</v>
      </c>
      <c r="G359" s="81" t="s">
        <v>9</v>
      </c>
      <c r="H359" s="15" t="s">
        <v>10</v>
      </c>
      <c r="I359" s="60">
        <v>536070</v>
      </c>
      <c r="J359" s="61">
        <v>120000</v>
      </c>
      <c r="K359" s="61">
        <v>0</v>
      </c>
      <c r="L359" s="61">
        <v>0</v>
      </c>
      <c r="M359" s="146">
        <f t="shared" si="72"/>
        <v>536070</v>
      </c>
      <c r="N359" s="60"/>
      <c r="O359" s="127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s="13" customFormat="1" ht="15" customHeight="1">
      <c r="A360" s="348"/>
      <c r="B360" s="215"/>
      <c r="C360" s="209"/>
      <c r="D360" s="362"/>
      <c r="E360" s="165"/>
      <c r="F360" s="228"/>
      <c r="G360" s="341">
        <v>656070</v>
      </c>
      <c r="H360" s="16" t="s">
        <v>11</v>
      </c>
      <c r="I360" s="62"/>
      <c r="J360" s="63"/>
      <c r="K360" s="63"/>
      <c r="L360" s="63"/>
      <c r="M360" s="147">
        <f t="shared" si="72"/>
        <v>0</v>
      </c>
      <c r="N360" s="62"/>
      <c r="O360" s="128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1:38" s="13" customFormat="1" ht="15" customHeight="1">
      <c r="A361" s="348"/>
      <c r="B361" s="215"/>
      <c r="C361" s="209"/>
      <c r="D361" s="362"/>
      <c r="E361" s="165"/>
      <c r="F361" s="228"/>
      <c r="G361" s="342"/>
      <c r="H361" s="16" t="s">
        <v>12</v>
      </c>
      <c r="I361" s="62"/>
      <c r="J361" s="63"/>
      <c r="K361" s="63"/>
      <c r="L361" s="63"/>
      <c r="M361" s="147">
        <f t="shared" si="72"/>
        <v>0</v>
      </c>
      <c r="N361" s="62"/>
      <c r="O361" s="128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1:38" s="13" customFormat="1" ht="15" customHeight="1">
      <c r="A362" s="348"/>
      <c r="B362" s="215"/>
      <c r="C362" s="209"/>
      <c r="D362" s="362"/>
      <c r="E362" s="165" t="s">
        <v>98</v>
      </c>
      <c r="F362" s="212"/>
      <c r="G362" s="83" t="s">
        <v>13</v>
      </c>
      <c r="H362" s="16" t="s">
        <v>14</v>
      </c>
      <c r="I362" s="62"/>
      <c r="J362" s="63"/>
      <c r="K362" s="63"/>
      <c r="L362" s="63"/>
      <c r="M362" s="147">
        <f t="shared" si="72"/>
        <v>0</v>
      </c>
      <c r="N362" s="62"/>
      <c r="O362" s="128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8" s="13" customFormat="1" ht="15" customHeight="1">
      <c r="A363" s="348"/>
      <c r="B363" s="215"/>
      <c r="C363" s="209"/>
      <c r="D363" s="362"/>
      <c r="E363" s="165"/>
      <c r="F363" s="227">
        <v>2013</v>
      </c>
      <c r="G363" s="341">
        <v>0</v>
      </c>
      <c r="H363" s="16" t="s">
        <v>15</v>
      </c>
      <c r="I363" s="62"/>
      <c r="J363" s="63"/>
      <c r="K363" s="63"/>
      <c r="L363" s="63"/>
      <c r="M363" s="147">
        <f t="shared" si="72"/>
        <v>0</v>
      </c>
      <c r="N363" s="62"/>
      <c r="O363" s="128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1:38" s="13" customFormat="1" ht="15" customHeight="1">
      <c r="A364" s="348"/>
      <c r="B364" s="215"/>
      <c r="C364" s="209"/>
      <c r="D364" s="362"/>
      <c r="E364" s="165"/>
      <c r="F364" s="228"/>
      <c r="G364" s="342"/>
      <c r="H364" s="16" t="s">
        <v>16</v>
      </c>
      <c r="I364" s="62"/>
      <c r="J364" s="63"/>
      <c r="K364" s="63"/>
      <c r="L364" s="63"/>
      <c r="M364" s="147">
        <f t="shared" si="72"/>
        <v>0</v>
      </c>
      <c r="N364" s="62"/>
      <c r="O364" s="128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8" s="13" customFormat="1" ht="15" customHeight="1">
      <c r="A365" s="348"/>
      <c r="B365" s="215"/>
      <c r="C365" s="209"/>
      <c r="D365" s="362"/>
      <c r="E365" s="165"/>
      <c r="F365" s="228"/>
      <c r="G365" s="83" t="s">
        <v>17</v>
      </c>
      <c r="H365" s="16" t="s">
        <v>18</v>
      </c>
      <c r="I365" s="6">
        <f aca="true" t="shared" si="83" ref="I365:AL365">I359+I361+I363</f>
        <v>536070</v>
      </c>
      <c r="J365" s="7">
        <f t="shared" si="83"/>
        <v>120000</v>
      </c>
      <c r="K365" s="7">
        <f t="shared" si="83"/>
        <v>0</v>
      </c>
      <c r="L365" s="7">
        <f t="shared" si="83"/>
        <v>0</v>
      </c>
      <c r="M365" s="123">
        <f t="shared" si="72"/>
        <v>536070</v>
      </c>
      <c r="N365" s="149">
        <f>M365/G360</f>
        <v>0.817092688280214</v>
      </c>
      <c r="O365" s="129">
        <f t="shared" si="83"/>
        <v>0</v>
      </c>
      <c r="P365" s="7">
        <f t="shared" si="83"/>
        <v>0</v>
      </c>
      <c r="Q365" s="7">
        <f t="shared" si="83"/>
        <v>0</v>
      </c>
      <c r="R365" s="7">
        <f t="shared" si="83"/>
        <v>0</v>
      </c>
      <c r="S365" s="7">
        <f t="shared" si="83"/>
        <v>0</v>
      </c>
      <c r="T365" s="7">
        <f t="shared" si="83"/>
        <v>0</v>
      </c>
      <c r="U365" s="7">
        <f t="shared" si="83"/>
        <v>0</v>
      </c>
      <c r="V365" s="7">
        <f t="shared" si="83"/>
        <v>0</v>
      </c>
      <c r="W365" s="7">
        <f t="shared" si="83"/>
        <v>0</v>
      </c>
      <c r="X365" s="7">
        <f t="shared" si="83"/>
        <v>0</v>
      </c>
      <c r="Y365" s="7">
        <f t="shared" si="83"/>
        <v>0</v>
      </c>
      <c r="Z365" s="7">
        <f t="shared" si="83"/>
        <v>0</v>
      </c>
      <c r="AA365" s="7">
        <f t="shared" si="83"/>
        <v>0</v>
      </c>
      <c r="AB365" s="7">
        <f t="shared" si="83"/>
        <v>0</v>
      </c>
      <c r="AC365" s="7">
        <f t="shared" si="83"/>
        <v>0</v>
      </c>
      <c r="AD365" s="7">
        <f t="shared" si="83"/>
        <v>0</v>
      </c>
      <c r="AE365" s="7">
        <f t="shared" si="83"/>
        <v>0</v>
      </c>
      <c r="AF365" s="7">
        <f t="shared" si="83"/>
        <v>0</v>
      </c>
      <c r="AG365" s="7">
        <f t="shared" si="83"/>
        <v>0</v>
      </c>
      <c r="AH365" s="7">
        <f t="shared" si="83"/>
        <v>0</v>
      </c>
      <c r="AI365" s="7">
        <f t="shared" si="83"/>
        <v>0</v>
      </c>
      <c r="AJ365" s="7">
        <f t="shared" si="83"/>
        <v>0</v>
      </c>
      <c r="AK365" s="7">
        <f t="shared" si="83"/>
        <v>0</v>
      </c>
      <c r="AL365" s="7">
        <f t="shared" si="83"/>
        <v>0</v>
      </c>
    </row>
    <row r="366" spans="1:38" s="13" customFormat="1" ht="15" customHeight="1" thickBot="1">
      <c r="A366" s="348"/>
      <c r="B366" s="207"/>
      <c r="C366" s="210"/>
      <c r="D366" s="363"/>
      <c r="E366" s="166"/>
      <c r="F366" s="216"/>
      <c r="G366" s="85">
        <v>656070</v>
      </c>
      <c r="H366" s="17" t="s">
        <v>19</v>
      </c>
      <c r="I366" s="9">
        <f aca="true" t="shared" si="84" ref="I366:AL366">I360+I362+I364</f>
        <v>0</v>
      </c>
      <c r="J366" s="10">
        <f t="shared" si="84"/>
        <v>0</v>
      </c>
      <c r="K366" s="10">
        <f t="shared" si="84"/>
        <v>0</v>
      </c>
      <c r="L366" s="10">
        <f t="shared" si="84"/>
        <v>0</v>
      </c>
      <c r="M366" s="124">
        <f t="shared" si="72"/>
        <v>0</v>
      </c>
      <c r="N366" s="149"/>
      <c r="O366" s="130">
        <f t="shared" si="84"/>
        <v>0</v>
      </c>
      <c r="P366" s="10">
        <f t="shared" si="84"/>
        <v>0</v>
      </c>
      <c r="Q366" s="10">
        <f t="shared" si="84"/>
        <v>0</v>
      </c>
      <c r="R366" s="10">
        <f t="shared" si="84"/>
        <v>0</v>
      </c>
      <c r="S366" s="10">
        <f t="shared" si="84"/>
        <v>0</v>
      </c>
      <c r="T366" s="10">
        <f t="shared" si="84"/>
        <v>0</v>
      </c>
      <c r="U366" s="10">
        <f t="shared" si="84"/>
        <v>0</v>
      </c>
      <c r="V366" s="10">
        <f t="shared" si="84"/>
        <v>0</v>
      </c>
      <c r="W366" s="10">
        <f t="shared" si="84"/>
        <v>0</v>
      </c>
      <c r="X366" s="10">
        <f t="shared" si="84"/>
        <v>0</v>
      </c>
      <c r="Y366" s="10">
        <f t="shared" si="84"/>
        <v>0</v>
      </c>
      <c r="Z366" s="10">
        <f t="shared" si="84"/>
        <v>0</v>
      </c>
      <c r="AA366" s="10">
        <f t="shared" si="84"/>
        <v>0</v>
      </c>
      <c r="AB366" s="10">
        <f t="shared" si="84"/>
        <v>0</v>
      </c>
      <c r="AC366" s="10">
        <f t="shared" si="84"/>
        <v>0</v>
      </c>
      <c r="AD366" s="10">
        <f t="shared" si="84"/>
        <v>0</v>
      </c>
      <c r="AE366" s="10">
        <f t="shared" si="84"/>
        <v>0</v>
      </c>
      <c r="AF366" s="10">
        <f t="shared" si="84"/>
        <v>0</v>
      </c>
      <c r="AG366" s="10">
        <f t="shared" si="84"/>
        <v>0</v>
      </c>
      <c r="AH366" s="10">
        <f t="shared" si="84"/>
        <v>0</v>
      </c>
      <c r="AI366" s="10">
        <f t="shared" si="84"/>
        <v>0</v>
      </c>
      <c r="AJ366" s="10">
        <f t="shared" si="84"/>
        <v>0</v>
      </c>
      <c r="AK366" s="10">
        <f t="shared" si="84"/>
        <v>0</v>
      </c>
      <c r="AL366" s="10">
        <f t="shared" si="84"/>
        <v>0</v>
      </c>
    </row>
    <row r="367" spans="1:38" s="13" customFormat="1" ht="15" customHeight="1">
      <c r="A367" s="354">
        <v>49</v>
      </c>
      <c r="B367" s="214" t="s">
        <v>99</v>
      </c>
      <c r="C367" s="208">
        <v>85311</v>
      </c>
      <c r="D367" s="211" t="s">
        <v>8</v>
      </c>
      <c r="E367" s="164"/>
      <c r="F367" s="217">
        <v>2012</v>
      </c>
      <c r="G367" s="81" t="s">
        <v>9</v>
      </c>
      <c r="H367" s="15" t="s">
        <v>10</v>
      </c>
      <c r="I367" s="60">
        <v>116949</v>
      </c>
      <c r="J367" s="61">
        <v>120400</v>
      </c>
      <c r="K367" s="61">
        <v>60200</v>
      </c>
      <c r="L367" s="61">
        <v>120400</v>
      </c>
      <c r="M367" s="146">
        <f t="shared" si="72"/>
        <v>177149</v>
      </c>
      <c r="N367" s="60"/>
      <c r="O367" s="127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s="13" customFormat="1" ht="15" customHeight="1">
      <c r="A368" s="348"/>
      <c r="B368" s="215"/>
      <c r="C368" s="209"/>
      <c r="D368" s="362"/>
      <c r="E368" s="165"/>
      <c r="F368" s="228"/>
      <c r="G368" s="341">
        <v>624949</v>
      </c>
      <c r="H368" s="16" t="s">
        <v>11</v>
      </c>
      <c r="I368" s="62"/>
      <c r="J368" s="63"/>
      <c r="K368" s="63"/>
      <c r="L368" s="63"/>
      <c r="M368" s="147">
        <f aca="true" t="shared" si="85" ref="M368:M455">SUM(I368,K368)</f>
        <v>0</v>
      </c>
      <c r="N368" s="62"/>
      <c r="O368" s="128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1:38" s="13" customFormat="1" ht="15" customHeight="1">
      <c r="A369" s="348"/>
      <c r="B369" s="215"/>
      <c r="C369" s="209"/>
      <c r="D369" s="362"/>
      <c r="E369" s="165"/>
      <c r="F369" s="228"/>
      <c r="G369" s="342"/>
      <c r="H369" s="16" t="s">
        <v>12</v>
      </c>
      <c r="I369" s="62"/>
      <c r="J369" s="63"/>
      <c r="K369" s="63"/>
      <c r="L369" s="63"/>
      <c r="M369" s="147">
        <f t="shared" si="85"/>
        <v>0</v>
      </c>
      <c r="N369" s="62"/>
      <c r="O369" s="128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1:38" s="13" customFormat="1" ht="15" customHeight="1">
      <c r="A370" s="348"/>
      <c r="B370" s="215"/>
      <c r="C370" s="209"/>
      <c r="D370" s="362"/>
      <c r="E370" s="165" t="s">
        <v>98</v>
      </c>
      <c r="F370" s="212"/>
      <c r="G370" s="83" t="s">
        <v>13</v>
      </c>
      <c r="H370" s="16" t="s">
        <v>14</v>
      </c>
      <c r="I370" s="62"/>
      <c r="J370" s="63"/>
      <c r="K370" s="63"/>
      <c r="L370" s="63"/>
      <c r="M370" s="147">
        <f t="shared" si="85"/>
        <v>0</v>
      </c>
      <c r="N370" s="62"/>
      <c r="O370" s="128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1:38" s="13" customFormat="1" ht="15" customHeight="1">
      <c r="A371" s="348"/>
      <c r="B371" s="215"/>
      <c r="C371" s="209"/>
      <c r="D371" s="362"/>
      <c r="E371" s="165"/>
      <c r="F371" s="227">
        <v>2016</v>
      </c>
      <c r="G371" s="341">
        <v>0</v>
      </c>
      <c r="H371" s="16" t="s">
        <v>15</v>
      </c>
      <c r="I371" s="62"/>
      <c r="J371" s="63"/>
      <c r="K371" s="63"/>
      <c r="L371" s="63"/>
      <c r="M371" s="147">
        <f t="shared" si="85"/>
        <v>0</v>
      </c>
      <c r="N371" s="62"/>
      <c r="O371" s="128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1:38" s="13" customFormat="1" ht="15" customHeight="1">
      <c r="A372" s="348"/>
      <c r="B372" s="215"/>
      <c r="C372" s="209"/>
      <c r="D372" s="362"/>
      <c r="E372" s="165"/>
      <c r="F372" s="228"/>
      <c r="G372" s="342"/>
      <c r="H372" s="16" t="s">
        <v>16</v>
      </c>
      <c r="I372" s="62"/>
      <c r="J372" s="63"/>
      <c r="K372" s="63"/>
      <c r="L372" s="63"/>
      <c r="M372" s="147">
        <f t="shared" si="85"/>
        <v>0</v>
      </c>
      <c r="N372" s="62"/>
      <c r="O372" s="128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s="13" customFormat="1" ht="15" customHeight="1">
      <c r="A373" s="348"/>
      <c r="B373" s="215"/>
      <c r="C373" s="209"/>
      <c r="D373" s="362"/>
      <c r="E373" s="165"/>
      <c r="F373" s="228"/>
      <c r="G373" s="83" t="s">
        <v>17</v>
      </c>
      <c r="H373" s="16" t="s">
        <v>18</v>
      </c>
      <c r="I373" s="6">
        <f aca="true" t="shared" si="86" ref="I373:AL373">I367+I369+I371</f>
        <v>116949</v>
      </c>
      <c r="J373" s="7">
        <f t="shared" si="86"/>
        <v>120400</v>
      </c>
      <c r="K373" s="7">
        <f t="shared" si="86"/>
        <v>60200</v>
      </c>
      <c r="L373" s="7">
        <f t="shared" si="86"/>
        <v>120400</v>
      </c>
      <c r="M373" s="123">
        <f t="shared" si="85"/>
        <v>177149</v>
      </c>
      <c r="N373" s="149">
        <f>M373/G368</f>
        <v>0.2834615304608856</v>
      </c>
      <c r="O373" s="129">
        <f t="shared" si="86"/>
        <v>0</v>
      </c>
      <c r="P373" s="7">
        <f t="shared" si="86"/>
        <v>0</v>
      </c>
      <c r="Q373" s="7">
        <f t="shared" si="86"/>
        <v>0</v>
      </c>
      <c r="R373" s="7">
        <f t="shared" si="86"/>
        <v>0</v>
      </c>
      <c r="S373" s="7">
        <f t="shared" si="86"/>
        <v>0</v>
      </c>
      <c r="T373" s="7">
        <f t="shared" si="86"/>
        <v>0</v>
      </c>
      <c r="U373" s="7">
        <f t="shared" si="86"/>
        <v>0</v>
      </c>
      <c r="V373" s="7">
        <f t="shared" si="86"/>
        <v>0</v>
      </c>
      <c r="W373" s="7">
        <f t="shared" si="86"/>
        <v>0</v>
      </c>
      <c r="X373" s="7">
        <f t="shared" si="86"/>
        <v>0</v>
      </c>
      <c r="Y373" s="7">
        <f t="shared" si="86"/>
        <v>0</v>
      </c>
      <c r="Z373" s="7">
        <f t="shared" si="86"/>
        <v>0</v>
      </c>
      <c r="AA373" s="7">
        <f t="shared" si="86"/>
        <v>0</v>
      </c>
      <c r="AB373" s="7">
        <f t="shared" si="86"/>
        <v>0</v>
      </c>
      <c r="AC373" s="7">
        <f t="shared" si="86"/>
        <v>0</v>
      </c>
      <c r="AD373" s="7">
        <f t="shared" si="86"/>
        <v>0</v>
      </c>
      <c r="AE373" s="7">
        <f t="shared" si="86"/>
        <v>0</v>
      </c>
      <c r="AF373" s="7">
        <f t="shared" si="86"/>
        <v>0</v>
      </c>
      <c r="AG373" s="7">
        <f t="shared" si="86"/>
        <v>0</v>
      </c>
      <c r="AH373" s="7">
        <f t="shared" si="86"/>
        <v>0</v>
      </c>
      <c r="AI373" s="7">
        <f t="shared" si="86"/>
        <v>0</v>
      </c>
      <c r="AJ373" s="7">
        <f t="shared" si="86"/>
        <v>0</v>
      </c>
      <c r="AK373" s="7">
        <f t="shared" si="86"/>
        <v>0</v>
      </c>
      <c r="AL373" s="7">
        <f t="shared" si="86"/>
        <v>0</v>
      </c>
    </row>
    <row r="374" spans="1:38" s="13" customFormat="1" ht="15" customHeight="1" thickBot="1">
      <c r="A374" s="348"/>
      <c r="B374" s="207"/>
      <c r="C374" s="210"/>
      <c r="D374" s="363"/>
      <c r="E374" s="166"/>
      <c r="F374" s="216"/>
      <c r="G374" s="85">
        <v>624949</v>
      </c>
      <c r="H374" s="17" t="s">
        <v>19</v>
      </c>
      <c r="I374" s="9">
        <f aca="true" t="shared" si="87" ref="I374:AL374">I368+I370+I372</f>
        <v>0</v>
      </c>
      <c r="J374" s="10">
        <f t="shared" si="87"/>
        <v>0</v>
      </c>
      <c r="K374" s="10">
        <f t="shared" si="87"/>
        <v>0</v>
      </c>
      <c r="L374" s="10">
        <f t="shared" si="87"/>
        <v>0</v>
      </c>
      <c r="M374" s="124">
        <f t="shared" si="85"/>
        <v>0</v>
      </c>
      <c r="N374" s="149"/>
      <c r="O374" s="130">
        <f t="shared" si="87"/>
        <v>0</v>
      </c>
      <c r="P374" s="10">
        <f t="shared" si="87"/>
        <v>0</v>
      </c>
      <c r="Q374" s="10">
        <f t="shared" si="87"/>
        <v>0</v>
      </c>
      <c r="R374" s="10">
        <f t="shared" si="87"/>
        <v>0</v>
      </c>
      <c r="S374" s="10">
        <f t="shared" si="87"/>
        <v>0</v>
      </c>
      <c r="T374" s="10">
        <f t="shared" si="87"/>
        <v>0</v>
      </c>
      <c r="U374" s="10">
        <f t="shared" si="87"/>
        <v>0</v>
      </c>
      <c r="V374" s="10">
        <f t="shared" si="87"/>
        <v>0</v>
      </c>
      <c r="W374" s="10">
        <f t="shared" si="87"/>
        <v>0</v>
      </c>
      <c r="X374" s="10">
        <f t="shared" si="87"/>
        <v>0</v>
      </c>
      <c r="Y374" s="10">
        <f t="shared" si="87"/>
        <v>0</v>
      </c>
      <c r="Z374" s="10">
        <f t="shared" si="87"/>
        <v>0</v>
      </c>
      <c r="AA374" s="10">
        <f t="shared" si="87"/>
        <v>0</v>
      </c>
      <c r="AB374" s="10">
        <f t="shared" si="87"/>
        <v>0</v>
      </c>
      <c r="AC374" s="10">
        <f t="shared" si="87"/>
        <v>0</v>
      </c>
      <c r="AD374" s="10">
        <f t="shared" si="87"/>
        <v>0</v>
      </c>
      <c r="AE374" s="10">
        <f t="shared" si="87"/>
        <v>0</v>
      </c>
      <c r="AF374" s="10">
        <f t="shared" si="87"/>
        <v>0</v>
      </c>
      <c r="AG374" s="10">
        <f t="shared" si="87"/>
        <v>0</v>
      </c>
      <c r="AH374" s="10">
        <f t="shared" si="87"/>
        <v>0</v>
      </c>
      <c r="AI374" s="10">
        <f t="shared" si="87"/>
        <v>0</v>
      </c>
      <c r="AJ374" s="10">
        <f t="shared" si="87"/>
        <v>0</v>
      </c>
      <c r="AK374" s="10">
        <f t="shared" si="87"/>
        <v>0</v>
      </c>
      <c r="AL374" s="10">
        <f t="shared" si="87"/>
        <v>0</v>
      </c>
    </row>
    <row r="375" spans="1:38" s="90" customFormat="1" ht="15.75" customHeight="1">
      <c r="A375" s="354">
        <v>40</v>
      </c>
      <c r="B375" s="356" t="s">
        <v>68</v>
      </c>
      <c r="C375" s="357">
        <v>85395</v>
      </c>
      <c r="D375" s="358" t="s">
        <v>65</v>
      </c>
      <c r="E375" s="167"/>
      <c r="F375" s="223">
        <v>2010</v>
      </c>
      <c r="G375" s="81" t="s">
        <v>9</v>
      </c>
      <c r="H375" s="103" t="s">
        <v>10</v>
      </c>
      <c r="I375" s="59">
        <v>69869</v>
      </c>
      <c r="J375" s="87">
        <v>23100</v>
      </c>
      <c r="K375" s="87">
        <v>18435</v>
      </c>
      <c r="L375" s="87">
        <v>23100</v>
      </c>
      <c r="M375" s="158">
        <f aca="true" t="shared" si="88" ref="M375:M398">SUM(I375,K375)</f>
        <v>88304</v>
      </c>
      <c r="N375" s="59">
        <v>0</v>
      </c>
      <c r="O375" s="132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</row>
    <row r="376" spans="1:38" s="90" customFormat="1" ht="15.75" customHeight="1">
      <c r="A376" s="348"/>
      <c r="B376" s="349"/>
      <c r="C376" s="351"/>
      <c r="D376" s="353"/>
      <c r="E376" s="168"/>
      <c r="F376" s="361"/>
      <c r="G376" s="341">
        <v>127619</v>
      </c>
      <c r="H376" s="104" t="s">
        <v>11</v>
      </c>
      <c r="I376" s="92"/>
      <c r="J376" s="93"/>
      <c r="K376" s="93"/>
      <c r="L376" s="93"/>
      <c r="M376" s="159">
        <f t="shared" si="88"/>
        <v>0</v>
      </c>
      <c r="N376" s="92"/>
      <c r="O376" s="133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</row>
    <row r="377" spans="1:38" s="90" customFormat="1" ht="15.75" customHeight="1">
      <c r="A377" s="348"/>
      <c r="B377" s="349"/>
      <c r="C377" s="351"/>
      <c r="D377" s="353"/>
      <c r="E377" s="168"/>
      <c r="F377" s="361"/>
      <c r="G377" s="342"/>
      <c r="H377" s="104" t="s">
        <v>12</v>
      </c>
      <c r="I377" s="92"/>
      <c r="J377" s="93"/>
      <c r="K377" s="93"/>
      <c r="L377" s="93"/>
      <c r="M377" s="159">
        <f t="shared" si="88"/>
        <v>0</v>
      </c>
      <c r="N377" s="92"/>
      <c r="O377" s="133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</row>
    <row r="378" spans="1:38" s="90" customFormat="1" ht="15.75" customHeight="1">
      <c r="A378" s="348"/>
      <c r="B378" s="349"/>
      <c r="C378" s="351"/>
      <c r="D378" s="353"/>
      <c r="E378" s="168"/>
      <c r="F378" s="224"/>
      <c r="G378" s="83" t="s">
        <v>13</v>
      </c>
      <c r="H378" s="104" t="s">
        <v>14</v>
      </c>
      <c r="I378" s="92"/>
      <c r="J378" s="93"/>
      <c r="K378" s="93"/>
      <c r="L378" s="93"/>
      <c r="M378" s="159">
        <f t="shared" si="88"/>
        <v>0</v>
      </c>
      <c r="N378" s="92"/>
      <c r="O378" s="133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</row>
    <row r="379" spans="1:38" s="90" customFormat="1" ht="15.75" customHeight="1">
      <c r="A379" s="348"/>
      <c r="B379" s="349"/>
      <c r="C379" s="351"/>
      <c r="D379" s="353"/>
      <c r="E379" s="168"/>
      <c r="F379" s="360">
        <v>2015</v>
      </c>
      <c r="G379" s="341">
        <v>0</v>
      </c>
      <c r="H379" s="104" t="s">
        <v>15</v>
      </c>
      <c r="I379" s="92"/>
      <c r="J379" s="93"/>
      <c r="K379" s="93"/>
      <c r="L379" s="93"/>
      <c r="M379" s="159">
        <f t="shared" si="88"/>
        <v>0</v>
      </c>
      <c r="N379" s="92"/>
      <c r="O379" s="133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</row>
    <row r="380" spans="1:38" s="90" customFormat="1" ht="15.75" customHeight="1">
      <c r="A380" s="348"/>
      <c r="B380" s="349"/>
      <c r="C380" s="351"/>
      <c r="D380" s="353"/>
      <c r="E380" s="168"/>
      <c r="F380" s="361"/>
      <c r="G380" s="342"/>
      <c r="H380" s="104" t="s">
        <v>16</v>
      </c>
      <c r="I380" s="92"/>
      <c r="J380" s="93"/>
      <c r="K380" s="93"/>
      <c r="L380" s="93"/>
      <c r="M380" s="159">
        <f t="shared" si="88"/>
        <v>0</v>
      </c>
      <c r="N380" s="92"/>
      <c r="O380" s="133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</row>
    <row r="381" spans="1:38" s="90" customFormat="1" ht="15.75" customHeight="1">
      <c r="A381" s="348"/>
      <c r="B381" s="349"/>
      <c r="C381" s="351"/>
      <c r="D381" s="353"/>
      <c r="E381" s="168"/>
      <c r="F381" s="361"/>
      <c r="G381" s="83" t="s">
        <v>17</v>
      </c>
      <c r="H381" s="104" t="s">
        <v>18</v>
      </c>
      <c r="I381" s="96">
        <f aca="true" t="shared" si="89" ref="I381:AL382">I375+I377+I379</f>
        <v>69869</v>
      </c>
      <c r="J381" s="97">
        <f t="shared" si="89"/>
        <v>23100</v>
      </c>
      <c r="K381" s="97">
        <f t="shared" si="89"/>
        <v>18435</v>
      </c>
      <c r="L381" s="97">
        <f t="shared" si="89"/>
        <v>23100</v>
      </c>
      <c r="M381" s="98">
        <f t="shared" si="88"/>
        <v>88304</v>
      </c>
      <c r="N381" s="149">
        <f>M381/G376</f>
        <v>0.6919345865427562</v>
      </c>
      <c r="O381" s="134">
        <f t="shared" si="89"/>
        <v>0</v>
      </c>
      <c r="P381" s="97">
        <f t="shared" si="89"/>
        <v>0</v>
      </c>
      <c r="Q381" s="97">
        <f t="shared" si="89"/>
        <v>0</v>
      </c>
      <c r="R381" s="97">
        <f t="shared" si="89"/>
        <v>0</v>
      </c>
      <c r="S381" s="97">
        <f t="shared" si="89"/>
        <v>0</v>
      </c>
      <c r="T381" s="97">
        <f t="shared" si="89"/>
        <v>0</v>
      </c>
      <c r="U381" s="97">
        <f t="shared" si="89"/>
        <v>0</v>
      </c>
      <c r="V381" s="97">
        <f t="shared" si="89"/>
        <v>0</v>
      </c>
      <c r="W381" s="97">
        <f t="shared" si="89"/>
        <v>0</v>
      </c>
      <c r="X381" s="97">
        <f t="shared" si="89"/>
        <v>0</v>
      </c>
      <c r="Y381" s="97">
        <f t="shared" si="89"/>
        <v>0</v>
      </c>
      <c r="Z381" s="97">
        <f t="shared" si="89"/>
        <v>0</v>
      </c>
      <c r="AA381" s="97">
        <f t="shared" si="89"/>
        <v>0</v>
      </c>
      <c r="AB381" s="97">
        <f t="shared" si="89"/>
        <v>0</v>
      </c>
      <c r="AC381" s="97">
        <f t="shared" si="89"/>
        <v>0</v>
      </c>
      <c r="AD381" s="97">
        <f t="shared" si="89"/>
        <v>0</v>
      </c>
      <c r="AE381" s="97">
        <f t="shared" si="89"/>
        <v>0</v>
      </c>
      <c r="AF381" s="97">
        <f t="shared" si="89"/>
        <v>0</v>
      </c>
      <c r="AG381" s="97">
        <f t="shared" si="89"/>
        <v>0</v>
      </c>
      <c r="AH381" s="97">
        <f t="shared" si="89"/>
        <v>0</v>
      </c>
      <c r="AI381" s="97">
        <f t="shared" si="89"/>
        <v>0</v>
      </c>
      <c r="AJ381" s="97">
        <f t="shared" si="89"/>
        <v>0</v>
      </c>
      <c r="AK381" s="97">
        <f t="shared" si="89"/>
        <v>0</v>
      </c>
      <c r="AL381" s="97">
        <f t="shared" si="89"/>
        <v>0</v>
      </c>
    </row>
    <row r="382" spans="1:38" s="90" customFormat="1" ht="15.75" customHeight="1" thickBot="1">
      <c r="A382" s="348"/>
      <c r="B382" s="350"/>
      <c r="C382" s="352"/>
      <c r="D382" s="359"/>
      <c r="E382" s="169"/>
      <c r="F382" s="248"/>
      <c r="G382" s="85">
        <v>127619</v>
      </c>
      <c r="H382" s="105" t="s">
        <v>19</v>
      </c>
      <c r="I382" s="100">
        <f t="shared" si="89"/>
        <v>0</v>
      </c>
      <c r="J382" s="101">
        <f t="shared" si="89"/>
        <v>0</v>
      </c>
      <c r="K382" s="101">
        <f t="shared" si="89"/>
        <v>0</v>
      </c>
      <c r="L382" s="101">
        <f t="shared" si="89"/>
        <v>0</v>
      </c>
      <c r="M382" s="102">
        <f t="shared" si="88"/>
        <v>0</v>
      </c>
      <c r="N382" s="149"/>
      <c r="O382" s="135">
        <f t="shared" si="89"/>
        <v>0</v>
      </c>
      <c r="P382" s="101">
        <f t="shared" si="89"/>
        <v>0</v>
      </c>
      <c r="Q382" s="101">
        <f t="shared" si="89"/>
        <v>0</v>
      </c>
      <c r="R382" s="101">
        <f t="shared" si="89"/>
        <v>0</v>
      </c>
      <c r="S382" s="101">
        <f t="shared" si="89"/>
        <v>0</v>
      </c>
      <c r="T382" s="101">
        <f t="shared" si="89"/>
        <v>0</v>
      </c>
      <c r="U382" s="101">
        <f t="shared" si="89"/>
        <v>0</v>
      </c>
      <c r="V382" s="101">
        <f t="shared" si="89"/>
        <v>0</v>
      </c>
      <c r="W382" s="101">
        <f t="shared" si="89"/>
        <v>0</v>
      </c>
      <c r="X382" s="101">
        <f t="shared" si="89"/>
        <v>0</v>
      </c>
      <c r="Y382" s="101">
        <f t="shared" si="89"/>
        <v>0</v>
      </c>
      <c r="Z382" s="101">
        <f t="shared" si="89"/>
        <v>0</v>
      </c>
      <c r="AA382" s="101">
        <f t="shared" si="89"/>
        <v>0</v>
      </c>
      <c r="AB382" s="101">
        <f t="shared" si="89"/>
        <v>0</v>
      </c>
      <c r="AC382" s="101">
        <f t="shared" si="89"/>
        <v>0</v>
      </c>
      <c r="AD382" s="101">
        <f t="shared" si="89"/>
        <v>0</v>
      </c>
      <c r="AE382" s="101">
        <f t="shared" si="89"/>
        <v>0</v>
      </c>
      <c r="AF382" s="101">
        <f t="shared" si="89"/>
        <v>0</v>
      </c>
      <c r="AG382" s="101">
        <f t="shared" si="89"/>
        <v>0</v>
      </c>
      <c r="AH382" s="101">
        <f t="shared" si="89"/>
        <v>0</v>
      </c>
      <c r="AI382" s="101">
        <f t="shared" si="89"/>
        <v>0</v>
      </c>
      <c r="AJ382" s="101">
        <f t="shared" si="89"/>
        <v>0</v>
      </c>
      <c r="AK382" s="101">
        <f t="shared" si="89"/>
        <v>0</v>
      </c>
      <c r="AL382" s="101">
        <f t="shared" si="89"/>
        <v>0</v>
      </c>
    </row>
    <row r="383" spans="1:38" s="90" customFormat="1" ht="15" customHeight="1">
      <c r="A383" s="354">
        <v>41</v>
      </c>
      <c r="B383" s="356" t="s">
        <v>116</v>
      </c>
      <c r="C383" s="357">
        <v>85395</v>
      </c>
      <c r="D383" s="358" t="s">
        <v>117</v>
      </c>
      <c r="E383" s="167"/>
      <c r="F383" s="223">
        <v>2011</v>
      </c>
      <c r="G383" s="81" t="s">
        <v>9</v>
      </c>
      <c r="H383" s="103" t="s">
        <v>10</v>
      </c>
      <c r="I383" s="59">
        <v>7200</v>
      </c>
      <c r="J383" s="87">
        <v>7200</v>
      </c>
      <c r="K383" s="87">
        <v>7200</v>
      </c>
      <c r="L383" s="87">
        <v>7200</v>
      </c>
      <c r="M383" s="158">
        <f t="shared" si="88"/>
        <v>14400</v>
      </c>
      <c r="N383" s="59">
        <v>0</v>
      </c>
      <c r="O383" s="132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</row>
    <row r="384" spans="1:38" s="90" customFormat="1" ht="15" customHeight="1">
      <c r="A384" s="348"/>
      <c r="B384" s="349"/>
      <c r="C384" s="351"/>
      <c r="D384" s="353"/>
      <c r="E384" s="168"/>
      <c r="F384" s="361"/>
      <c r="G384" s="341">
        <v>14400</v>
      </c>
      <c r="H384" s="104" t="s">
        <v>11</v>
      </c>
      <c r="I384" s="92"/>
      <c r="J384" s="93"/>
      <c r="K384" s="93"/>
      <c r="L384" s="93"/>
      <c r="M384" s="159">
        <f t="shared" si="88"/>
        <v>0</v>
      </c>
      <c r="N384" s="92"/>
      <c r="O384" s="133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</row>
    <row r="385" spans="1:38" s="90" customFormat="1" ht="15" customHeight="1">
      <c r="A385" s="348"/>
      <c r="B385" s="349"/>
      <c r="C385" s="351"/>
      <c r="D385" s="353"/>
      <c r="E385" s="168"/>
      <c r="F385" s="361"/>
      <c r="G385" s="342"/>
      <c r="H385" s="104" t="s">
        <v>12</v>
      </c>
      <c r="I385" s="92"/>
      <c r="J385" s="93"/>
      <c r="K385" s="93"/>
      <c r="L385" s="93"/>
      <c r="M385" s="159">
        <f t="shared" si="88"/>
        <v>0</v>
      </c>
      <c r="N385" s="92"/>
      <c r="O385" s="133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</row>
    <row r="386" spans="1:38" s="90" customFormat="1" ht="15" customHeight="1">
      <c r="A386" s="348"/>
      <c r="B386" s="349"/>
      <c r="C386" s="351"/>
      <c r="D386" s="353"/>
      <c r="E386" s="168"/>
      <c r="F386" s="224"/>
      <c r="G386" s="83" t="s">
        <v>13</v>
      </c>
      <c r="H386" s="104" t="s">
        <v>14</v>
      </c>
      <c r="I386" s="92"/>
      <c r="J386" s="93"/>
      <c r="K386" s="93"/>
      <c r="L386" s="93"/>
      <c r="M386" s="159">
        <f t="shared" si="88"/>
        <v>0</v>
      </c>
      <c r="N386" s="92"/>
      <c r="O386" s="133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</row>
    <row r="387" spans="1:38" s="90" customFormat="1" ht="15" customHeight="1">
      <c r="A387" s="348"/>
      <c r="B387" s="349"/>
      <c r="C387" s="351"/>
      <c r="D387" s="353"/>
      <c r="E387" s="168"/>
      <c r="F387" s="360">
        <v>2013</v>
      </c>
      <c r="G387" s="341">
        <v>0</v>
      </c>
      <c r="H387" s="104" t="s">
        <v>15</v>
      </c>
      <c r="I387" s="92"/>
      <c r="J387" s="93"/>
      <c r="K387" s="93"/>
      <c r="L387" s="93"/>
      <c r="M387" s="159">
        <f t="shared" si="88"/>
        <v>0</v>
      </c>
      <c r="N387" s="92"/>
      <c r="O387" s="133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</row>
    <row r="388" spans="1:38" s="90" customFormat="1" ht="15" customHeight="1">
      <c r="A388" s="348"/>
      <c r="B388" s="349"/>
      <c r="C388" s="351"/>
      <c r="D388" s="353"/>
      <c r="E388" s="168"/>
      <c r="F388" s="361"/>
      <c r="G388" s="342"/>
      <c r="H388" s="104" t="s">
        <v>16</v>
      </c>
      <c r="I388" s="92"/>
      <c r="J388" s="93"/>
      <c r="K388" s="93"/>
      <c r="L388" s="93"/>
      <c r="M388" s="159">
        <f t="shared" si="88"/>
        <v>0</v>
      </c>
      <c r="N388" s="92"/>
      <c r="O388" s="133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</row>
    <row r="389" spans="1:38" s="90" customFormat="1" ht="15" customHeight="1">
      <c r="A389" s="348"/>
      <c r="B389" s="349"/>
      <c r="C389" s="351"/>
      <c r="D389" s="353"/>
      <c r="E389" s="168"/>
      <c r="F389" s="361"/>
      <c r="G389" s="83" t="s">
        <v>17</v>
      </c>
      <c r="H389" s="104" t="s">
        <v>18</v>
      </c>
      <c r="I389" s="96">
        <f aca="true" t="shared" si="90" ref="I389:AL390">I383+I385+I387</f>
        <v>7200</v>
      </c>
      <c r="J389" s="97">
        <f t="shared" si="90"/>
        <v>7200</v>
      </c>
      <c r="K389" s="97">
        <f t="shared" si="90"/>
        <v>7200</v>
      </c>
      <c r="L389" s="97">
        <f t="shared" si="90"/>
        <v>7200</v>
      </c>
      <c r="M389" s="98">
        <f t="shared" si="88"/>
        <v>14400</v>
      </c>
      <c r="N389" s="149">
        <f>M389/G384</f>
        <v>1</v>
      </c>
      <c r="O389" s="134">
        <f t="shared" si="90"/>
        <v>0</v>
      </c>
      <c r="P389" s="97">
        <f t="shared" si="90"/>
        <v>0</v>
      </c>
      <c r="Q389" s="97">
        <f t="shared" si="90"/>
        <v>0</v>
      </c>
      <c r="R389" s="97">
        <f t="shared" si="90"/>
        <v>0</v>
      </c>
      <c r="S389" s="97">
        <f t="shared" si="90"/>
        <v>0</v>
      </c>
      <c r="T389" s="97">
        <f t="shared" si="90"/>
        <v>0</v>
      </c>
      <c r="U389" s="97">
        <f t="shared" si="90"/>
        <v>0</v>
      </c>
      <c r="V389" s="97">
        <f t="shared" si="90"/>
        <v>0</v>
      </c>
      <c r="W389" s="97">
        <f t="shared" si="90"/>
        <v>0</v>
      </c>
      <c r="X389" s="97">
        <f t="shared" si="90"/>
        <v>0</v>
      </c>
      <c r="Y389" s="97">
        <f t="shared" si="90"/>
        <v>0</v>
      </c>
      <c r="Z389" s="97">
        <f t="shared" si="90"/>
        <v>0</v>
      </c>
      <c r="AA389" s="97">
        <f t="shared" si="90"/>
        <v>0</v>
      </c>
      <c r="AB389" s="97">
        <f t="shared" si="90"/>
        <v>0</v>
      </c>
      <c r="AC389" s="97">
        <f t="shared" si="90"/>
        <v>0</v>
      </c>
      <c r="AD389" s="97">
        <f t="shared" si="90"/>
        <v>0</v>
      </c>
      <c r="AE389" s="97">
        <f t="shared" si="90"/>
        <v>0</v>
      </c>
      <c r="AF389" s="97">
        <f t="shared" si="90"/>
        <v>0</v>
      </c>
      <c r="AG389" s="97">
        <f t="shared" si="90"/>
        <v>0</v>
      </c>
      <c r="AH389" s="97">
        <f t="shared" si="90"/>
        <v>0</v>
      </c>
      <c r="AI389" s="97">
        <f t="shared" si="90"/>
        <v>0</v>
      </c>
      <c r="AJ389" s="97">
        <f t="shared" si="90"/>
        <v>0</v>
      </c>
      <c r="AK389" s="97">
        <f t="shared" si="90"/>
        <v>0</v>
      </c>
      <c r="AL389" s="97">
        <f t="shared" si="90"/>
        <v>0</v>
      </c>
    </row>
    <row r="390" spans="1:38" s="90" customFormat="1" ht="15" customHeight="1" thickBot="1">
      <c r="A390" s="348"/>
      <c r="B390" s="350"/>
      <c r="C390" s="352"/>
      <c r="D390" s="359"/>
      <c r="E390" s="169"/>
      <c r="F390" s="248"/>
      <c r="G390" s="85">
        <v>14400</v>
      </c>
      <c r="H390" s="105" t="s">
        <v>19</v>
      </c>
      <c r="I390" s="100">
        <f t="shared" si="90"/>
        <v>0</v>
      </c>
      <c r="J390" s="101">
        <f t="shared" si="90"/>
        <v>0</v>
      </c>
      <c r="K390" s="101">
        <f t="shared" si="90"/>
        <v>0</v>
      </c>
      <c r="L390" s="101">
        <f t="shared" si="90"/>
        <v>0</v>
      </c>
      <c r="M390" s="102">
        <f t="shared" si="88"/>
        <v>0</v>
      </c>
      <c r="N390" s="149"/>
      <c r="O390" s="135">
        <f t="shared" si="90"/>
        <v>0</v>
      </c>
      <c r="P390" s="101">
        <f t="shared" si="90"/>
        <v>0</v>
      </c>
      <c r="Q390" s="101">
        <f t="shared" si="90"/>
        <v>0</v>
      </c>
      <c r="R390" s="101">
        <f t="shared" si="90"/>
        <v>0</v>
      </c>
      <c r="S390" s="101">
        <f t="shared" si="90"/>
        <v>0</v>
      </c>
      <c r="T390" s="101">
        <f t="shared" si="90"/>
        <v>0</v>
      </c>
      <c r="U390" s="101">
        <f t="shared" si="90"/>
        <v>0</v>
      </c>
      <c r="V390" s="101">
        <f t="shared" si="90"/>
        <v>0</v>
      </c>
      <c r="W390" s="101">
        <f t="shared" si="90"/>
        <v>0</v>
      </c>
      <c r="X390" s="101">
        <f t="shared" si="90"/>
        <v>0</v>
      </c>
      <c r="Y390" s="101">
        <f t="shared" si="90"/>
        <v>0</v>
      </c>
      <c r="Z390" s="101">
        <f t="shared" si="90"/>
        <v>0</v>
      </c>
      <c r="AA390" s="101">
        <f t="shared" si="90"/>
        <v>0</v>
      </c>
      <c r="AB390" s="101">
        <f t="shared" si="90"/>
        <v>0</v>
      </c>
      <c r="AC390" s="101">
        <f t="shared" si="90"/>
        <v>0</v>
      </c>
      <c r="AD390" s="101">
        <f t="shared" si="90"/>
        <v>0</v>
      </c>
      <c r="AE390" s="101">
        <f t="shared" si="90"/>
        <v>0</v>
      </c>
      <c r="AF390" s="101">
        <f t="shared" si="90"/>
        <v>0</v>
      </c>
      <c r="AG390" s="101">
        <f t="shared" si="90"/>
        <v>0</v>
      </c>
      <c r="AH390" s="101">
        <f t="shared" si="90"/>
        <v>0</v>
      </c>
      <c r="AI390" s="101">
        <f t="shared" si="90"/>
        <v>0</v>
      </c>
      <c r="AJ390" s="101">
        <f t="shared" si="90"/>
        <v>0</v>
      </c>
      <c r="AK390" s="101">
        <f t="shared" si="90"/>
        <v>0</v>
      </c>
      <c r="AL390" s="101">
        <f t="shared" si="90"/>
        <v>0</v>
      </c>
    </row>
    <row r="391" spans="1:38" s="90" customFormat="1" ht="16.5" customHeight="1">
      <c r="A391" s="354">
        <v>42</v>
      </c>
      <c r="B391" s="356" t="s">
        <v>118</v>
      </c>
      <c r="C391" s="357">
        <v>85395</v>
      </c>
      <c r="D391" s="358" t="s">
        <v>65</v>
      </c>
      <c r="E391" s="167"/>
      <c r="F391" s="223">
        <v>2011</v>
      </c>
      <c r="G391" s="81" t="s">
        <v>9</v>
      </c>
      <c r="H391" s="103" t="s">
        <v>10</v>
      </c>
      <c r="I391" s="59">
        <v>30000</v>
      </c>
      <c r="J391" s="87">
        <v>60000</v>
      </c>
      <c r="K391" s="87">
        <v>30000</v>
      </c>
      <c r="L391" s="87">
        <v>60000</v>
      </c>
      <c r="M391" s="158">
        <f t="shared" si="88"/>
        <v>60000</v>
      </c>
      <c r="N391" s="59">
        <v>0</v>
      </c>
      <c r="O391" s="132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</row>
    <row r="392" spans="1:38" s="90" customFormat="1" ht="16.5" customHeight="1">
      <c r="A392" s="348"/>
      <c r="B392" s="349"/>
      <c r="C392" s="351"/>
      <c r="D392" s="353"/>
      <c r="E392" s="168"/>
      <c r="F392" s="361"/>
      <c r="G392" s="341">
        <v>90000</v>
      </c>
      <c r="H392" s="104" t="s">
        <v>11</v>
      </c>
      <c r="I392" s="92"/>
      <c r="J392" s="93"/>
      <c r="K392" s="93"/>
      <c r="L392" s="93"/>
      <c r="M392" s="159">
        <f t="shared" si="88"/>
        <v>0</v>
      </c>
      <c r="N392" s="92"/>
      <c r="O392" s="133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</row>
    <row r="393" spans="1:38" s="90" customFormat="1" ht="16.5" customHeight="1">
      <c r="A393" s="348"/>
      <c r="B393" s="349"/>
      <c r="C393" s="351"/>
      <c r="D393" s="353"/>
      <c r="E393" s="168"/>
      <c r="F393" s="361"/>
      <c r="G393" s="342"/>
      <c r="H393" s="104" t="s">
        <v>12</v>
      </c>
      <c r="I393" s="92"/>
      <c r="J393" s="93"/>
      <c r="K393" s="93"/>
      <c r="L393" s="93"/>
      <c r="M393" s="159">
        <f t="shared" si="88"/>
        <v>0</v>
      </c>
      <c r="N393" s="92"/>
      <c r="O393" s="133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</row>
    <row r="394" spans="1:38" s="90" customFormat="1" ht="16.5" customHeight="1">
      <c r="A394" s="348"/>
      <c r="B394" s="349"/>
      <c r="C394" s="351"/>
      <c r="D394" s="353"/>
      <c r="E394" s="168"/>
      <c r="F394" s="224"/>
      <c r="G394" s="83" t="s">
        <v>13</v>
      </c>
      <c r="H394" s="104" t="s">
        <v>14</v>
      </c>
      <c r="I394" s="92"/>
      <c r="J394" s="93"/>
      <c r="K394" s="93"/>
      <c r="L394" s="93"/>
      <c r="M394" s="159">
        <f t="shared" si="88"/>
        <v>0</v>
      </c>
      <c r="N394" s="92"/>
      <c r="O394" s="133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</row>
    <row r="395" spans="1:38" s="90" customFormat="1" ht="16.5" customHeight="1">
      <c r="A395" s="348"/>
      <c r="B395" s="349"/>
      <c r="C395" s="351"/>
      <c r="D395" s="353"/>
      <c r="E395" s="168"/>
      <c r="F395" s="360">
        <v>2013</v>
      </c>
      <c r="G395" s="341">
        <v>0</v>
      </c>
      <c r="H395" s="104" t="s">
        <v>15</v>
      </c>
      <c r="I395" s="92"/>
      <c r="J395" s="93"/>
      <c r="K395" s="93"/>
      <c r="L395" s="93"/>
      <c r="M395" s="159">
        <f t="shared" si="88"/>
        <v>0</v>
      </c>
      <c r="N395" s="92"/>
      <c r="O395" s="133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</row>
    <row r="396" spans="1:38" s="90" customFormat="1" ht="16.5" customHeight="1">
      <c r="A396" s="348"/>
      <c r="B396" s="349"/>
      <c r="C396" s="351"/>
      <c r="D396" s="353"/>
      <c r="E396" s="168"/>
      <c r="F396" s="361"/>
      <c r="G396" s="342"/>
      <c r="H396" s="104" t="s">
        <v>16</v>
      </c>
      <c r="I396" s="92"/>
      <c r="J396" s="93"/>
      <c r="K396" s="93"/>
      <c r="L396" s="93"/>
      <c r="M396" s="159">
        <f t="shared" si="88"/>
        <v>0</v>
      </c>
      <c r="N396" s="92"/>
      <c r="O396" s="133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</row>
    <row r="397" spans="1:38" s="90" customFormat="1" ht="16.5" customHeight="1">
      <c r="A397" s="348"/>
      <c r="B397" s="349"/>
      <c r="C397" s="351"/>
      <c r="D397" s="353"/>
      <c r="E397" s="168"/>
      <c r="F397" s="361"/>
      <c r="G397" s="83" t="s">
        <v>17</v>
      </c>
      <c r="H397" s="104" t="s">
        <v>18</v>
      </c>
      <c r="I397" s="96">
        <f aca="true" t="shared" si="91" ref="I397:AL398">I391+I393+I395</f>
        <v>30000</v>
      </c>
      <c r="J397" s="97">
        <f t="shared" si="91"/>
        <v>60000</v>
      </c>
      <c r="K397" s="97">
        <f t="shared" si="91"/>
        <v>30000</v>
      </c>
      <c r="L397" s="97">
        <f t="shared" si="91"/>
        <v>60000</v>
      </c>
      <c r="M397" s="98">
        <f t="shared" si="88"/>
        <v>60000</v>
      </c>
      <c r="N397" s="149">
        <f>M397/G392</f>
        <v>0.6666666666666666</v>
      </c>
      <c r="O397" s="134">
        <f t="shared" si="91"/>
        <v>0</v>
      </c>
      <c r="P397" s="97">
        <f t="shared" si="91"/>
        <v>0</v>
      </c>
      <c r="Q397" s="97">
        <f t="shared" si="91"/>
        <v>0</v>
      </c>
      <c r="R397" s="97">
        <f t="shared" si="91"/>
        <v>0</v>
      </c>
      <c r="S397" s="97">
        <f t="shared" si="91"/>
        <v>0</v>
      </c>
      <c r="T397" s="97">
        <f t="shared" si="91"/>
        <v>0</v>
      </c>
      <c r="U397" s="97">
        <f t="shared" si="91"/>
        <v>0</v>
      </c>
      <c r="V397" s="97">
        <f t="shared" si="91"/>
        <v>0</v>
      </c>
      <c r="W397" s="97">
        <f t="shared" si="91"/>
        <v>0</v>
      </c>
      <c r="X397" s="97">
        <f t="shared" si="91"/>
        <v>0</v>
      </c>
      <c r="Y397" s="97">
        <f t="shared" si="91"/>
        <v>0</v>
      </c>
      <c r="Z397" s="97">
        <f t="shared" si="91"/>
        <v>0</v>
      </c>
      <c r="AA397" s="97">
        <f t="shared" si="91"/>
        <v>0</v>
      </c>
      <c r="AB397" s="97">
        <f t="shared" si="91"/>
        <v>0</v>
      </c>
      <c r="AC397" s="97">
        <f t="shared" si="91"/>
        <v>0</v>
      </c>
      <c r="AD397" s="97">
        <f t="shared" si="91"/>
        <v>0</v>
      </c>
      <c r="AE397" s="97">
        <f t="shared" si="91"/>
        <v>0</v>
      </c>
      <c r="AF397" s="97">
        <f t="shared" si="91"/>
        <v>0</v>
      </c>
      <c r="AG397" s="97">
        <f t="shared" si="91"/>
        <v>0</v>
      </c>
      <c r="AH397" s="97">
        <f t="shared" si="91"/>
        <v>0</v>
      </c>
      <c r="AI397" s="97">
        <f t="shared" si="91"/>
        <v>0</v>
      </c>
      <c r="AJ397" s="97">
        <f t="shared" si="91"/>
        <v>0</v>
      </c>
      <c r="AK397" s="97">
        <f t="shared" si="91"/>
        <v>0</v>
      </c>
      <c r="AL397" s="97">
        <f t="shared" si="91"/>
        <v>0</v>
      </c>
    </row>
    <row r="398" spans="1:38" s="90" customFormat="1" ht="16.5" customHeight="1" thickBot="1">
      <c r="A398" s="348"/>
      <c r="B398" s="350"/>
      <c r="C398" s="352"/>
      <c r="D398" s="359"/>
      <c r="E398" s="169"/>
      <c r="F398" s="248"/>
      <c r="G398" s="85">
        <v>90000</v>
      </c>
      <c r="H398" s="105" t="s">
        <v>19</v>
      </c>
      <c r="I398" s="100">
        <f t="shared" si="91"/>
        <v>0</v>
      </c>
      <c r="J398" s="101">
        <f t="shared" si="91"/>
        <v>0</v>
      </c>
      <c r="K398" s="101">
        <f t="shared" si="91"/>
        <v>0</v>
      </c>
      <c r="L398" s="101">
        <f t="shared" si="91"/>
        <v>0</v>
      </c>
      <c r="M398" s="102">
        <f t="shared" si="88"/>
        <v>0</v>
      </c>
      <c r="N398" s="149"/>
      <c r="O398" s="135">
        <f t="shared" si="91"/>
        <v>0</v>
      </c>
      <c r="P398" s="101">
        <f t="shared" si="91"/>
        <v>0</v>
      </c>
      <c r="Q398" s="101">
        <f t="shared" si="91"/>
        <v>0</v>
      </c>
      <c r="R398" s="101">
        <f t="shared" si="91"/>
        <v>0</v>
      </c>
      <c r="S398" s="101">
        <f t="shared" si="91"/>
        <v>0</v>
      </c>
      <c r="T398" s="101">
        <f t="shared" si="91"/>
        <v>0</v>
      </c>
      <c r="U398" s="101">
        <f t="shared" si="91"/>
        <v>0</v>
      </c>
      <c r="V398" s="101">
        <f t="shared" si="91"/>
        <v>0</v>
      </c>
      <c r="W398" s="101">
        <f t="shared" si="91"/>
        <v>0</v>
      </c>
      <c r="X398" s="101">
        <f t="shared" si="91"/>
        <v>0</v>
      </c>
      <c r="Y398" s="101">
        <f t="shared" si="91"/>
        <v>0</v>
      </c>
      <c r="Z398" s="101">
        <f t="shared" si="91"/>
        <v>0</v>
      </c>
      <c r="AA398" s="101">
        <f t="shared" si="91"/>
        <v>0</v>
      </c>
      <c r="AB398" s="101">
        <f t="shared" si="91"/>
        <v>0</v>
      </c>
      <c r="AC398" s="101">
        <f t="shared" si="91"/>
        <v>0</v>
      </c>
      <c r="AD398" s="101">
        <f t="shared" si="91"/>
        <v>0</v>
      </c>
      <c r="AE398" s="101">
        <f t="shared" si="91"/>
        <v>0</v>
      </c>
      <c r="AF398" s="101">
        <f t="shared" si="91"/>
        <v>0</v>
      </c>
      <c r="AG398" s="101">
        <f t="shared" si="91"/>
        <v>0</v>
      </c>
      <c r="AH398" s="101">
        <f t="shared" si="91"/>
        <v>0</v>
      </c>
      <c r="AI398" s="101">
        <f t="shared" si="91"/>
        <v>0</v>
      </c>
      <c r="AJ398" s="101">
        <f t="shared" si="91"/>
        <v>0</v>
      </c>
      <c r="AK398" s="101">
        <f t="shared" si="91"/>
        <v>0</v>
      </c>
      <c r="AL398" s="101">
        <f t="shared" si="91"/>
        <v>0</v>
      </c>
    </row>
    <row r="399" spans="1:38" s="13" customFormat="1" ht="15" customHeight="1">
      <c r="A399" s="354">
        <v>50</v>
      </c>
      <c r="B399" s="214" t="s">
        <v>50</v>
      </c>
      <c r="C399" s="208">
        <v>85404</v>
      </c>
      <c r="D399" s="211" t="s">
        <v>8</v>
      </c>
      <c r="E399" s="164"/>
      <c r="F399" s="228">
        <v>2011</v>
      </c>
      <c r="G399" s="81" t="s">
        <v>9</v>
      </c>
      <c r="H399" s="15" t="s">
        <v>10</v>
      </c>
      <c r="I399" s="60">
        <v>105625</v>
      </c>
      <c r="J399" s="61">
        <v>84268</v>
      </c>
      <c r="K399" s="61">
        <v>84268</v>
      </c>
      <c r="L399" s="61">
        <v>84268</v>
      </c>
      <c r="M399" s="146">
        <f t="shared" si="85"/>
        <v>189893</v>
      </c>
      <c r="N399" s="60"/>
      <c r="O399" s="127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s="13" customFormat="1" ht="15" customHeight="1">
      <c r="A400" s="348"/>
      <c r="B400" s="215"/>
      <c r="C400" s="209"/>
      <c r="D400" s="362"/>
      <c r="E400" s="165"/>
      <c r="F400" s="228"/>
      <c r="G400" s="341">
        <v>189893</v>
      </c>
      <c r="H400" s="16" t="s">
        <v>11</v>
      </c>
      <c r="I400" s="62"/>
      <c r="J400" s="63"/>
      <c r="K400" s="63"/>
      <c r="L400" s="63"/>
      <c r="M400" s="147">
        <f t="shared" si="85"/>
        <v>0</v>
      </c>
      <c r="N400" s="62"/>
      <c r="O400" s="128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s="13" customFormat="1" ht="15" customHeight="1">
      <c r="A401" s="348"/>
      <c r="B401" s="215"/>
      <c r="C401" s="209"/>
      <c r="D401" s="362"/>
      <c r="E401" s="165"/>
      <c r="F401" s="228"/>
      <c r="G401" s="342"/>
      <c r="H401" s="16" t="s">
        <v>12</v>
      </c>
      <c r="I401" s="62"/>
      <c r="J401" s="63"/>
      <c r="K401" s="63"/>
      <c r="L401" s="63"/>
      <c r="M401" s="147">
        <f t="shared" si="85"/>
        <v>0</v>
      </c>
      <c r="N401" s="62"/>
      <c r="O401" s="128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s="13" customFormat="1" ht="15" customHeight="1">
      <c r="A402" s="348"/>
      <c r="B402" s="215"/>
      <c r="C402" s="209"/>
      <c r="D402" s="362"/>
      <c r="E402" s="165" t="s">
        <v>108</v>
      </c>
      <c r="F402" s="212"/>
      <c r="G402" s="83" t="s">
        <v>13</v>
      </c>
      <c r="H402" s="16" t="s">
        <v>14</v>
      </c>
      <c r="I402" s="62"/>
      <c r="J402" s="63"/>
      <c r="K402" s="63"/>
      <c r="L402" s="63"/>
      <c r="M402" s="147">
        <f t="shared" si="85"/>
        <v>0</v>
      </c>
      <c r="N402" s="62"/>
      <c r="O402" s="128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s="13" customFormat="1" ht="15" customHeight="1">
      <c r="A403" s="348"/>
      <c r="B403" s="215"/>
      <c r="C403" s="209"/>
      <c r="D403" s="362"/>
      <c r="E403" s="165"/>
      <c r="F403" s="227">
        <v>2013</v>
      </c>
      <c r="G403" s="341">
        <v>0</v>
      </c>
      <c r="H403" s="16" t="s">
        <v>15</v>
      </c>
      <c r="I403" s="62"/>
      <c r="J403" s="63"/>
      <c r="K403" s="63"/>
      <c r="L403" s="63"/>
      <c r="M403" s="147">
        <f t="shared" si="85"/>
        <v>0</v>
      </c>
      <c r="N403" s="62"/>
      <c r="O403" s="128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1:38" s="13" customFormat="1" ht="15" customHeight="1">
      <c r="A404" s="348"/>
      <c r="B404" s="215"/>
      <c r="C404" s="209"/>
      <c r="D404" s="362"/>
      <c r="E404" s="165"/>
      <c r="F404" s="228"/>
      <c r="G404" s="342"/>
      <c r="H404" s="16" t="s">
        <v>16</v>
      </c>
      <c r="I404" s="62"/>
      <c r="J404" s="63"/>
      <c r="K404" s="63"/>
      <c r="L404" s="63"/>
      <c r="M404" s="147">
        <f t="shared" si="85"/>
        <v>0</v>
      </c>
      <c r="N404" s="62"/>
      <c r="O404" s="128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s="13" customFormat="1" ht="15" customHeight="1">
      <c r="A405" s="348"/>
      <c r="B405" s="215"/>
      <c r="C405" s="209"/>
      <c r="D405" s="362"/>
      <c r="E405" s="165"/>
      <c r="F405" s="228"/>
      <c r="G405" s="83" t="s">
        <v>17</v>
      </c>
      <c r="H405" s="16" t="s">
        <v>18</v>
      </c>
      <c r="I405" s="6">
        <f aca="true" t="shared" si="92" ref="I405:AL405">I399+I401+I403</f>
        <v>105625</v>
      </c>
      <c r="J405" s="7">
        <f t="shared" si="92"/>
        <v>84268</v>
      </c>
      <c r="K405" s="7">
        <f t="shared" si="92"/>
        <v>84268</v>
      </c>
      <c r="L405" s="7">
        <f t="shared" si="92"/>
        <v>84268</v>
      </c>
      <c r="M405" s="123">
        <f t="shared" si="85"/>
        <v>189893</v>
      </c>
      <c r="N405" s="149">
        <f>M405/G400</f>
        <v>1</v>
      </c>
      <c r="O405" s="129">
        <f t="shared" si="92"/>
        <v>0</v>
      </c>
      <c r="P405" s="7">
        <f t="shared" si="92"/>
        <v>0</v>
      </c>
      <c r="Q405" s="7">
        <f t="shared" si="92"/>
        <v>0</v>
      </c>
      <c r="R405" s="7">
        <f t="shared" si="92"/>
        <v>0</v>
      </c>
      <c r="S405" s="7">
        <f t="shared" si="92"/>
        <v>0</v>
      </c>
      <c r="T405" s="7">
        <f t="shared" si="92"/>
        <v>0</v>
      </c>
      <c r="U405" s="7">
        <f t="shared" si="92"/>
        <v>0</v>
      </c>
      <c r="V405" s="7">
        <f t="shared" si="92"/>
        <v>0</v>
      </c>
      <c r="W405" s="7">
        <f t="shared" si="92"/>
        <v>0</v>
      </c>
      <c r="X405" s="7">
        <f t="shared" si="92"/>
        <v>0</v>
      </c>
      <c r="Y405" s="7">
        <f t="shared" si="92"/>
        <v>0</v>
      </c>
      <c r="Z405" s="7">
        <f t="shared" si="92"/>
        <v>0</v>
      </c>
      <c r="AA405" s="7">
        <f t="shared" si="92"/>
        <v>0</v>
      </c>
      <c r="AB405" s="7">
        <f t="shared" si="92"/>
        <v>0</v>
      </c>
      <c r="AC405" s="7">
        <f t="shared" si="92"/>
        <v>0</v>
      </c>
      <c r="AD405" s="7">
        <f t="shared" si="92"/>
        <v>0</v>
      </c>
      <c r="AE405" s="7">
        <f t="shared" si="92"/>
        <v>0</v>
      </c>
      <c r="AF405" s="7">
        <f t="shared" si="92"/>
        <v>0</v>
      </c>
      <c r="AG405" s="7">
        <f t="shared" si="92"/>
        <v>0</v>
      </c>
      <c r="AH405" s="7">
        <f t="shared" si="92"/>
        <v>0</v>
      </c>
      <c r="AI405" s="7">
        <f t="shared" si="92"/>
        <v>0</v>
      </c>
      <c r="AJ405" s="7">
        <f t="shared" si="92"/>
        <v>0</v>
      </c>
      <c r="AK405" s="7">
        <f t="shared" si="92"/>
        <v>0</v>
      </c>
      <c r="AL405" s="123">
        <f t="shared" si="92"/>
        <v>0</v>
      </c>
    </row>
    <row r="406" spans="1:38" s="13" customFormat="1" ht="15" customHeight="1" thickBot="1">
      <c r="A406" s="348"/>
      <c r="B406" s="207"/>
      <c r="C406" s="210"/>
      <c r="D406" s="362"/>
      <c r="E406" s="165"/>
      <c r="F406" s="216"/>
      <c r="G406" s="85">
        <v>189893</v>
      </c>
      <c r="H406" s="17" t="s">
        <v>19</v>
      </c>
      <c r="I406" s="9">
        <f aca="true" t="shared" si="93" ref="I406:AL406">I400+I402+I404</f>
        <v>0</v>
      </c>
      <c r="J406" s="10">
        <f t="shared" si="93"/>
        <v>0</v>
      </c>
      <c r="K406" s="10">
        <f t="shared" si="93"/>
        <v>0</v>
      </c>
      <c r="L406" s="10">
        <f t="shared" si="93"/>
        <v>0</v>
      </c>
      <c r="M406" s="124">
        <f t="shared" si="85"/>
        <v>0</v>
      </c>
      <c r="N406" s="149"/>
      <c r="O406" s="130">
        <f t="shared" si="93"/>
        <v>0</v>
      </c>
      <c r="P406" s="10">
        <f t="shared" si="93"/>
        <v>0</v>
      </c>
      <c r="Q406" s="10">
        <f t="shared" si="93"/>
        <v>0</v>
      </c>
      <c r="R406" s="10">
        <f t="shared" si="93"/>
        <v>0</v>
      </c>
      <c r="S406" s="10">
        <f t="shared" si="93"/>
        <v>0</v>
      </c>
      <c r="T406" s="10">
        <f t="shared" si="93"/>
        <v>0</v>
      </c>
      <c r="U406" s="10">
        <f t="shared" si="93"/>
        <v>0</v>
      </c>
      <c r="V406" s="10">
        <f t="shared" si="93"/>
        <v>0</v>
      </c>
      <c r="W406" s="10">
        <f t="shared" si="93"/>
        <v>0</v>
      </c>
      <c r="X406" s="10">
        <f t="shared" si="93"/>
        <v>0</v>
      </c>
      <c r="Y406" s="10">
        <f t="shared" si="93"/>
        <v>0</v>
      </c>
      <c r="Z406" s="10">
        <f t="shared" si="93"/>
        <v>0</v>
      </c>
      <c r="AA406" s="10">
        <f t="shared" si="93"/>
        <v>0</v>
      </c>
      <c r="AB406" s="10">
        <f t="shared" si="93"/>
        <v>0</v>
      </c>
      <c r="AC406" s="10">
        <f t="shared" si="93"/>
        <v>0</v>
      </c>
      <c r="AD406" s="10">
        <f t="shared" si="93"/>
        <v>0</v>
      </c>
      <c r="AE406" s="10">
        <f t="shared" si="93"/>
        <v>0</v>
      </c>
      <c r="AF406" s="10">
        <f t="shared" si="93"/>
        <v>0</v>
      </c>
      <c r="AG406" s="10">
        <f t="shared" si="93"/>
        <v>0</v>
      </c>
      <c r="AH406" s="10">
        <f t="shared" si="93"/>
        <v>0</v>
      </c>
      <c r="AI406" s="10">
        <f t="shared" si="93"/>
        <v>0</v>
      </c>
      <c r="AJ406" s="10">
        <f t="shared" si="93"/>
        <v>0</v>
      </c>
      <c r="AK406" s="10">
        <f t="shared" si="93"/>
        <v>0</v>
      </c>
      <c r="AL406" s="124">
        <f t="shared" si="93"/>
        <v>0</v>
      </c>
    </row>
    <row r="407" spans="1:38" s="13" customFormat="1" ht="16.5" customHeight="1">
      <c r="A407" s="354">
        <v>51</v>
      </c>
      <c r="B407" s="214" t="s">
        <v>61</v>
      </c>
      <c r="C407" s="208">
        <v>90004</v>
      </c>
      <c r="D407" s="211" t="s">
        <v>8</v>
      </c>
      <c r="E407" s="164"/>
      <c r="F407" s="217">
        <v>2011</v>
      </c>
      <c r="G407" s="81" t="s">
        <v>9</v>
      </c>
      <c r="H407" s="15" t="s">
        <v>10</v>
      </c>
      <c r="I407" s="60">
        <v>1467949</v>
      </c>
      <c r="J407" s="61">
        <f>15000</f>
        <v>15000</v>
      </c>
      <c r="K407" s="61">
        <v>15000</v>
      </c>
      <c r="L407" s="61">
        <v>15000</v>
      </c>
      <c r="M407" s="146">
        <f t="shared" si="85"/>
        <v>1482949</v>
      </c>
      <c r="N407" s="60"/>
      <c r="O407" s="127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s="13" customFormat="1" ht="16.5" customHeight="1">
      <c r="A408" s="348"/>
      <c r="B408" s="215"/>
      <c r="C408" s="209"/>
      <c r="D408" s="362"/>
      <c r="E408" s="165"/>
      <c r="F408" s="228"/>
      <c r="G408" s="341">
        <v>1502949</v>
      </c>
      <c r="H408" s="16" t="s">
        <v>11</v>
      </c>
      <c r="I408" s="62"/>
      <c r="J408" s="63"/>
      <c r="K408" s="63"/>
      <c r="L408" s="63"/>
      <c r="M408" s="147">
        <f t="shared" si="85"/>
        <v>0</v>
      </c>
      <c r="N408" s="62"/>
      <c r="O408" s="128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s="13" customFormat="1" ht="16.5" customHeight="1">
      <c r="A409" s="348"/>
      <c r="B409" s="215"/>
      <c r="C409" s="209"/>
      <c r="D409" s="362"/>
      <c r="E409" s="165"/>
      <c r="F409" s="228"/>
      <c r="G409" s="342"/>
      <c r="H409" s="16" t="s">
        <v>12</v>
      </c>
      <c r="I409" s="62"/>
      <c r="J409" s="63"/>
      <c r="K409" s="63"/>
      <c r="L409" s="63"/>
      <c r="M409" s="147">
        <f t="shared" si="85"/>
        <v>0</v>
      </c>
      <c r="N409" s="62"/>
      <c r="O409" s="128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1:38" s="13" customFormat="1" ht="16.5" customHeight="1">
      <c r="A410" s="348"/>
      <c r="B410" s="215"/>
      <c r="C410" s="209"/>
      <c r="D410" s="362"/>
      <c r="E410" s="165"/>
      <c r="F410" s="212"/>
      <c r="G410" s="83" t="s">
        <v>13</v>
      </c>
      <c r="H410" s="16" t="s">
        <v>14</v>
      </c>
      <c r="I410" s="62"/>
      <c r="J410" s="63"/>
      <c r="K410" s="63"/>
      <c r="L410" s="63"/>
      <c r="M410" s="147">
        <f t="shared" si="85"/>
        <v>0</v>
      </c>
      <c r="N410" s="62"/>
      <c r="O410" s="128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s="13" customFormat="1" ht="12.75">
      <c r="A411" s="348"/>
      <c r="B411" s="215"/>
      <c r="C411" s="209"/>
      <c r="D411" s="362"/>
      <c r="E411" s="165" t="s">
        <v>90</v>
      </c>
      <c r="F411" s="227">
        <v>2014</v>
      </c>
      <c r="G411" s="341">
        <v>0</v>
      </c>
      <c r="H411" s="16" t="s">
        <v>15</v>
      </c>
      <c r="I411" s="62"/>
      <c r="J411" s="63"/>
      <c r="K411" s="63"/>
      <c r="L411" s="63"/>
      <c r="M411" s="147">
        <f t="shared" si="85"/>
        <v>0</v>
      </c>
      <c r="N411" s="62"/>
      <c r="O411" s="128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1:38" s="13" customFormat="1" ht="12.75">
      <c r="A412" s="348"/>
      <c r="B412" s="215"/>
      <c r="C412" s="209"/>
      <c r="D412" s="362"/>
      <c r="E412" s="165"/>
      <c r="F412" s="228"/>
      <c r="G412" s="342"/>
      <c r="H412" s="16" t="s">
        <v>16</v>
      </c>
      <c r="I412" s="62"/>
      <c r="J412" s="63"/>
      <c r="K412" s="63"/>
      <c r="L412" s="63"/>
      <c r="M412" s="147">
        <f t="shared" si="85"/>
        <v>0</v>
      </c>
      <c r="N412" s="62"/>
      <c r="O412" s="128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s="13" customFormat="1" ht="16.5" customHeight="1">
      <c r="A413" s="348"/>
      <c r="B413" s="215"/>
      <c r="C413" s="209"/>
      <c r="D413" s="362"/>
      <c r="E413" s="165"/>
      <c r="F413" s="228"/>
      <c r="G413" s="83" t="s">
        <v>17</v>
      </c>
      <c r="H413" s="16" t="s">
        <v>18</v>
      </c>
      <c r="I413" s="6">
        <f aca="true" t="shared" si="94" ref="I413:AL413">I407+I409+I411</f>
        <v>1467949</v>
      </c>
      <c r="J413" s="7">
        <f t="shared" si="94"/>
        <v>15000</v>
      </c>
      <c r="K413" s="7">
        <f t="shared" si="94"/>
        <v>15000</v>
      </c>
      <c r="L413" s="7">
        <f t="shared" si="94"/>
        <v>15000</v>
      </c>
      <c r="M413" s="123">
        <f t="shared" si="85"/>
        <v>1482949</v>
      </c>
      <c r="N413" s="149">
        <f>M413/G408</f>
        <v>0.9866928285657065</v>
      </c>
      <c r="O413" s="129">
        <f t="shared" si="94"/>
        <v>0</v>
      </c>
      <c r="P413" s="7">
        <f t="shared" si="94"/>
        <v>0</v>
      </c>
      <c r="Q413" s="7">
        <f t="shared" si="94"/>
        <v>0</v>
      </c>
      <c r="R413" s="7">
        <f t="shared" si="94"/>
        <v>0</v>
      </c>
      <c r="S413" s="7">
        <f t="shared" si="94"/>
        <v>0</v>
      </c>
      <c r="T413" s="7">
        <f t="shared" si="94"/>
        <v>0</v>
      </c>
      <c r="U413" s="7">
        <f t="shared" si="94"/>
        <v>0</v>
      </c>
      <c r="V413" s="7">
        <f t="shared" si="94"/>
        <v>0</v>
      </c>
      <c r="W413" s="7">
        <f t="shared" si="94"/>
        <v>0</v>
      </c>
      <c r="X413" s="7">
        <f t="shared" si="94"/>
        <v>0</v>
      </c>
      <c r="Y413" s="7">
        <f t="shared" si="94"/>
        <v>0</v>
      </c>
      <c r="Z413" s="7">
        <f t="shared" si="94"/>
        <v>0</v>
      </c>
      <c r="AA413" s="7">
        <f t="shared" si="94"/>
        <v>0</v>
      </c>
      <c r="AB413" s="7">
        <f t="shared" si="94"/>
        <v>0</v>
      </c>
      <c r="AC413" s="7">
        <f t="shared" si="94"/>
        <v>0</v>
      </c>
      <c r="AD413" s="7">
        <f t="shared" si="94"/>
        <v>0</v>
      </c>
      <c r="AE413" s="7">
        <f t="shared" si="94"/>
        <v>0</v>
      </c>
      <c r="AF413" s="7">
        <f t="shared" si="94"/>
        <v>0</v>
      </c>
      <c r="AG413" s="7">
        <f t="shared" si="94"/>
        <v>0</v>
      </c>
      <c r="AH413" s="7">
        <f t="shared" si="94"/>
        <v>0</v>
      </c>
      <c r="AI413" s="7">
        <f t="shared" si="94"/>
        <v>0</v>
      </c>
      <c r="AJ413" s="7">
        <f t="shared" si="94"/>
        <v>0</v>
      </c>
      <c r="AK413" s="7">
        <f t="shared" si="94"/>
        <v>0</v>
      </c>
      <c r="AL413" s="7">
        <f t="shared" si="94"/>
        <v>0</v>
      </c>
    </row>
    <row r="414" spans="1:38" s="13" customFormat="1" ht="16.5" customHeight="1" thickBot="1">
      <c r="A414" s="348"/>
      <c r="B414" s="207"/>
      <c r="C414" s="210"/>
      <c r="D414" s="363"/>
      <c r="E414" s="166"/>
      <c r="F414" s="216"/>
      <c r="G414" s="85">
        <v>1502949</v>
      </c>
      <c r="H414" s="17" t="s">
        <v>19</v>
      </c>
      <c r="I414" s="9">
        <f aca="true" t="shared" si="95" ref="I414:AL414">I408+I410+I412</f>
        <v>0</v>
      </c>
      <c r="J414" s="10">
        <f t="shared" si="95"/>
        <v>0</v>
      </c>
      <c r="K414" s="10">
        <f t="shared" si="95"/>
        <v>0</v>
      </c>
      <c r="L414" s="10">
        <f t="shared" si="95"/>
        <v>0</v>
      </c>
      <c r="M414" s="124">
        <f t="shared" si="85"/>
        <v>0</v>
      </c>
      <c r="N414" s="149"/>
      <c r="O414" s="130">
        <f t="shared" si="95"/>
        <v>0</v>
      </c>
      <c r="P414" s="10">
        <f t="shared" si="95"/>
        <v>0</v>
      </c>
      <c r="Q414" s="10">
        <f t="shared" si="95"/>
        <v>0</v>
      </c>
      <c r="R414" s="10">
        <f t="shared" si="95"/>
        <v>0</v>
      </c>
      <c r="S414" s="10">
        <f t="shared" si="95"/>
        <v>0</v>
      </c>
      <c r="T414" s="10">
        <f t="shared" si="95"/>
        <v>0</v>
      </c>
      <c r="U414" s="10">
        <f t="shared" si="95"/>
        <v>0</v>
      </c>
      <c r="V414" s="10">
        <f t="shared" si="95"/>
        <v>0</v>
      </c>
      <c r="W414" s="10">
        <f t="shared" si="95"/>
        <v>0</v>
      </c>
      <c r="X414" s="10">
        <f t="shared" si="95"/>
        <v>0</v>
      </c>
      <c r="Y414" s="10">
        <f t="shared" si="95"/>
        <v>0</v>
      </c>
      <c r="Z414" s="10">
        <f t="shared" si="95"/>
        <v>0</v>
      </c>
      <c r="AA414" s="10">
        <f t="shared" si="95"/>
        <v>0</v>
      </c>
      <c r="AB414" s="10">
        <f t="shared" si="95"/>
        <v>0</v>
      </c>
      <c r="AC414" s="10">
        <f t="shared" si="95"/>
        <v>0</v>
      </c>
      <c r="AD414" s="10">
        <f t="shared" si="95"/>
        <v>0</v>
      </c>
      <c r="AE414" s="10">
        <f t="shared" si="95"/>
        <v>0</v>
      </c>
      <c r="AF414" s="10">
        <f t="shared" si="95"/>
        <v>0</v>
      </c>
      <c r="AG414" s="10">
        <f t="shared" si="95"/>
        <v>0</v>
      </c>
      <c r="AH414" s="10">
        <f t="shared" si="95"/>
        <v>0</v>
      </c>
      <c r="AI414" s="10">
        <f t="shared" si="95"/>
        <v>0</v>
      </c>
      <c r="AJ414" s="10">
        <f t="shared" si="95"/>
        <v>0</v>
      </c>
      <c r="AK414" s="10">
        <f t="shared" si="95"/>
        <v>0</v>
      </c>
      <c r="AL414" s="10">
        <f t="shared" si="95"/>
        <v>0</v>
      </c>
    </row>
    <row r="415" spans="1:38" s="13" customFormat="1" ht="12.75">
      <c r="A415" s="354">
        <v>52</v>
      </c>
      <c r="B415" s="214" t="s">
        <v>137</v>
      </c>
      <c r="C415" s="208">
        <v>90004</v>
      </c>
      <c r="D415" s="211" t="s">
        <v>8</v>
      </c>
      <c r="E415" s="164"/>
      <c r="F415" s="217">
        <v>2009</v>
      </c>
      <c r="G415" s="81" t="s">
        <v>9</v>
      </c>
      <c r="H415" s="15" t="s">
        <v>10</v>
      </c>
      <c r="I415" s="60">
        <v>1310687</v>
      </c>
      <c r="J415" s="61">
        <v>66375</v>
      </c>
      <c r="K415" s="61">
        <v>38273</v>
      </c>
      <c r="L415" s="61">
        <v>66273</v>
      </c>
      <c r="M415" s="146">
        <f t="shared" si="85"/>
        <v>1348960</v>
      </c>
      <c r="N415" s="60"/>
      <c r="O415" s="127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s="13" customFormat="1" ht="12.75">
      <c r="A416" s="348"/>
      <c r="B416" s="215"/>
      <c r="C416" s="209"/>
      <c r="D416" s="362"/>
      <c r="E416" s="165"/>
      <c r="F416" s="228"/>
      <c r="G416" s="341">
        <v>1377062</v>
      </c>
      <c r="H416" s="16" t="s">
        <v>11</v>
      </c>
      <c r="I416" s="62"/>
      <c r="J416" s="63"/>
      <c r="K416" s="63"/>
      <c r="L416" s="63"/>
      <c r="M416" s="147">
        <f t="shared" si="85"/>
        <v>0</v>
      </c>
      <c r="N416" s="62"/>
      <c r="O416" s="128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s="13" customFormat="1" ht="12.75">
      <c r="A417" s="348"/>
      <c r="B417" s="215"/>
      <c r="C417" s="209"/>
      <c r="D417" s="362"/>
      <c r="E417" s="165"/>
      <c r="F417" s="228"/>
      <c r="G417" s="342"/>
      <c r="H417" s="16" t="s">
        <v>12</v>
      </c>
      <c r="I417" s="62"/>
      <c r="J417" s="63"/>
      <c r="K417" s="63"/>
      <c r="L417" s="63"/>
      <c r="M417" s="147">
        <f t="shared" si="85"/>
        <v>0</v>
      </c>
      <c r="N417" s="62"/>
      <c r="O417" s="128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1:38" s="13" customFormat="1" ht="12.75">
      <c r="A418" s="348"/>
      <c r="B418" s="215"/>
      <c r="C418" s="209"/>
      <c r="D418" s="362"/>
      <c r="E418" s="165" t="s">
        <v>90</v>
      </c>
      <c r="F418" s="212"/>
      <c r="G418" s="83" t="s">
        <v>13</v>
      </c>
      <c r="H418" s="16" t="s">
        <v>14</v>
      </c>
      <c r="I418" s="62"/>
      <c r="J418" s="63"/>
      <c r="K418" s="63"/>
      <c r="L418" s="63"/>
      <c r="M418" s="147">
        <f t="shared" si="85"/>
        <v>0</v>
      </c>
      <c r="N418" s="62"/>
      <c r="O418" s="128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s="13" customFormat="1" ht="12.75">
      <c r="A419" s="348"/>
      <c r="B419" s="215"/>
      <c r="C419" s="209"/>
      <c r="D419" s="362"/>
      <c r="E419" s="165"/>
      <c r="F419" s="227">
        <v>2013</v>
      </c>
      <c r="G419" s="341">
        <v>0</v>
      </c>
      <c r="H419" s="16" t="s">
        <v>15</v>
      </c>
      <c r="I419" s="62"/>
      <c r="J419" s="63"/>
      <c r="K419" s="63"/>
      <c r="L419" s="63"/>
      <c r="M419" s="147">
        <f t="shared" si="85"/>
        <v>0</v>
      </c>
      <c r="N419" s="62"/>
      <c r="O419" s="128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1:38" s="13" customFormat="1" ht="12.75">
      <c r="A420" s="348"/>
      <c r="B420" s="215"/>
      <c r="C420" s="209"/>
      <c r="D420" s="362"/>
      <c r="E420" s="165"/>
      <c r="F420" s="228"/>
      <c r="G420" s="342"/>
      <c r="H420" s="16" t="s">
        <v>16</v>
      </c>
      <c r="I420" s="62"/>
      <c r="J420" s="63"/>
      <c r="K420" s="63"/>
      <c r="L420" s="63"/>
      <c r="M420" s="147">
        <f t="shared" si="85"/>
        <v>0</v>
      </c>
      <c r="N420" s="62"/>
      <c r="O420" s="128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s="13" customFormat="1" ht="12.75">
      <c r="A421" s="348"/>
      <c r="B421" s="215"/>
      <c r="C421" s="209"/>
      <c r="D421" s="362"/>
      <c r="E421" s="165"/>
      <c r="F421" s="228"/>
      <c r="G421" s="83" t="s">
        <v>17</v>
      </c>
      <c r="H421" s="16" t="s">
        <v>18</v>
      </c>
      <c r="I421" s="6">
        <f aca="true" t="shared" si="96" ref="I421:AL421">I415+I417+I419</f>
        <v>1310687</v>
      </c>
      <c r="J421" s="7">
        <f t="shared" si="96"/>
        <v>66375</v>
      </c>
      <c r="K421" s="7">
        <f t="shared" si="96"/>
        <v>38273</v>
      </c>
      <c r="L421" s="7">
        <f t="shared" si="96"/>
        <v>66273</v>
      </c>
      <c r="M421" s="123">
        <f t="shared" si="85"/>
        <v>1348960</v>
      </c>
      <c r="N421" s="149">
        <f>M421/G416</f>
        <v>0.9795927852195471</v>
      </c>
      <c r="O421" s="129">
        <f t="shared" si="96"/>
        <v>0</v>
      </c>
      <c r="P421" s="7">
        <f t="shared" si="96"/>
        <v>0</v>
      </c>
      <c r="Q421" s="7">
        <f t="shared" si="96"/>
        <v>0</v>
      </c>
      <c r="R421" s="7">
        <f t="shared" si="96"/>
        <v>0</v>
      </c>
      <c r="S421" s="7">
        <f t="shared" si="96"/>
        <v>0</v>
      </c>
      <c r="T421" s="7">
        <f t="shared" si="96"/>
        <v>0</v>
      </c>
      <c r="U421" s="7">
        <f t="shared" si="96"/>
        <v>0</v>
      </c>
      <c r="V421" s="7">
        <f t="shared" si="96"/>
        <v>0</v>
      </c>
      <c r="W421" s="7">
        <f t="shared" si="96"/>
        <v>0</v>
      </c>
      <c r="X421" s="7">
        <f t="shared" si="96"/>
        <v>0</v>
      </c>
      <c r="Y421" s="7">
        <f t="shared" si="96"/>
        <v>0</v>
      </c>
      <c r="Z421" s="7">
        <f t="shared" si="96"/>
        <v>0</v>
      </c>
      <c r="AA421" s="7">
        <f t="shared" si="96"/>
        <v>0</v>
      </c>
      <c r="AB421" s="7">
        <f t="shared" si="96"/>
        <v>0</v>
      </c>
      <c r="AC421" s="7">
        <f t="shared" si="96"/>
        <v>0</v>
      </c>
      <c r="AD421" s="7">
        <f t="shared" si="96"/>
        <v>0</v>
      </c>
      <c r="AE421" s="7">
        <f t="shared" si="96"/>
        <v>0</v>
      </c>
      <c r="AF421" s="7">
        <f t="shared" si="96"/>
        <v>0</v>
      </c>
      <c r="AG421" s="7">
        <f t="shared" si="96"/>
        <v>0</v>
      </c>
      <c r="AH421" s="7">
        <f t="shared" si="96"/>
        <v>0</v>
      </c>
      <c r="AI421" s="7">
        <f t="shared" si="96"/>
        <v>0</v>
      </c>
      <c r="AJ421" s="7">
        <f t="shared" si="96"/>
        <v>0</v>
      </c>
      <c r="AK421" s="7">
        <f t="shared" si="96"/>
        <v>0</v>
      </c>
      <c r="AL421" s="7">
        <f t="shared" si="96"/>
        <v>0</v>
      </c>
    </row>
    <row r="422" spans="1:38" s="13" customFormat="1" ht="15" customHeight="1" thickBot="1">
      <c r="A422" s="348"/>
      <c r="B422" s="207"/>
      <c r="C422" s="210"/>
      <c r="D422" s="363"/>
      <c r="E422" s="166"/>
      <c r="F422" s="216"/>
      <c r="G422" s="85">
        <v>1377062</v>
      </c>
      <c r="H422" s="17" t="s">
        <v>19</v>
      </c>
      <c r="I422" s="9">
        <f aca="true" t="shared" si="97" ref="I422:AL422">I416+I418+I420</f>
        <v>0</v>
      </c>
      <c r="J422" s="10">
        <f t="shared" si="97"/>
        <v>0</v>
      </c>
      <c r="K422" s="10">
        <f t="shared" si="97"/>
        <v>0</v>
      </c>
      <c r="L422" s="10">
        <f t="shared" si="97"/>
        <v>0</v>
      </c>
      <c r="M422" s="124">
        <f t="shared" si="85"/>
        <v>0</v>
      </c>
      <c r="N422" s="149"/>
      <c r="O422" s="130">
        <f t="shared" si="97"/>
        <v>0</v>
      </c>
      <c r="P422" s="10">
        <f t="shared" si="97"/>
        <v>0</v>
      </c>
      <c r="Q422" s="10">
        <f t="shared" si="97"/>
        <v>0</v>
      </c>
      <c r="R422" s="10">
        <f t="shared" si="97"/>
        <v>0</v>
      </c>
      <c r="S422" s="10">
        <f t="shared" si="97"/>
        <v>0</v>
      </c>
      <c r="T422" s="10">
        <f t="shared" si="97"/>
        <v>0</v>
      </c>
      <c r="U422" s="10">
        <f t="shared" si="97"/>
        <v>0</v>
      </c>
      <c r="V422" s="10">
        <f t="shared" si="97"/>
        <v>0</v>
      </c>
      <c r="W422" s="10">
        <f t="shared" si="97"/>
        <v>0</v>
      </c>
      <c r="X422" s="10">
        <f t="shared" si="97"/>
        <v>0</v>
      </c>
      <c r="Y422" s="10">
        <f t="shared" si="97"/>
        <v>0</v>
      </c>
      <c r="Z422" s="10">
        <f t="shared" si="97"/>
        <v>0</v>
      </c>
      <c r="AA422" s="10">
        <f t="shared" si="97"/>
        <v>0</v>
      </c>
      <c r="AB422" s="10">
        <f t="shared" si="97"/>
        <v>0</v>
      </c>
      <c r="AC422" s="10">
        <f t="shared" si="97"/>
        <v>0</v>
      </c>
      <c r="AD422" s="10">
        <f t="shared" si="97"/>
        <v>0</v>
      </c>
      <c r="AE422" s="10">
        <f t="shared" si="97"/>
        <v>0</v>
      </c>
      <c r="AF422" s="10">
        <f t="shared" si="97"/>
        <v>0</v>
      </c>
      <c r="AG422" s="10">
        <f t="shared" si="97"/>
        <v>0</v>
      </c>
      <c r="AH422" s="10">
        <f t="shared" si="97"/>
        <v>0</v>
      </c>
      <c r="AI422" s="10">
        <f t="shared" si="97"/>
        <v>0</v>
      </c>
      <c r="AJ422" s="10">
        <f t="shared" si="97"/>
        <v>0</v>
      </c>
      <c r="AK422" s="10">
        <f t="shared" si="97"/>
        <v>0</v>
      </c>
      <c r="AL422" s="10">
        <f t="shared" si="97"/>
        <v>0</v>
      </c>
    </row>
    <row r="423" spans="1:38" s="13" customFormat="1" ht="14.25" customHeight="1">
      <c r="A423" s="354">
        <v>53</v>
      </c>
      <c r="B423" s="214" t="s">
        <v>62</v>
      </c>
      <c r="C423" s="208">
        <v>90004</v>
      </c>
      <c r="D423" s="211" t="s">
        <v>8</v>
      </c>
      <c r="E423" s="164"/>
      <c r="F423" s="217">
        <v>2010</v>
      </c>
      <c r="G423" s="81" t="s">
        <v>9</v>
      </c>
      <c r="H423" s="15" t="s">
        <v>10</v>
      </c>
      <c r="I423" s="60">
        <v>1369079</v>
      </c>
      <c r="J423" s="61">
        <v>240000</v>
      </c>
      <c r="K423" s="61">
        <v>49909</v>
      </c>
      <c r="L423" s="61">
        <v>240000</v>
      </c>
      <c r="M423" s="146">
        <f t="shared" si="85"/>
        <v>1418988</v>
      </c>
      <c r="N423" s="60"/>
      <c r="O423" s="12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s="13" customFormat="1" ht="14.25" customHeight="1">
      <c r="A424" s="348"/>
      <c r="B424" s="215"/>
      <c r="C424" s="209"/>
      <c r="D424" s="362"/>
      <c r="E424" s="165"/>
      <c r="F424" s="228"/>
      <c r="G424" s="341">
        <v>2009079</v>
      </c>
      <c r="H424" s="16" t="s">
        <v>11</v>
      </c>
      <c r="I424" s="62"/>
      <c r="J424" s="63"/>
      <c r="K424" s="63"/>
      <c r="L424" s="63"/>
      <c r="M424" s="147">
        <f t="shared" si="85"/>
        <v>0</v>
      </c>
      <c r="N424" s="62"/>
      <c r="O424" s="128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s="13" customFormat="1" ht="14.25" customHeight="1">
      <c r="A425" s="348"/>
      <c r="B425" s="215"/>
      <c r="C425" s="209"/>
      <c r="D425" s="362"/>
      <c r="E425" s="165"/>
      <c r="F425" s="228"/>
      <c r="G425" s="342"/>
      <c r="H425" s="16" t="s">
        <v>12</v>
      </c>
      <c r="I425" s="62"/>
      <c r="J425" s="63"/>
      <c r="K425" s="63"/>
      <c r="L425" s="63"/>
      <c r="M425" s="147">
        <f t="shared" si="85"/>
        <v>0</v>
      </c>
      <c r="N425" s="62"/>
      <c r="O425" s="128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1:38" s="13" customFormat="1" ht="14.25" customHeight="1">
      <c r="A426" s="348"/>
      <c r="B426" s="215"/>
      <c r="C426" s="209"/>
      <c r="D426" s="362"/>
      <c r="E426" s="165"/>
      <c r="F426" s="212"/>
      <c r="G426" s="83" t="s">
        <v>13</v>
      </c>
      <c r="H426" s="16" t="s">
        <v>14</v>
      </c>
      <c r="I426" s="62"/>
      <c r="J426" s="63"/>
      <c r="K426" s="63"/>
      <c r="L426" s="63"/>
      <c r="M426" s="147">
        <f t="shared" si="85"/>
        <v>0</v>
      </c>
      <c r="N426" s="62"/>
      <c r="O426" s="128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s="13" customFormat="1" ht="14.25" customHeight="1">
      <c r="A427" s="348"/>
      <c r="B427" s="215"/>
      <c r="C427" s="209"/>
      <c r="D427" s="362"/>
      <c r="E427" s="165" t="s">
        <v>90</v>
      </c>
      <c r="F427" s="227">
        <v>2015</v>
      </c>
      <c r="G427" s="341">
        <v>0</v>
      </c>
      <c r="H427" s="16" t="s">
        <v>15</v>
      </c>
      <c r="I427" s="62"/>
      <c r="J427" s="63"/>
      <c r="K427" s="63"/>
      <c r="L427" s="63"/>
      <c r="M427" s="147">
        <f t="shared" si="85"/>
        <v>0</v>
      </c>
      <c r="N427" s="62"/>
      <c r="O427" s="128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s="13" customFormat="1" ht="14.25" customHeight="1">
      <c r="A428" s="348"/>
      <c r="B428" s="215"/>
      <c r="C428" s="209"/>
      <c r="D428" s="362"/>
      <c r="E428" s="165"/>
      <c r="F428" s="228"/>
      <c r="G428" s="342"/>
      <c r="H428" s="16" t="s">
        <v>16</v>
      </c>
      <c r="I428" s="62"/>
      <c r="J428" s="63"/>
      <c r="K428" s="63"/>
      <c r="L428" s="63"/>
      <c r="M428" s="147">
        <f t="shared" si="85"/>
        <v>0</v>
      </c>
      <c r="N428" s="62"/>
      <c r="O428" s="128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s="13" customFormat="1" ht="14.25" customHeight="1">
      <c r="A429" s="348"/>
      <c r="B429" s="215"/>
      <c r="C429" s="209"/>
      <c r="D429" s="362"/>
      <c r="E429" s="165"/>
      <c r="F429" s="228"/>
      <c r="G429" s="83" t="s">
        <v>17</v>
      </c>
      <c r="H429" s="16" t="s">
        <v>18</v>
      </c>
      <c r="I429" s="6">
        <f aca="true" t="shared" si="98" ref="I429:AL429">I423+I425+I427</f>
        <v>1369079</v>
      </c>
      <c r="J429" s="7">
        <f t="shared" si="98"/>
        <v>240000</v>
      </c>
      <c r="K429" s="7">
        <f t="shared" si="98"/>
        <v>49909</v>
      </c>
      <c r="L429" s="7">
        <f t="shared" si="98"/>
        <v>240000</v>
      </c>
      <c r="M429" s="123">
        <f t="shared" si="85"/>
        <v>1418988</v>
      </c>
      <c r="N429" s="149">
        <f>M429/G424</f>
        <v>0.7062878065023824</v>
      </c>
      <c r="O429" s="129">
        <f t="shared" si="98"/>
        <v>0</v>
      </c>
      <c r="P429" s="7">
        <f t="shared" si="98"/>
        <v>0</v>
      </c>
      <c r="Q429" s="7">
        <f t="shared" si="98"/>
        <v>0</v>
      </c>
      <c r="R429" s="7">
        <f t="shared" si="98"/>
        <v>0</v>
      </c>
      <c r="S429" s="7">
        <f t="shared" si="98"/>
        <v>0</v>
      </c>
      <c r="T429" s="7">
        <f t="shared" si="98"/>
        <v>0</v>
      </c>
      <c r="U429" s="7">
        <f t="shared" si="98"/>
        <v>0</v>
      </c>
      <c r="V429" s="7">
        <f t="shared" si="98"/>
        <v>0</v>
      </c>
      <c r="W429" s="7">
        <f t="shared" si="98"/>
        <v>0</v>
      </c>
      <c r="X429" s="7">
        <f t="shared" si="98"/>
        <v>0</v>
      </c>
      <c r="Y429" s="7">
        <f t="shared" si="98"/>
        <v>0</v>
      </c>
      <c r="Z429" s="7">
        <f t="shared" si="98"/>
        <v>0</v>
      </c>
      <c r="AA429" s="7">
        <f t="shared" si="98"/>
        <v>0</v>
      </c>
      <c r="AB429" s="7">
        <f t="shared" si="98"/>
        <v>0</v>
      </c>
      <c r="AC429" s="7">
        <f t="shared" si="98"/>
        <v>0</v>
      </c>
      <c r="AD429" s="7">
        <f t="shared" si="98"/>
        <v>0</v>
      </c>
      <c r="AE429" s="7">
        <f t="shared" si="98"/>
        <v>0</v>
      </c>
      <c r="AF429" s="7">
        <f t="shared" si="98"/>
        <v>0</v>
      </c>
      <c r="AG429" s="7">
        <f t="shared" si="98"/>
        <v>0</v>
      </c>
      <c r="AH429" s="7">
        <f t="shared" si="98"/>
        <v>0</v>
      </c>
      <c r="AI429" s="7">
        <f t="shared" si="98"/>
        <v>0</v>
      </c>
      <c r="AJ429" s="7">
        <f t="shared" si="98"/>
        <v>0</v>
      </c>
      <c r="AK429" s="7">
        <f t="shared" si="98"/>
        <v>0</v>
      </c>
      <c r="AL429" s="7">
        <f t="shared" si="98"/>
        <v>0</v>
      </c>
    </row>
    <row r="430" spans="1:38" s="13" customFormat="1" ht="14.25" customHeight="1" thickBot="1">
      <c r="A430" s="355"/>
      <c r="B430" s="207"/>
      <c r="C430" s="210"/>
      <c r="D430" s="363"/>
      <c r="E430" s="166"/>
      <c r="F430" s="216"/>
      <c r="G430" s="85">
        <v>2009079</v>
      </c>
      <c r="H430" s="17" t="s">
        <v>19</v>
      </c>
      <c r="I430" s="9">
        <f aca="true" t="shared" si="99" ref="I430:AL430">I424+I426+I428</f>
        <v>0</v>
      </c>
      <c r="J430" s="10">
        <f t="shared" si="99"/>
        <v>0</v>
      </c>
      <c r="K430" s="10">
        <f t="shared" si="99"/>
        <v>0</v>
      </c>
      <c r="L430" s="10">
        <f t="shared" si="99"/>
        <v>0</v>
      </c>
      <c r="M430" s="124">
        <f t="shared" si="85"/>
        <v>0</v>
      </c>
      <c r="N430" s="150"/>
      <c r="O430" s="130">
        <f t="shared" si="99"/>
        <v>0</v>
      </c>
      <c r="P430" s="10">
        <f t="shared" si="99"/>
        <v>0</v>
      </c>
      <c r="Q430" s="10">
        <f t="shared" si="99"/>
        <v>0</v>
      </c>
      <c r="R430" s="10">
        <f t="shared" si="99"/>
        <v>0</v>
      </c>
      <c r="S430" s="10">
        <f t="shared" si="99"/>
        <v>0</v>
      </c>
      <c r="T430" s="10">
        <f t="shared" si="99"/>
        <v>0</v>
      </c>
      <c r="U430" s="10">
        <f t="shared" si="99"/>
        <v>0</v>
      </c>
      <c r="V430" s="10">
        <f t="shared" si="99"/>
        <v>0</v>
      </c>
      <c r="W430" s="10">
        <f t="shared" si="99"/>
        <v>0</v>
      </c>
      <c r="X430" s="10">
        <f t="shared" si="99"/>
        <v>0</v>
      </c>
      <c r="Y430" s="10">
        <f t="shared" si="99"/>
        <v>0</v>
      </c>
      <c r="Z430" s="10">
        <f t="shared" si="99"/>
        <v>0</v>
      </c>
      <c r="AA430" s="10">
        <f t="shared" si="99"/>
        <v>0</v>
      </c>
      <c r="AB430" s="10">
        <f t="shared" si="99"/>
        <v>0</v>
      </c>
      <c r="AC430" s="10">
        <f t="shared" si="99"/>
        <v>0</v>
      </c>
      <c r="AD430" s="10">
        <f t="shared" si="99"/>
        <v>0</v>
      </c>
      <c r="AE430" s="10">
        <f t="shared" si="99"/>
        <v>0</v>
      </c>
      <c r="AF430" s="10">
        <f t="shared" si="99"/>
        <v>0</v>
      </c>
      <c r="AG430" s="10">
        <f t="shared" si="99"/>
        <v>0</v>
      </c>
      <c r="AH430" s="10">
        <f t="shared" si="99"/>
        <v>0</v>
      </c>
      <c r="AI430" s="10">
        <f t="shared" si="99"/>
        <v>0</v>
      </c>
      <c r="AJ430" s="10">
        <f t="shared" si="99"/>
        <v>0</v>
      </c>
      <c r="AK430" s="10">
        <f t="shared" si="99"/>
        <v>0</v>
      </c>
      <c r="AL430" s="10">
        <f t="shared" si="99"/>
        <v>0</v>
      </c>
    </row>
    <row r="431" spans="1:39" s="13" customFormat="1" ht="16.5" customHeight="1">
      <c r="A431" s="348">
        <v>54</v>
      </c>
      <c r="B431" s="215" t="s">
        <v>73</v>
      </c>
      <c r="C431" s="209">
        <v>90019</v>
      </c>
      <c r="D431" s="362" t="s">
        <v>49</v>
      </c>
      <c r="E431" s="165"/>
      <c r="F431" s="228">
        <v>2012</v>
      </c>
      <c r="G431" s="118" t="s">
        <v>9</v>
      </c>
      <c r="H431" s="18" t="s">
        <v>10</v>
      </c>
      <c r="I431" s="64">
        <v>118496</v>
      </c>
      <c r="J431" s="65">
        <v>276000</v>
      </c>
      <c r="K431" s="65">
        <v>59248</v>
      </c>
      <c r="L431" s="65">
        <v>177744</v>
      </c>
      <c r="M431" s="157">
        <f t="shared" si="85"/>
        <v>177744</v>
      </c>
      <c r="N431" s="64"/>
      <c r="O431" s="13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3">
        <v>178350</v>
      </c>
    </row>
    <row r="432" spans="1:38" s="13" customFormat="1" ht="16.5" customHeight="1">
      <c r="A432" s="348"/>
      <c r="B432" s="215"/>
      <c r="C432" s="209"/>
      <c r="D432" s="362"/>
      <c r="E432" s="165"/>
      <c r="F432" s="228"/>
      <c r="G432" s="341">
        <v>394496</v>
      </c>
      <c r="H432" s="16" t="s">
        <v>11</v>
      </c>
      <c r="I432" s="62"/>
      <c r="J432" s="63"/>
      <c r="K432" s="63"/>
      <c r="L432" s="63"/>
      <c r="M432" s="147">
        <f t="shared" si="85"/>
        <v>0</v>
      </c>
      <c r="N432" s="62"/>
      <c r="O432" s="128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s="13" customFormat="1" ht="16.5" customHeight="1">
      <c r="A433" s="348"/>
      <c r="B433" s="215"/>
      <c r="C433" s="209"/>
      <c r="D433" s="362"/>
      <c r="E433" s="165"/>
      <c r="F433" s="228"/>
      <c r="G433" s="342"/>
      <c r="H433" s="16" t="s">
        <v>12</v>
      </c>
      <c r="I433" s="62"/>
      <c r="J433" s="63"/>
      <c r="K433" s="63"/>
      <c r="L433" s="63"/>
      <c r="M433" s="147">
        <f t="shared" si="85"/>
        <v>0</v>
      </c>
      <c r="N433" s="62"/>
      <c r="O433" s="128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1:38" s="13" customFormat="1" ht="16.5" customHeight="1">
      <c r="A434" s="348"/>
      <c r="B434" s="215"/>
      <c r="C434" s="209"/>
      <c r="D434" s="362"/>
      <c r="E434" s="165" t="s">
        <v>95</v>
      </c>
      <c r="F434" s="212"/>
      <c r="G434" s="83" t="s">
        <v>13</v>
      </c>
      <c r="H434" s="16" t="s">
        <v>14</v>
      </c>
      <c r="I434" s="62"/>
      <c r="J434" s="63"/>
      <c r="K434" s="63"/>
      <c r="L434" s="63"/>
      <c r="M434" s="147">
        <f t="shared" si="85"/>
        <v>0</v>
      </c>
      <c r="N434" s="62"/>
      <c r="O434" s="128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1:38" s="13" customFormat="1" ht="16.5" customHeight="1">
      <c r="A435" s="348"/>
      <c r="B435" s="215"/>
      <c r="C435" s="209"/>
      <c r="D435" s="362"/>
      <c r="E435" s="165"/>
      <c r="F435" s="227">
        <v>2013</v>
      </c>
      <c r="G435" s="341">
        <v>0</v>
      </c>
      <c r="H435" s="16" t="s">
        <v>15</v>
      </c>
      <c r="I435" s="62"/>
      <c r="J435" s="63"/>
      <c r="K435" s="63"/>
      <c r="L435" s="63"/>
      <c r="M435" s="147">
        <f t="shared" si="85"/>
        <v>0</v>
      </c>
      <c r="N435" s="62"/>
      <c r="O435" s="128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1:38" s="13" customFormat="1" ht="16.5" customHeight="1">
      <c r="A436" s="348"/>
      <c r="B436" s="215"/>
      <c r="C436" s="209"/>
      <c r="D436" s="362"/>
      <c r="E436" s="165"/>
      <c r="F436" s="228"/>
      <c r="G436" s="342"/>
      <c r="H436" s="16" t="s">
        <v>16</v>
      </c>
      <c r="I436" s="62"/>
      <c r="J436" s="63"/>
      <c r="K436" s="63"/>
      <c r="L436" s="63"/>
      <c r="M436" s="147">
        <f t="shared" si="85"/>
        <v>0</v>
      </c>
      <c r="N436" s="62"/>
      <c r="O436" s="128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1:38" s="13" customFormat="1" ht="16.5" customHeight="1">
      <c r="A437" s="348"/>
      <c r="B437" s="215"/>
      <c r="C437" s="209"/>
      <c r="D437" s="362"/>
      <c r="E437" s="165"/>
      <c r="F437" s="228"/>
      <c r="G437" s="83" t="s">
        <v>17</v>
      </c>
      <c r="H437" s="16" t="s">
        <v>18</v>
      </c>
      <c r="I437" s="6">
        <f aca="true" t="shared" si="100" ref="I437:AL437">I431+I433+I435</f>
        <v>118496</v>
      </c>
      <c r="J437" s="7">
        <f t="shared" si="100"/>
        <v>276000</v>
      </c>
      <c r="K437" s="7">
        <f t="shared" si="100"/>
        <v>59248</v>
      </c>
      <c r="L437" s="7">
        <f t="shared" si="100"/>
        <v>177744</v>
      </c>
      <c r="M437" s="123">
        <f t="shared" si="85"/>
        <v>177744</v>
      </c>
      <c r="N437" s="149">
        <f>M437/G432</f>
        <v>0.4505597014925373</v>
      </c>
      <c r="O437" s="129">
        <f t="shared" si="100"/>
        <v>0</v>
      </c>
      <c r="P437" s="7">
        <f t="shared" si="100"/>
        <v>0</v>
      </c>
      <c r="Q437" s="7">
        <f t="shared" si="100"/>
        <v>0</v>
      </c>
      <c r="R437" s="7">
        <f t="shared" si="100"/>
        <v>0</v>
      </c>
      <c r="S437" s="7">
        <f t="shared" si="100"/>
        <v>0</v>
      </c>
      <c r="T437" s="7">
        <f t="shared" si="100"/>
        <v>0</v>
      </c>
      <c r="U437" s="7">
        <f t="shared" si="100"/>
        <v>0</v>
      </c>
      <c r="V437" s="7">
        <f t="shared" si="100"/>
        <v>0</v>
      </c>
      <c r="W437" s="7">
        <f t="shared" si="100"/>
        <v>0</v>
      </c>
      <c r="X437" s="7">
        <f t="shared" si="100"/>
        <v>0</v>
      </c>
      <c r="Y437" s="7">
        <f t="shared" si="100"/>
        <v>0</v>
      </c>
      <c r="Z437" s="7">
        <f t="shared" si="100"/>
        <v>0</v>
      </c>
      <c r="AA437" s="7">
        <f t="shared" si="100"/>
        <v>0</v>
      </c>
      <c r="AB437" s="7">
        <f t="shared" si="100"/>
        <v>0</v>
      </c>
      <c r="AC437" s="7">
        <f t="shared" si="100"/>
        <v>0</v>
      </c>
      <c r="AD437" s="7">
        <f t="shared" si="100"/>
        <v>0</v>
      </c>
      <c r="AE437" s="7">
        <f t="shared" si="100"/>
        <v>0</v>
      </c>
      <c r="AF437" s="7">
        <f t="shared" si="100"/>
        <v>0</v>
      </c>
      <c r="AG437" s="7">
        <f t="shared" si="100"/>
        <v>0</v>
      </c>
      <c r="AH437" s="7">
        <f t="shared" si="100"/>
        <v>0</v>
      </c>
      <c r="AI437" s="7">
        <f t="shared" si="100"/>
        <v>0</v>
      </c>
      <c r="AJ437" s="7">
        <f t="shared" si="100"/>
        <v>0</v>
      </c>
      <c r="AK437" s="7">
        <f t="shared" si="100"/>
        <v>0</v>
      </c>
      <c r="AL437" s="7">
        <f t="shared" si="100"/>
        <v>0</v>
      </c>
    </row>
    <row r="438" spans="1:38" s="13" customFormat="1" ht="16.5" customHeight="1" thickBot="1">
      <c r="A438" s="348"/>
      <c r="B438" s="207"/>
      <c r="C438" s="210"/>
      <c r="D438" s="363"/>
      <c r="E438" s="166"/>
      <c r="F438" s="216"/>
      <c r="G438" s="85">
        <v>394496</v>
      </c>
      <c r="H438" s="17" t="s">
        <v>19</v>
      </c>
      <c r="I438" s="9">
        <f aca="true" t="shared" si="101" ref="I438:AL438">I432+I434+I436</f>
        <v>0</v>
      </c>
      <c r="J438" s="10">
        <f t="shared" si="101"/>
        <v>0</v>
      </c>
      <c r="K438" s="10">
        <f t="shared" si="101"/>
        <v>0</v>
      </c>
      <c r="L438" s="10">
        <f t="shared" si="101"/>
        <v>0</v>
      </c>
      <c r="M438" s="124">
        <f t="shared" si="85"/>
        <v>0</v>
      </c>
      <c r="N438" s="149"/>
      <c r="O438" s="136">
        <f t="shared" si="101"/>
        <v>0</v>
      </c>
      <c r="P438" s="12">
        <f t="shared" si="101"/>
        <v>0</v>
      </c>
      <c r="Q438" s="12">
        <f t="shared" si="101"/>
        <v>0</v>
      </c>
      <c r="R438" s="12">
        <f t="shared" si="101"/>
        <v>0</v>
      </c>
      <c r="S438" s="12">
        <f t="shared" si="101"/>
        <v>0</v>
      </c>
      <c r="T438" s="12">
        <f t="shared" si="101"/>
        <v>0</v>
      </c>
      <c r="U438" s="12">
        <f t="shared" si="101"/>
        <v>0</v>
      </c>
      <c r="V438" s="12">
        <f t="shared" si="101"/>
        <v>0</v>
      </c>
      <c r="W438" s="12">
        <f t="shared" si="101"/>
        <v>0</v>
      </c>
      <c r="X438" s="12">
        <f t="shared" si="101"/>
        <v>0</v>
      </c>
      <c r="Y438" s="12">
        <f t="shared" si="101"/>
        <v>0</v>
      </c>
      <c r="Z438" s="12">
        <f t="shared" si="101"/>
        <v>0</v>
      </c>
      <c r="AA438" s="12">
        <f t="shared" si="101"/>
        <v>0</v>
      </c>
      <c r="AB438" s="12">
        <f t="shared" si="101"/>
        <v>0</v>
      </c>
      <c r="AC438" s="12">
        <f t="shared" si="101"/>
        <v>0</v>
      </c>
      <c r="AD438" s="12">
        <f t="shared" si="101"/>
        <v>0</v>
      </c>
      <c r="AE438" s="12">
        <f t="shared" si="101"/>
        <v>0</v>
      </c>
      <c r="AF438" s="12">
        <f t="shared" si="101"/>
        <v>0</v>
      </c>
      <c r="AG438" s="12">
        <f t="shared" si="101"/>
        <v>0</v>
      </c>
      <c r="AH438" s="12">
        <f t="shared" si="101"/>
        <v>0</v>
      </c>
      <c r="AI438" s="12">
        <f t="shared" si="101"/>
        <v>0</v>
      </c>
      <c r="AJ438" s="12">
        <f t="shared" si="101"/>
        <v>0</v>
      </c>
      <c r="AK438" s="12">
        <f t="shared" si="101"/>
        <v>0</v>
      </c>
      <c r="AL438" s="12">
        <f t="shared" si="101"/>
        <v>0</v>
      </c>
    </row>
    <row r="439" spans="1:38" s="90" customFormat="1" ht="15" customHeight="1">
      <c r="A439" s="354">
        <v>55</v>
      </c>
      <c r="B439" s="356" t="s">
        <v>96</v>
      </c>
      <c r="C439" s="394">
        <v>90095</v>
      </c>
      <c r="D439" s="211" t="s">
        <v>49</v>
      </c>
      <c r="E439" s="170"/>
      <c r="F439" s="223">
        <v>2012</v>
      </c>
      <c r="G439" s="81" t="s">
        <v>9</v>
      </c>
      <c r="H439" s="86" t="s">
        <v>10</v>
      </c>
      <c r="I439" s="59">
        <v>405359</v>
      </c>
      <c r="J439" s="87">
        <v>239530</v>
      </c>
      <c r="K439" s="87">
        <v>224790</v>
      </c>
      <c r="L439" s="87">
        <v>239531</v>
      </c>
      <c r="M439" s="158">
        <f t="shared" si="85"/>
        <v>630149</v>
      </c>
      <c r="N439" s="59"/>
      <c r="O439" s="132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</row>
    <row r="440" spans="1:38" s="90" customFormat="1" ht="15" customHeight="1">
      <c r="A440" s="348"/>
      <c r="B440" s="349"/>
      <c r="C440" s="395"/>
      <c r="D440" s="362"/>
      <c r="E440" s="171"/>
      <c r="F440" s="361"/>
      <c r="G440" s="341">
        <v>674369</v>
      </c>
      <c r="H440" s="91" t="s">
        <v>11</v>
      </c>
      <c r="I440" s="92">
        <v>62646</v>
      </c>
      <c r="J440" s="93"/>
      <c r="K440" s="93"/>
      <c r="L440" s="93"/>
      <c r="M440" s="159">
        <f t="shared" si="85"/>
        <v>62646</v>
      </c>
      <c r="N440" s="92"/>
      <c r="O440" s="133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</row>
    <row r="441" spans="1:38" s="90" customFormat="1" ht="15" customHeight="1">
      <c r="A441" s="348"/>
      <c r="B441" s="349"/>
      <c r="C441" s="395"/>
      <c r="D441" s="362"/>
      <c r="E441" s="171"/>
      <c r="F441" s="361"/>
      <c r="G441" s="342"/>
      <c r="H441" s="91" t="s">
        <v>12</v>
      </c>
      <c r="I441" s="92"/>
      <c r="J441" s="93"/>
      <c r="K441" s="93"/>
      <c r="L441" s="93"/>
      <c r="M441" s="159">
        <f t="shared" si="85"/>
        <v>0</v>
      </c>
      <c r="N441" s="92"/>
      <c r="O441" s="133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</row>
    <row r="442" spans="1:38" s="90" customFormat="1" ht="15" customHeight="1">
      <c r="A442" s="348"/>
      <c r="B442" s="349"/>
      <c r="C442" s="395"/>
      <c r="D442" s="362"/>
      <c r="E442" s="171" t="s">
        <v>95</v>
      </c>
      <c r="F442" s="224"/>
      <c r="G442" s="83" t="s">
        <v>13</v>
      </c>
      <c r="H442" s="91" t="s">
        <v>14</v>
      </c>
      <c r="I442" s="92"/>
      <c r="J442" s="93"/>
      <c r="K442" s="93"/>
      <c r="L442" s="93"/>
      <c r="M442" s="159">
        <f t="shared" si="85"/>
        <v>0</v>
      </c>
      <c r="N442" s="92"/>
      <c r="O442" s="133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</row>
    <row r="443" spans="1:38" s="90" customFormat="1" ht="15" customHeight="1">
      <c r="A443" s="348"/>
      <c r="B443" s="349"/>
      <c r="C443" s="395"/>
      <c r="D443" s="362"/>
      <c r="E443" s="171"/>
      <c r="F443" s="360">
        <v>2017</v>
      </c>
      <c r="G443" s="341">
        <v>62646</v>
      </c>
      <c r="H443" s="91" t="s">
        <v>15</v>
      </c>
      <c r="I443" s="92"/>
      <c r="J443" s="93"/>
      <c r="K443" s="93"/>
      <c r="L443" s="93"/>
      <c r="M443" s="159">
        <f t="shared" si="85"/>
        <v>0</v>
      </c>
      <c r="N443" s="92"/>
      <c r="O443" s="133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</row>
    <row r="444" spans="1:38" s="90" customFormat="1" ht="15" customHeight="1">
      <c r="A444" s="348"/>
      <c r="B444" s="349"/>
      <c r="C444" s="395"/>
      <c r="D444" s="362"/>
      <c r="E444" s="171"/>
      <c r="F444" s="361"/>
      <c r="G444" s="342"/>
      <c r="H444" s="91" t="s">
        <v>16</v>
      </c>
      <c r="I444" s="92"/>
      <c r="J444" s="93"/>
      <c r="K444" s="93"/>
      <c r="L444" s="93"/>
      <c r="M444" s="159">
        <f t="shared" si="85"/>
        <v>0</v>
      </c>
      <c r="N444" s="92"/>
      <c r="O444" s="133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</row>
    <row r="445" spans="1:38" s="90" customFormat="1" ht="15" customHeight="1">
      <c r="A445" s="348"/>
      <c r="B445" s="349"/>
      <c r="C445" s="395"/>
      <c r="D445" s="362"/>
      <c r="E445" s="171"/>
      <c r="F445" s="361"/>
      <c r="G445" s="83" t="s">
        <v>17</v>
      </c>
      <c r="H445" s="91" t="s">
        <v>18</v>
      </c>
      <c r="I445" s="96">
        <f aca="true" t="shared" si="102" ref="I445:AL445">I439+I441+I443</f>
        <v>405359</v>
      </c>
      <c r="J445" s="97">
        <f t="shared" si="102"/>
        <v>239530</v>
      </c>
      <c r="K445" s="97">
        <f t="shared" si="102"/>
        <v>224790</v>
      </c>
      <c r="L445" s="97">
        <f t="shared" si="102"/>
        <v>239531</v>
      </c>
      <c r="M445" s="98">
        <f t="shared" si="85"/>
        <v>630149</v>
      </c>
      <c r="N445" s="149">
        <f>M445/G440</f>
        <v>0.9344275908293531</v>
      </c>
      <c r="O445" s="134">
        <f t="shared" si="102"/>
        <v>0</v>
      </c>
      <c r="P445" s="97">
        <f t="shared" si="102"/>
        <v>0</v>
      </c>
      <c r="Q445" s="97">
        <f t="shared" si="102"/>
        <v>0</v>
      </c>
      <c r="R445" s="97">
        <f t="shared" si="102"/>
        <v>0</v>
      </c>
      <c r="S445" s="97">
        <f t="shared" si="102"/>
        <v>0</v>
      </c>
      <c r="T445" s="97">
        <f t="shared" si="102"/>
        <v>0</v>
      </c>
      <c r="U445" s="97">
        <f t="shared" si="102"/>
        <v>0</v>
      </c>
      <c r="V445" s="97">
        <f t="shared" si="102"/>
        <v>0</v>
      </c>
      <c r="W445" s="97">
        <f t="shared" si="102"/>
        <v>0</v>
      </c>
      <c r="X445" s="97">
        <f t="shared" si="102"/>
        <v>0</v>
      </c>
      <c r="Y445" s="97">
        <f t="shared" si="102"/>
        <v>0</v>
      </c>
      <c r="Z445" s="97">
        <f t="shared" si="102"/>
        <v>0</v>
      </c>
      <c r="AA445" s="97">
        <f t="shared" si="102"/>
        <v>0</v>
      </c>
      <c r="AB445" s="97">
        <f t="shared" si="102"/>
        <v>0</v>
      </c>
      <c r="AC445" s="97">
        <f t="shared" si="102"/>
        <v>0</v>
      </c>
      <c r="AD445" s="97">
        <f t="shared" si="102"/>
        <v>0</v>
      </c>
      <c r="AE445" s="97">
        <f t="shared" si="102"/>
        <v>0</v>
      </c>
      <c r="AF445" s="97">
        <f t="shared" si="102"/>
        <v>0</v>
      </c>
      <c r="AG445" s="97">
        <f t="shared" si="102"/>
        <v>0</v>
      </c>
      <c r="AH445" s="97">
        <f t="shared" si="102"/>
        <v>0</v>
      </c>
      <c r="AI445" s="97">
        <f t="shared" si="102"/>
        <v>0</v>
      </c>
      <c r="AJ445" s="97">
        <f t="shared" si="102"/>
        <v>0</v>
      </c>
      <c r="AK445" s="97">
        <f t="shared" si="102"/>
        <v>0</v>
      </c>
      <c r="AL445" s="97">
        <f t="shared" si="102"/>
        <v>0</v>
      </c>
    </row>
    <row r="446" spans="1:38" s="90" customFormat="1" ht="15" customHeight="1" thickBot="1">
      <c r="A446" s="348"/>
      <c r="B446" s="350"/>
      <c r="C446" s="396"/>
      <c r="D446" s="363"/>
      <c r="E446" s="172"/>
      <c r="F446" s="248"/>
      <c r="G446" s="85">
        <v>737015</v>
      </c>
      <c r="H446" s="99" t="s">
        <v>19</v>
      </c>
      <c r="I446" s="100">
        <f aca="true" t="shared" si="103" ref="I446:AL446">I440+I442+I444</f>
        <v>62646</v>
      </c>
      <c r="J446" s="101">
        <f t="shared" si="103"/>
        <v>0</v>
      </c>
      <c r="K446" s="101">
        <f t="shared" si="103"/>
        <v>0</v>
      </c>
      <c r="L446" s="101">
        <f t="shared" si="103"/>
        <v>0</v>
      </c>
      <c r="M446" s="102">
        <f t="shared" si="85"/>
        <v>62646</v>
      </c>
      <c r="N446" s="149">
        <f>M446/G443</f>
        <v>1</v>
      </c>
      <c r="O446" s="135">
        <f t="shared" si="103"/>
        <v>0</v>
      </c>
      <c r="P446" s="101">
        <f t="shared" si="103"/>
        <v>0</v>
      </c>
      <c r="Q446" s="101">
        <f t="shared" si="103"/>
        <v>0</v>
      </c>
      <c r="R446" s="101">
        <f t="shared" si="103"/>
        <v>0</v>
      </c>
      <c r="S446" s="101">
        <f t="shared" si="103"/>
        <v>0</v>
      </c>
      <c r="T446" s="101">
        <f t="shared" si="103"/>
        <v>0</v>
      </c>
      <c r="U446" s="101">
        <f t="shared" si="103"/>
        <v>0</v>
      </c>
      <c r="V446" s="101">
        <f t="shared" si="103"/>
        <v>0</v>
      </c>
      <c r="W446" s="101">
        <f t="shared" si="103"/>
        <v>0</v>
      </c>
      <c r="X446" s="101">
        <f t="shared" si="103"/>
        <v>0</v>
      </c>
      <c r="Y446" s="101">
        <f t="shared" si="103"/>
        <v>0</v>
      </c>
      <c r="Z446" s="101">
        <f t="shared" si="103"/>
        <v>0</v>
      </c>
      <c r="AA446" s="101">
        <f t="shared" si="103"/>
        <v>0</v>
      </c>
      <c r="AB446" s="101">
        <f t="shared" si="103"/>
        <v>0</v>
      </c>
      <c r="AC446" s="101">
        <f t="shared" si="103"/>
        <v>0</v>
      </c>
      <c r="AD446" s="101">
        <f t="shared" si="103"/>
        <v>0</v>
      </c>
      <c r="AE446" s="101">
        <f t="shared" si="103"/>
        <v>0</v>
      </c>
      <c r="AF446" s="101">
        <f t="shared" si="103"/>
        <v>0</v>
      </c>
      <c r="AG446" s="101">
        <f t="shared" si="103"/>
        <v>0</v>
      </c>
      <c r="AH446" s="101">
        <f t="shared" si="103"/>
        <v>0</v>
      </c>
      <c r="AI446" s="101">
        <f t="shared" si="103"/>
        <v>0</v>
      </c>
      <c r="AJ446" s="101">
        <f t="shared" si="103"/>
        <v>0</v>
      </c>
      <c r="AK446" s="101">
        <f t="shared" si="103"/>
        <v>0</v>
      </c>
      <c r="AL446" s="101">
        <f t="shared" si="103"/>
        <v>0</v>
      </c>
    </row>
    <row r="447" spans="1:38" s="13" customFormat="1" ht="15" customHeight="1">
      <c r="A447" s="354">
        <v>56</v>
      </c>
      <c r="B447" s="214" t="s">
        <v>57</v>
      </c>
      <c r="C447" s="208">
        <v>92601</v>
      </c>
      <c r="D447" s="211" t="s">
        <v>44</v>
      </c>
      <c r="E447" s="164"/>
      <c r="F447" s="217">
        <v>2011</v>
      </c>
      <c r="G447" s="81" t="s">
        <v>9</v>
      </c>
      <c r="H447" s="15" t="s">
        <v>10</v>
      </c>
      <c r="I447" s="60">
        <v>5978</v>
      </c>
      <c r="J447" s="61">
        <v>5978</v>
      </c>
      <c r="K447" s="61">
        <v>5978</v>
      </c>
      <c r="L447" s="61">
        <v>5978</v>
      </c>
      <c r="M447" s="146">
        <f t="shared" si="85"/>
        <v>11956</v>
      </c>
      <c r="N447" s="60"/>
      <c r="O447" s="127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s="13" customFormat="1" ht="15" customHeight="1">
      <c r="A448" s="348"/>
      <c r="B448" s="215"/>
      <c r="C448" s="209"/>
      <c r="D448" s="362"/>
      <c r="E448" s="165"/>
      <c r="F448" s="228"/>
      <c r="G448" s="341">
        <v>23912</v>
      </c>
      <c r="H448" s="16" t="s">
        <v>11</v>
      </c>
      <c r="I448" s="62"/>
      <c r="J448" s="63"/>
      <c r="K448" s="63"/>
      <c r="L448" s="63"/>
      <c r="M448" s="147">
        <f t="shared" si="85"/>
        <v>0</v>
      </c>
      <c r="N448" s="62"/>
      <c r="O448" s="128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1:38" s="13" customFormat="1" ht="15" customHeight="1">
      <c r="A449" s="348"/>
      <c r="B449" s="215"/>
      <c r="C449" s="209"/>
      <c r="D449" s="362"/>
      <c r="E449" s="165"/>
      <c r="F449" s="228"/>
      <c r="G449" s="342"/>
      <c r="H449" s="16" t="s">
        <v>12</v>
      </c>
      <c r="I449" s="62"/>
      <c r="J449" s="63"/>
      <c r="K449" s="63"/>
      <c r="L449" s="63"/>
      <c r="M449" s="147">
        <f t="shared" si="85"/>
        <v>0</v>
      </c>
      <c r="N449" s="62"/>
      <c r="O449" s="128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1:38" s="13" customFormat="1" ht="15" customHeight="1">
      <c r="A450" s="348"/>
      <c r="B450" s="215"/>
      <c r="C450" s="209"/>
      <c r="D450" s="362"/>
      <c r="E450" s="165"/>
      <c r="F450" s="212"/>
      <c r="G450" s="83" t="s">
        <v>13</v>
      </c>
      <c r="H450" s="16" t="s">
        <v>14</v>
      </c>
      <c r="I450" s="62"/>
      <c r="J450" s="63"/>
      <c r="K450" s="63"/>
      <c r="L450" s="63"/>
      <c r="M450" s="147">
        <f t="shared" si="85"/>
        <v>0</v>
      </c>
      <c r="N450" s="62"/>
      <c r="O450" s="128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1:38" s="13" customFormat="1" ht="15" customHeight="1">
      <c r="A451" s="348"/>
      <c r="B451" s="215"/>
      <c r="C451" s="209"/>
      <c r="D451" s="362"/>
      <c r="E451" s="165"/>
      <c r="F451" s="227">
        <v>2015</v>
      </c>
      <c r="G451" s="341">
        <v>0</v>
      </c>
      <c r="H451" s="16" t="s">
        <v>15</v>
      </c>
      <c r="I451" s="62"/>
      <c r="J451" s="63"/>
      <c r="K451" s="63"/>
      <c r="L451" s="63"/>
      <c r="M451" s="147">
        <f t="shared" si="85"/>
        <v>0</v>
      </c>
      <c r="N451" s="62"/>
      <c r="O451" s="128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1:38" s="13" customFormat="1" ht="15" customHeight="1">
      <c r="A452" s="348"/>
      <c r="B452" s="215"/>
      <c r="C452" s="209"/>
      <c r="D452" s="362"/>
      <c r="E452" s="165"/>
      <c r="F452" s="228"/>
      <c r="G452" s="342"/>
      <c r="H452" s="16" t="s">
        <v>16</v>
      </c>
      <c r="I452" s="62"/>
      <c r="J452" s="63"/>
      <c r="K452" s="63"/>
      <c r="L452" s="63"/>
      <c r="M452" s="147">
        <f t="shared" si="85"/>
        <v>0</v>
      </c>
      <c r="N452" s="62"/>
      <c r="O452" s="128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8" s="13" customFormat="1" ht="15" customHeight="1">
      <c r="A453" s="348"/>
      <c r="B453" s="215"/>
      <c r="C453" s="209"/>
      <c r="D453" s="362"/>
      <c r="E453" s="165"/>
      <c r="F453" s="228"/>
      <c r="G453" s="83" t="s">
        <v>17</v>
      </c>
      <c r="H453" s="16" t="s">
        <v>18</v>
      </c>
      <c r="I453" s="6">
        <f aca="true" t="shared" si="104" ref="I453:AL453">I447+I449+I451</f>
        <v>5978</v>
      </c>
      <c r="J453" s="7">
        <f t="shared" si="104"/>
        <v>5978</v>
      </c>
      <c r="K453" s="7">
        <f t="shared" si="104"/>
        <v>5978</v>
      </c>
      <c r="L453" s="7">
        <f t="shared" si="104"/>
        <v>5978</v>
      </c>
      <c r="M453" s="123">
        <f t="shared" si="85"/>
        <v>11956</v>
      </c>
      <c r="N453" s="149">
        <f>M453/G448</f>
        <v>0.5</v>
      </c>
      <c r="O453" s="129">
        <f t="shared" si="104"/>
        <v>0</v>
      </c>
      <c r="P453" s="7">
        <f t="shared" si="104"/>
        <v>0</v>
      </c>
      <c r="Q453" s="7">
        <f t="shared" si="104"/>
        <v>0</v>
      </c>
      <c r="R453" s="7">
        <f t="shared" si="104"/>
        <v>0</v>
      </c>
      <c r="S453" s="7">
        <f t="shared" si="104"/>
        <v>0</v>
      </c>
      <c r="T453" s="7">
        <f t="shared" si="104"/>
        <v>0</v>
      </c>
      <c r="U453" s="7">
        <f t="shared" si="104"/>
        <v>0</v>
      </c>
      <c r="V453" s="7">
        <f t="shared" si="104"/>
        <v>0</v>
      </c>
      <c r="W453" s="7">
        <f t="shared" si="104"/>
        <v>0</v>
      </c>
      <c r="X453" s="7">
        <f t="shared" si="104"/>
        <v>0</v>
      </c>
      <c r="Y453" s="7">
        <f t="shared" si="104"/>
        <v>0</v>
      </c>
      <c r="Z453" s="7">
        <f t="shared" si="104"/>
        <v>0</v>
      </c>
      <c r="AA453" s="7">
        <f t="shared" si="104"/>
        <v>0</v>
      </c>
      <c r="AB453" s="7">
        <f t="shared" si="104"/>
        <v>0</v>
      </c>
      <c r="AC453" s="7">
        <f t="shared" si="104"/>
        <v>0</v>
      </c>
      <c r="AD453" s="7">
        <f t="shared" si="104"/>
        <v>0</v>
      </c>
      <c r="AE453" s="7">
        <f t="shared" si="104"/>
        <v>0</v>
      </c>
      <c r="AF453" s="7">
        <f t="shared" si="104"/>
        <v>0</v>
      </c>
      <c r="AG453" s="7">
        <f t="shared" si="104"/>
        <v>0</v>
      </c>
      <c r="AH453" s="7">
        <f t="shared" si="104"/>
        <v>0</v>
      </c>
      <c r="AI453" s="7">
        <f t="shared" si="104"/>
        <v>0</v>
      </c>
      <c r="AJ453" s="7">
        <f t="shared" si="104"/>
        <v>0</v>
      </c>
      <c r="AK453" s="7">
        <f t="shared" si="104"/>
        <v>0</v>
      </c>
      <c r="AL453" s="7">
        <f t="shared" si="104"/>
        <v>0</v>
      </c>
    </row>
    <row r="454" spans="1:38" s="13" customFormat="1" ht="15" customHeight="1" thickBot="1">
      <c r="A454" s="348"/>
      <c r="B454" s="207"/>
      <c r="C454" s="210"/>
      <c r="D454" s="363"/>
      <c r="E454" s="166"/>
      <c r="F454" s="216"/>
      <c r="G454" s="85">
        <v>23912</v>
      </c>
      <c r="H454" s="17" t="s">
        <v>19</v>
      </c>
      <c r="I454" s="9">
        <f aca="true" t="shared" si="105" ref="I454:AL454">I448+I450+I452</f>
        <v>0</v>
      </c>
      <c r="J454" s="10">
        <f t="shared" si="105"/>
        <v>0</v>
      </c>
      <c r="K454" s="10">
        <f t="shared" si="105"/>
        <v>0</v>
      </c>
      <c r="L454" s="10">
        <f t="shared" si="105"/>
        <v>0</v>
      </c>
      <c r="M454" s="124">
        <f t="shared" si="85"/>
        <v>0</v>
      </c>
      <c r="N454" s="149"/>
      <c r="O454" s="130">
        <f t="shared" si="105"/>
        <v>0</v>
      </c>
      <c r="P454" s="10">
        <f t="shared" si="105"/>
        <v>0</v>
      </c>
      <c r="Q454" s="10">
        <f t="shared" si="105"/>
        <v>0</v>
      </c>
      <c r="R454" s="10">
        <f t="shared" si="105"/>
        <v>0</v>
      </c>
      <c r="S454" s="10">
        <f t="shared" si="105"/>
        <v>0</v>
      </c>
      <c r="T454" s="10">
        <f t="shared" si="105"/>
        <v>0</v>
      </c>
      <c r="U454" s="10">
        <f t="shared" si="105"/>
        <v>0</v>
      </c>
      <c r="V454" s="10">
        <f t="shared" si="105"/>
        <v>0</v>
      </c>
      <c r="W454" s="10">
        <f t="shared" si="105"/>
        <v>0</v>
      </c>
      <c r="X454" s="10">
        <f t="shared" si="105"/>
        <v>0</v>
      </c>
      <c r="Y454" s="10">
        <f t="shared" si="105"/>
        <v>0</v>
      </c>
      <c r="Z454" s="10">
        <f t="shared" si="105"/>
        <v>0</v>
      </c>
      <c r="AA454" s="10">
        <f t="shared" si="105"/>
        <v>0</v>
      </c>
      <c r="AB454" s="10">
        <f t="shared" si="105"/>
        <v>0</v>
      </c>
      <c r="AC454" s="10">
        <f t="shared" si="105"/>
        <v>0</v>
      </c>
      <c r="AD454" s="10">
        <f t="shared" si="105"/>
        <v>0</v>
      </c>
      <c r="AE454" s="10">
        <f t="shared" si="105"/>
        <v>0</v>
      </c>
      <c r="AF454" s="10">
        <f t="shared" si="105"/>
        <v>0</v>
      </c>
      <c r="AG454" s="10">
        <f t="shared" si="105"/>
        <v>0</v>
      </c>
      <c r="AH454" s="10">
        <f t="shared" si="105"/>
        <v>0</v>
      </c>
      <c r="AI454" s="10">
        <f t="shared" si="105"/>
        <v>0</v>
      </c>
      <c r="AJ454" s="10">
        <f t="shared" si="105"/>
        <v>0</v>
      </c>
      <c r="AK454" s="10">
        <f t="shared" si="105"/>
        <v>0</v>
      </c>
      <c r="AL454" s="10">
        <f t="shared" si="105"/>
        <v>0</v>
      </c>
    </row>
    <row r="455" spans="1:38" s="13" customFormat="1" ht="12.75" customHeight="1">
      <c r="A455" s="354">
        <v>57</v>
      </c>
      <c r="B455" s="214" t="s">
        <v>102</v>
      </c>
      <c r="C455" s="208">
        <v>92605</v>
      </c>
      <c r="D455" s="211" t="s">
        <v>44</v>
      </c>
      <c r="E455" s="164"/>
      <c r="F455" s="217">
        <v>2012</v>
      </c>
      <c r="G455" s="81" t="s">
        <v>9</v>
      </c>
      <c r="H455" s="15" t="s">
        <v>10</v>
      </c>
      <c r="I455" s="60">
        <v>209904</v>
      </c>
      <c r="J455" s="161">
        <v>783591</v>
      </c>
      <c r="K455" s="61">
        <v>131411</v>
      </c>
      <c r="L455" s="61">
        <v>783591</v>
      </c>
      <c r="M455" s="146">
        <f t="shared" si="85"/>
        <v>341315</v>
      </c>
      <c r="N455" s="60"/>
      <c r="O455" s="127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s="13" customFormat="1" ht="12.75">
      <c r="A456" s="348"/>
      <c r="B456" s="215"/>
      <c r="C456" s="209"/>
      <c r="D456" s="362"/>
      <c r="E456" s="165"/>
      <c r="F456" s="228"/>
      <c r="G456" s="341">
        <v>269561</v>
      </c>
      <c r="H456" s="16" t="s">
        <v>11</v>
      </c>
      <c r="I456" s="62"/>
      <c r="J456" s="197"/>
      <c r="K456" s="63"/>
      <c r="L456" s="63"/>
      <c r="M456" s="147">
        <f aca="true" t="shared" si="106" ref="M456:M462">SUM(I456,K456)</f>
        <v>0</v>
      </c>
      <c r="N456" s="62"/>
      <c r="O456" s="128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8" s="13" customFormat="1" ht="12.75">
      <c r="A457" s="348"/>
      <c r="B457" s="215"/>
      <c r="C457" s="209"/>
      <c r="D457" s="362"/>
      <c r="E457" s="165"/>
      <c r="F457" s="228"/>
      <c r="G457" s="342"/>
      <c r="H457" s="16" t="s">
        <v>12</v>
      </c>
      <c r="I457" s="62"/>
      <c r="J457" s="197"/>
      <c r="K457" s="63"/>
      <c r="L457" s="63"/>
      <c r="M457" s="147">
        <f t="shared" si="106"/>
        <v>0</v>
      </c>
      <c r="N457" s="62"/>
      <c r="O457" s="128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1:38" s="13" customFormat="1" ht="11.25" customHeight="1">
      <c r="A458" s="348"/>
      <c r="B458" s="215"/>
      <c r="C458" s="209"/>
      <c r="D458" s="362"/>
      <c r="E458" s="165"/>
      <c r="F458" s="212"/>
      <c r="G458" s="83" t="s">
        <v>13</v>
      </c>
      <c r="H458" s="16" t="s">
        <v>14</v>
      </c>
      <c r="I458" s="62"/>
      <c r="J458" s="197"/>
      <c r="K458" s="63"/>
      <c r="L458" s="63"/>
      <c r="M458" s="147">
        <f t="shared" si="106"/>
        <v>0</v>
      </c>
      <c r="N458" s="62"/>
      <c r="O458" s="128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1:38" s="13" customFormat="1" ht="12.75">
      <c r="A459" s="348"/>
      <c r="B459" s="215"/>
      <c r="C459" s="209"/>
      <c r="D459" s="362"/>
      <c r="E459" s="165"/>
      <c r="F459" s="227">
        <v>2013</v>
      </c>
      <c r="G459" s="341">
        <v>0</v>
      </c>
      <c r="H459" s="16" t="s">
        <v>15</v>
      </c>
      <c r="I459" s="62"/>
      <c r="J459" s="197"/>
      <c r="K459" s="63"/>
      <c r="L459" s="63"/>
      <c r="M459" s="147">
        <f t="shared" si="106"/>
        <v>0</v>
      </c>
      <c r="N459" s="62"/>
      <c r="O459" s="128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1:38" s="13" customFormat="1" ht="12.75">
      <c r="A460" s="348"/>
      <c r="B460" s="215"/>
      <c r="C460" s="209"/>
      <c r="D460" s="362"/>
      <c r="E460" s="165"/>
      <c r="F460" s="228"/>
      <c r="G460" s="342"/>
      <c r="H460" s="16" t="s">
        <v>16</v>
      </c>
      <c r="I460" s="62"/>
      <c r="J460" s="197"/>
      <c r="K460" s="63"/>
      <c r="L460" s="63"/>
      <c r="M460" s="147">
        <f t="shared" si="106"/>
        <v>0</v>
      </c>
      <c r="N460" s="62"/>
      <c r="O460" s="128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8" s="13" customFormat="1" ht="12.75">
      <c r="A461" s="348"/>
      <c r="B461" s="215"/>
      <c r="C461" s="209"/>
      <c r="D461" s="362"/>
      <c r="E461" s="165"/>
      <c r="F461" s="228"/>
      <c r="G461" s="83" t="s">
        <v>17</v>
      </c>
      <c r="H461" s="16" t="s">
        <v>18</v>
      </c>
      <c r="I461" s="6">
        <f aca="true" t="shared" si="107" ref="I461:AL461">I455+I457+I459</f>
        <v>209904</v>
      </c>
      <c r="J461" s="198">
        <f t="shared" si="107"/>
        <v>783591</v>
      </c>
      <c r="K461" s="7">
        <f t="shared" si="107"/>
        <v>131411</v>
      </c>
      <c r="L461" s="7">
        <f t="shared" si="107"/>
        <v>783591</v>
      </c>
      <c r="M461" s="123">
        <f t="shared" si="106"/>
        <v>341315</v>
      </c>
      <c r="N461" s="149">
        <f>M461/G456</f>
        <v>1.2661883581081832</v>
      </c>
      <c r="O461" s="129">
        <f t="shared" si="107"/>
        <v>0</v>
      </c>
      <c r="P461" s="7">
        <f t="shared" si="107"/>
        <v>0</v>
      </c>
      <c r="Q461" s="7">
        <f t="shared" si="107"/>
        <v>0</v>
      </c>
      <c r="R461" s="7">
        <f t="shared" si="107"/>
        <v>0</v>
      </c>
      <c r="S461" s="7">
        <f t="shared" si="107"/>
        <v>0</v>
      </c>
      <c r="T461" s="7">
        <f t="shared" si="107"/>
        <v>0</v>
      </c>
      <c r="U461" s="7">
        <f t="shared" si="107"/>
        <v>0</v>
      </c>
      <c r="V461" s="7">
        <f t="shared" si="107"/>
        <v>0</v>
      </c>
      <c r="W461" s="7">
        <f t="shared" si="107"/>
        <v>0</v>
      </c>
      <c r="X461" s="7">
        <f t="shared" si="107"/>
        <v>0</v>
      </c>
      <c r="Y461" s="7">
        <f t="shared" si="107"/>
        <v>0</v>
      </c>
      <c r="Z461" s="7">
        <f t="shared" si="107"/>
        <v>0</v>
      </c>
      <c r="AA461" s="7">
        <f t="shared" si="107"/>
        <v>0</v>
      </c>
      <c r="AB461" s="7">
        <f t="shared" si="107"/>
        <v>0</v>
      </c>
      <c r="AC461" s="7">
        <f t="shared" si="107"/>
        <v>0</v>
      </c>
      <c r="AD461" s="7">
        <f t="shared" si="107"/>
        <v>0</v>
      </c>
      <c r="AE461" s="7">
        <f t="shared" si="107"/>
        <v>0</v>
      </c>
      <c r="AF461" s="7">
        <f t="shared" si="107"/>
        <v>0</v>
      </c>
      <c r="AG461" s="7">
        <f t="shared" si="107"/>
        <v>0</v>
      </c>
      <c r="AH461" s="7">
        <f t="shared" si="107"/>
        <v>0</v>
      </c>
      <c r="AI461" s="7">
        <f t="shared" si="107"/>
        <v>0</v>
      </c>
      <c r="AJ461" s="7">
        <f t="shared" si="107"/>
        <v>0</v>
      </c>
      <c r="AK461" s="7">
        <f t="shared" si="107"/>
        <v>0</v>
      </c>
      <c r="AL461" s="7">
        <f t="shared" si="107"/>
        <v>0</v>
      </c>
    </row>
    <row r="462" spans="1:38" s="13" customFormat="1" ht="13.5" thickBot="1">
      <c r="A462" s="348"/>
      <c r="B462" s="207"/>
      <c r="C462" s="210"/>
      <c r="D462" s="362"/>
      <c r="E462" s="165"/>
      <c r="F462" s="216"/>
      <c r="G462" s="85">
        <v>269561</v>
      </c>
      <c r="H462" s="17" t="s">
        <v>19</v>
      </c>
      <c r="I462" s="9">
        <f aca="true" t="shared" si="108" ref="I462:AL462">I456+I458+I460</f>
        <v>0</v>
      </c>
      <c r="J462" s="203">
        <f t="shared" si="108"/>
        <v>0</v>
      </c>
      <c r="K462" s="10">
        <f t="shared" si="108"/>
        <v>0</v>
      </c>
      <c r="L462" s="10">
        <f t="shared" si="108"/>
        <v>0</v>
      </c>
      <c r="M462" s="124">
        <f t="shared" si="106"/>
        <v>0</v>
      </c>
      <c r="N462" s="150"/>
      <c r="O462" s="130">
        <f t="shared" si="108"/>
        <v>0</v>
      </c>
      <c r="P462" s="10">
        <f t="shared" si="108"/>
        <v>0</v>
      </c>
      <c r="Q462" s="10">
        <f t="shared" si="108"/>
        <v>0</v>
      </c>
      <c r="R462" s="10">
        <f t="shared" si="108"/>
        <v>0</v>
      </c>
      <c r="S462" s="10">
        <f t="shared" si="108"/>
        <v>0</v>
      </c>
      <c r="T462" s="10">
        <f t="shared" si="108"/>
        <v>0</v>
      </c>
      <c r="U462" s="10">
        <f t="shared" si="108"/>
        <v>0</v>
      </c>
      <c r="V462" s="10">
        <f t="shared" si="108"/>
        <v>0</v>
      </c>
      <c r="W462" s="10">
        <f t="shared" si="108"/>
        <v>0</v>
      </c>
      <c r="X462" s="10">
        <f t="shared" si="108"/>
        <v>0</v>
      </c>
      <c r="Y462" s="10">
        <f t="shared" si="108"/>
        <v>0</v>
      </c>
      <c r="Z462" s="10">
        <f t="shared" si="108"/>
        <v>0</v>
      </c>
      <c r="AA462" s="10">
        <f t="shared" si="108"/>
        <v>0</v>
      </c>
      <c r="AB462" s="10">
        <f t="shared" si="108"/>
        <v>0</v>
      </c>
      <c r="AC462" s="10">
        <f t="shared" si="108"/>
        <v>0</v>
      </c>
      <c r="AD462" s="10">
        <f t="shared" si="108"/>
        <v>0</v>
      </c>
      <c r="AE462" s="10">
        <f t="shared" si="108"/>
        <v>0</v>
      </c>
      <c r="AF462" s="10">
        <f t="shared" si="108"/>
        <v>0</v>
      </c>
      <c r="AG462" s="10">
        <f t="shared" si="108"/>
        <v>0</v>
      </c>
      <c r="AH462" s="10">
        <f t="shared" si="108"/>
        <v>0</v>
      </c>
      <c r="AI462" s="10">
        <f t="shared" si="108"/>
        <v>0</v>
      </c>
      <c r="AJ462" s="10">
        <f t="shared" si="108"/>
        <v>0</v>
      </c>
      <c r="AK462" s="10">
        <f t="shared" si="108"/>
        <v>0</v>
      </c>
      <c r="AL462" s="10">
        <f t="shared" si="108"/>
        <v>0</v>
      </c>
    </row>
    <row r="463" spans="1:38" ht="12.75">
      <c r="A463" s="42"/>
      <c r="B463" s="43"/>
      <c r="C463" s="44"/>
      <c r="D463" s="45"/>
      <c r="E463" s="173"/>
      <c r="F463" s="46"/>
      <c r="G463" s="31"/>
      <c r="H463" s="47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</row>
    <row r="464" spans="1:38" ht="13.5" thickBot="1">
      <c r="A464" s="48"/>
      <c r="B464" s="49"/>
      <c r="C464" s="50"/>
      <c r="D464" s="51"/>
      <c r="E464" s="174"/>
      <c r="F464" s="52"/>
      <c r="G464" s="31"/>
      <c r="H464" s="47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</row>
    <row r="465" spans="1:38" ht="12.75">
      <c r="A465" s="368" t="s">
        <v>45</v>
      </c>
      <c r="B465" s="369"/>
      <c r="C465" s="369"/>
      <c r="D465" s="369"/>
      <c r="E465" s="369"/>
      <c r="F465" s="370"/>
      <c r="G465" s="81" t="s">
        <v>9</v>
      </c>
      <c r="H465" s="73" t="s">
        <v>10</v>
      </c>
      <c r="I465" s="61">
        <f aca="true" t="shared" si="109" ref="I465:N470">SUM(I7,I15,I23,I31,I39,I47,I55,I63,I71,I79)+SUM(I87,I95,I103,I111,I119,I127,I135,I143,I151,I159,I167,I175,I183,I191,I199,I207,I215,I223,I231,I239,I247,I255,I263,I271)+SUM(I279,I287,I295,I303,I311,I375,I383,I391)+SUM(I319,I327,I335,I343,I351,I359,I367,I399)+SUM(I407,I415,I423,I431,I439,I447,I455)</f>
        <v>19754053.35</v>
      </c>
      <c r="J465" s="61">
        <f t="shared" si="109"/>
        <v>11415284</v>
      </c>
      <c r="K465" s="61">
        <f t="shared" si="109"/>
        <v>7812073</v>
      </c>
      <c r="L465" s="61">
        <f t="shared" si="109"/>
        <v>11654184</v>
      </c>
      <c r="M465" s="146">
        <f t="shared" si="109"/>
        <v>27566126.35</v>
      </c>
      <c r="N465" s="60">
        <f t="shared" si="109"/>
        <v>0</v>
      </c>
      <c r="O465" s="153" t="e">
        <f>SUM(#REF!,O399,O87,#REF!,O55,O71,O79,O351,O359,O447,O199,O207,O215,O407,O415,O423,O15,O319,O327,O335)+SUM(O431,O23,#REF!,O31,O63,#REF!,O119,O127,O135,O151,O159,O167,O175,O183,O191,#REF!,#REF!)</f>
        <v>#REF!</v>
      </c>
      <c r="P465" s="23" t="e">
        <f>SUM(#REF!,P399,P87,#REF!,P55,P71,P79,P351,P359,P447,P199,P207,P215,P407,P415,P423,P15,P319,P327,P335)+SUM(P431,P23,#REF!,P31,P63,#REF!,P119,P127,P135,P151,P159,P167,P175,P183,P191,#REF!,#REF!)</f>
        <v>#REF!</v>
      </c>
      <c r="Q465" s="23" t="e">
        <f>SUM(#REF!,Q399,Q87,#REF!,Q55,Q71,Q79,Q351,Q359,Q447,Q199,Q207,Q215,Q407,Q415,Q423,Q15,Q319,Q327,Q335)+SUM(Q431,Q23,#REF!,Q31,Q63,#REF!,Q119,Q127,Q135,Q151,Q159,Q167,Q175,Q183,Q191,#REF!,#REF!)</f>
        <v>#REF!</v>
      </c>
      <c r="R465" s="23" t="e">
        <f>SUM(#REF!,R399,R87,#REF!,R55,R71,R79,R351,R359,R447,R199,R207,R215,R407,R415,R423,R15,R319,R327,R335)+SUM(R431,R23,#REF!,R31,R63,#REF!,R119,R127,R135,R151,R159,R167,R175,R183,R191,#REF!,#REF!)</f>
        <v>#REF!</v>
      </c>
      <c r="S465" s="23" t="e">
        <f>SUM(#REF!,S399,S87,#REF!,S55,S71,S79,S351,S359,S447,S199,S207,S215,S407,S415,S423,S15,S319,S327,S335)+SUM(S431,S23,#REF!,S31,S63,#REF!,S119,S127,S135,S151,S159,S167,S175,S183,S191,#REF!,#REF!)</f>
        <v>#REF!</v>
      </c>
      <c r="T465" s="23" t="e">
        <f>SUM(#REF!,T399,T87,#REF!,T55,T71,T79,T351,T359,T447,T199,T207,T215,T407,T415,T423,T15,T319,T327,T335)+SUM(T431,T23,#REF!,T31,T63,#REF!,T119,T127,T135,T151,T159,T167,T175,T183,T191,#REF!,#REF!)</f>
        <v>#REF!</v>
      </c>
      <c r="U465" s="23" t="e">
        <f>SUM(#REF!,U399,U87,#REF!,U55,U71,U79,U351,U359,U447,U199,U207,U215,U407,U415,U423,U15,U319,U327,U335)+SUM(U431,U23,#REF!,U31,U63,#REF!,U119,U127,U135,U151,U159,U167,U175,U183,U191,#REF!,#REF!)</f>
        <v>#REF!</v>
      </c>
      <c r="V465" s="23" t="e">
        <f>SUM(#REF!,V399,V87,#REF!,V55,V71,V79,V351,V359,V447,V199,V207,V215,V407,V415,V423,V15,V319,V327,V335)+SUM(V431,V23,#REF!,V31,V63,#REF!,V119,V127,V135,V151,V159,V167,V175,V183,V191,#REF!,#REF!)</f>
        <v>#REF!</v>
      </c>
      <c r="W465" s="23" t="e">
        <f>SUM(#REF!,W399,W87,#REF!,W55,W71,W79,W351,W359,W447,W199,W207,W215,W407,W415,W423,W15,W319,W327,W335)+SUM(W431,W23,#REF!,W31,W63,#REF!,W119,W127,W135,W151,W159,W167,W175,W183,W191,#REF!,#REF!)</f>
        <v>#REF!</v>
      </c>
      <c r="X465" s="23" t="e">
        <f>SUM(#REF!,X399,X87,#REF!,X55,X71,X79,X351,X359,X447,X199,X207,X215,X407,X415,X423,X15,X319,X327,X335)+SUM(X431,X23,#REF!,X31,X63,#REF!,X119,X127,X135,X151,X159,X167,X175,X183,X191,#REF!,#REF!)</f>
        <v>#REF!</v>
      </c>
      <c r="Y465" s="23" t="e">
        <f>SUM(#REF!,Y399,Y87,#REF!,Y55,Y71,Y79,Y351,Y359,Y447,Y199,Y207,Y215,Y407,Y415,Y423,Y15,Y319,Y327,Y335)+SUM(Y431,Y23,#REF!,Y31,Y63,#REF!,Y119,Y127,Y135,Y151,Y159,Y167,Y175,Y183,Y191,#REF!,#REF!)</f>
        <v>#REF!</v>
      </c>
      <c r="Z465" s="23" t="e">
        <f>SUM(#REF!,Z399,Z87,#REF!,Z55,Z71,Z79,Z351,Z359,Z447,Z199,Z207,Z215,Z407,Z415,Z423,Z15,Z319,Z327,Z335)+SUM(Z431,Z23,#REF!,Z31,Z63,#REF!,Z119,Z127,Z135,Z151,Z159,Z167,Z175,Z183,Z191,#REF!,#REF!)</f>
        <v>#REF!</v>
      </c>
      <c r="AA465" s="23" t="e">
        <f>SUM(#REF!,AA399,AA87,#REF!,AA55,AA71,AA79,AA351,AA359,AA447,AA199,AA207,AA215,AA407,AA415,AA423,AA15,AA319,AA327,AA335)+SUM(AA431,AA23,#REF!,AA31,AA63,#REF!,AA119,AA127,AA135,AA151,AA159,AA167,AA175,AA183,AA191,#REF!,#REF!)</f>
        <v>#REF!</v>
      </c>
      <c r="AB465" s="23" t="e">
        <f>SUM(#REF!,AB399,AB87,#REF!,AB55,AB71,AB79,AB351,AB359,AB447,AB199,AB207,AB215,AB407,AB415,AB423,AB15,AB319,AB327,AB335)+SUM(AB431,AB23,#REF!,AB31,AB63,#REF!,AB119,AB127,AB135,AB151,AB159,AB167,AB175,AB183,AB191,#REF!,#REF!)</f>
        <v>#REF!</v>
      </c>
      <c r="AC465" s="23" t="e">
        <f>SUM(#REF!,AC399,AC87,#REF!,AC55,AC71,AC79,AC351,AC359,AC447,AC199,AC207,AC215,AC407,AC415,AC423,AC15,AC319,AC327,AC335)+SUM(AC431,AC23,#REF!,AC31,AC63,#REF!,AC119,AC127,AC135,AC151,AC159,AC167,AC175,AC183,AC191,#REF!,#REF!)</f>
        <v>#REF!</v>
      </c>
      <c r="AD465" s="23" t="e">
        <f>SUM(#REF!,AD399,AD87,#REF!,AD55,AD71,AD79,AD351,AD359,AD447,AD199,AD207,AD215,AD407,AD415,AD423,AD15,AD319,AD327,AD335)+SUM(AD431,AD23,#REF!,AD31,AD63,#REF!,AD119,AD127,AD135,AD151,AD159,AD167,AD175,AD183,AD191,#REF!,#REF!)</f>
        <v>#REF!</v>
      </c>
      <c r="AE465" s="23" t="e">
        <f>SUM(#REF!,AE399,AE87,#REF!,AE55,AE71,AE79,AE351,AE359,AE447,AE199,AE207,AE215,AE407,AE415,AE423,AE15,AE319,AE327,AE335)+SUM(AE431,AE23,#REF!,AE31,AE63,#REF!,AE119,AE127,AE135,AE151,AE159,AE167,AE175,AE183,AE191,#REF!,#REF!)</f>
        <v>#REF!</v>
      </c>
      <c r="AF465" s="23" t="e">
        <f>SUM(#REF!,AF399,AF87,#REF!,AF55,AF71,AF79,AF351,AF359,AF447,AF199,AF207,AF215,AF407,AF415,AF423,AF15,AF319,AF327,AF335)+SUM(AF431,AF23,#REF!,AF31,AF63,#REF!,AF119,AF127,AF135,AF151,AF159,AF167,AF175,AF183,AF191,#REF!,#REF!)</f>
        <v>#REF!</v>
      </c>
      <c r="AG465" s="23" t="e">
        <f>SUM(#REF!,AG399,AG87,#REF!,AG55,AG71,AG79,AG351,AG359,AG447,AG199,AG207,AG215,AG407,AG415,AG423,AG15,AG319,AG327,AG335)+SUM(AG431,AG23,#REF!,AG31,AG63,#REF!,AG119,AG127,AG135,AG151,AG159,AG167,AG175,AG183,AG191,#REF!,#REF!)</f>
        <v>#REF!</v>
      </c>
      <c r="AH465" s="23" t="e">
        <f>SUM(#REF!,AH399,AH87,#REF!,AH55,AH71,AH79,AH351,AH359,AH447,AH199,AH207,AH215,AH407,AH415,AH423,AH15,AH319,AH327,AH335)+SUM(AH431,AH23,#REF!,AH31,AH63,#REF!,AH119,AH127,AH135,AH151,AH159,AH167,AH175,AH183,AH191,#REF!,#REF!)</f>
        <v>#REF!</v>
      </c>
      <c r="AI465" s="23" t="e">
        <f>SUM(#REF!,AI399,AI87,#REF!,AI55,AI71,AI79,AI351,AI359,AI447,AI199,AI207,AI215,AI407,AI415,AI423,AI15,AI319,AI327,AI335)+SUM(AI431,AI23,#REF!,AI31,AI63,#REF!,AI119,AI127,AI135,AI151,AI159,AI167,AI175,AI183,AI191,#REF!,#REF!)</f>
        <v>#REF!</v>
      </c>
      <c r="AJ465" s="23" t="e">
        <f>SUM(#REF!,AJ399,AJ87,#REF!,AJ55,AJ71,AJ79,AJ351,AJ359,AJ447,AJ199,AJ207,AJ215,AJ407,AJ415,AJ423,AJ15,AJ319,AJ327,AJ335)+SUM(AJ431,AJ23,#REF!,AJ31,AJ63,#REF!,AJ119,AJ127,AJ135,AJ151,AJ159,AJ167,AJ175,AJ183,AJ191,#REF!,#REF!)</f>
        <v>#REF!</v>
      </c>
      <c r="AK465" s="23" t="e">
        <f>SUM(#REF!,AK399,AK87,#REF!,AK55,AK71,AK79,AK351,AK359,AK447,AK199,AK207,AK215,AK407,AK415,AK423,AK15,AK319,AK327,AK335)+SUM(AK431,AK23,#REF!,AK31,AK63,#REF!,AK119,AK127,AK135,AK151,AK159,AK167,AK175,AK183,AK191,#REF!,#REF!)</f>
        <v>#REF!</v>
      </c>
      <c r="AL465" s="53" t="e">
        <f>SUM(#REF!,AL399,AL87,#REF!,AL55,AL71,AL79,AL351,AL359,AL447,AL199,AL207,AL215,AL407,AL415,AL423,AL15,AL319,AL327,AL335)+SUM(AL431,AL23,#REF!,AL31,AL63,#REF!,AL119,AL127,AL135,AL151,AL159,AL167,AL175,AL183,AL191,#REF!,#REF!)</f>
        <v>#REF!</v>
      </c>
    </row>
    <row r="466" spans="1:38" ht="12.75">
      <c r="A466" s="371"/>
      <c r="B466" s="372"/>
      <c r="C466" s="372"/>
      <c r="D466" s="372"/>
      <c r="E466" s="372"/>
      <c r="F466" s="373"/>
      <c r="G466" s="341">
        <v>37286883.35</v>
      </c>
      <c r="H466" s="74" t="s">
        <v>11</v>
      </c>
      <c r="I466" s="63">
        <f t="shared" si="109"/>
        <v>126294</v>
      </c>
      <c r="J466" s="63">
        <f t="shared" si="109"/>
        <v>0</v>
      </c>
      <c r="K466" s="63">
        <f t="shared" si="109"/>
        <v>0</v>
      </c>
      <c r="L466" s="63">
        <f t="shared" si="109"/>
        <v>0</v>
      </c>
      <c r="M466" s="147">
        <f t="shared" si="109"/>
        <v>126294</v>
      </c>
      <c r="N466" s="62">
        <f t="shared" si="109"/>
        <v>0</v>
      </c>
      <c r="O466" s="154" t="e">
        <f>SUM(#REF!,O400,O88,#REF!,O56,O72,O80,O352,O360,O448,O200,O208,O216,O408,O416,O424,O16,O320,O328,O336)+SUM(O432,O24,#REF!,O32,O64,#REF!,O120,O128,O136,O152,O160,O168,O176,O184,O192,#REF!,#REF!)</f>
        <v>#REF!</v>
      </c>
      <c r="P466" s="24" t="e">
        <f>SUM(#REF!,P400,P88,#REF!,P56,P72,P80,P352,P360,P448,P200,P208,P216,P408,P416,P424,P16,P320,P328,P336)+SUM(P432,P24,#REF!,P32,P64,#REF!,P120,P128,P136,P152,P160,P168,P176,P184,P192,#REF!,#REF!)</f>
        <v>#REF!</v>
      </c>
      <c r="Q466" s="24" t="e">
        <f>SUM(#REF!,Q400,Q88,#REF!,Q56,Q72,Q80,Q352,Q360,Q448,Q200,Q208,Q216,Q408,Q416,Q424,Q16,Q320,Q328,Q336)+SUM(Q432,Q24,#REF!,Q32,Q64,#REF!,Q120,Q128,Q136,Q152,Q160,Q168,Q176,Q184,Q192,#REF!,#REF!)</f>
        <v>#REF!</v>
      </c>
      <c r="R466" s="24" t="e">
        <f>SUM(#REF!,R400,R88,#REF!,R56,R72,R80,R352,R360,R448,R200,R208,R216,R408,R416,R424,R16,R320,R328,R336)+SUM(R432,R24,#REF!,R32,R64,#REF!,R120,R128,R136,R152,R160,R168,R176,R184,R192,#REF!,#REF!)</f>
        <v>#REF!</v>
      </c>
      <c r="S466" s="24" t="e">
        <f>SUM(#REF!,S400,S88,#REF!,S56,S72,S80,S352,S360,S448,S200,S208,S216,S408,S416,S424,S16,S320,S328,S336)+SUM(S432,S24,#REF!,S32,S64,#REF!,S120,S128,S136,S152,S160,S168,S176,S184,S192,#REF!,#REF!)</f>
        <v>#REF!</v>
      </c>
      <c r="T466" s="24" t="e">
        <f>SUM(#REF!,T400,T88,#REF!,T56,T72,T80,T352,T360,T448,T200,T208,T216,T408,T416,T424,T16,T320,T328,T336)+SUM(T432,T24,#REF!,T32,T64,#REF!,T120,T128,T136,T152,T160,T168,T176,T184,T192,#REF!,#REF!)</f>
        <v>#REF!</v>
      </c>
      <c r="U466" s="24" t="e">
        <f>SUM(#REF!,U400,U88,#REF!,U56,U72,U80,U352,U360,U448,U200,U208,U216,U408,U416,U424,U16,U320,U328,U336)+SUM(U432,U24,#REF!,U32,U64,#REF!,U120,U128,U136,U152,U160,U168,U176,U184,U192,#REF!,#REF!)</f>
        <v>#REF!</v>
      </c>
      <c r="V466" s="24" t="e">
        <f>SUM(#REF!,V400,V88,#REF!,V56,V72,V80,V352,V360,V448,V200,V208,V216,V408,V416,V424,V16,V320,V328,V336)+SUM(V432,V24,#REF!,V32,V64,#REF!,V120,V128,V136,V152,V160,V168,V176,V184,V192,#REF!,#REF!)</f>
        <v>#REF!</v>
      </c>
      <c r="W466" s="24" t="e">
        <f>SUM(#REF!,W400,W88,#REF!,W56,W72,W80,W352,W360,W448,W200,W208,W216,W408,W416,W424,W16,W320,W328,W336)+SUM(W432,W24,#REF!,W32,W64,#REF!,W120,W128,W136,W152,W160,W168,W176,W184,W192,#REF!,#REF!)</f>
        <v>#REF!</v>
      </c>
      <c r="X466" s="24" t="e">
        <f>SUM(#REF!,X400,X88,#REF!,X56,X72,X80,X352,X360,X448,X200,X208,X216,X408,X416,X424,X16,X320,X328,X336)+SUM(X432,X24,#REF!,X32,X64,#REF!,X120,X128,X136,X152,X160,X168,X176,X184,X192,#REF!,#REF!)</f>
        <v>#REF!</v>
      </c>
      <c r="Y466" s="24" t="e">
        <f>SUM(#REF!,Y400,Y88,#REF!,Y56,Y72,Y80,Y352,Y360,Y448,Y200,Y208,Y216,Y408,Y416,Y424,Y16,Y320,Y328,Y336)+SUM(Y432,Y24,#REF!,Y32,Y64,#REF!,Y120,Y128,Y136,Y152,Y160,Y168,Y176,Y184,Y192,#REF!,#REF!)</f>
        <v>#REF!</v>
      </c>
      <c r="Z466" s="24" t="e">
        <f>SUM(#REF!,Z400,Z88,#REF!,Z56,Z72,Z80,Z352,Z360,Z448,Z200,Z208,Z216,Z408,Z416,Z424,Z16,Z320,Z328,Z336)+SUM(Z432,Z24,#REF!,Z32,Z64,#REF!,Z120,Z128,Z136,Z152,Z160,Z168,Z176,Z184,Z192,#REF!,#REF!)</f>
        <v>#REF!</v>
      </c>
      <c r="AA466" s="24" t="e">
        <f>SUM(#REF!,AA400,AA88,#REF!,AA56,AA72,AA80,AA352,AA360,AA448,AA200,AA208,AA216,AA408,AA416,AA424,AA16,AA320,AA328,AA336)+SUM(AA432,AA24,#REF!,AA32,AA64,#REF!,AA120,AA128,AA136,AA152,AA160,AA168,AA176,AA184,AA192,#REF!,#REF!)</f>
        <v>#REF!</v>
      </c>
      <c r="AB466" s="24" t="e">
        <f>SUM(#REF!,AB400,AB88,#REF!,AB56,AB72,AB80,AB352,AB360,AB448,AB200,AB208,AB216,AB408,AB416,AB424,AB16,AB320,AB328,AB336)+SUM(AB432,AB24,#REF!,AB32,AB64,#REF!,AB120,AB128,AB136,AB152,AB160,AB168,AB176,AB184,AB192,#REF!,#REF!)</f>
        <v>#REF!</v>
      </c>
      <c r="AC466" s="24" t="e">
        <f>SUM(#REF!,AC400,AC88,#REF!,AC56,AC72,AC80,AC352,AC360,AC448,AC200,AC208,AC216,AC408,AC416,AC424,AC16,AC320,AC328,AC336)+SUM(AC432,AC24,#REF!,AC32,AC64,#REF!,AC120,AC128,AC136,AC152,AC160,AC168,AC176,AC184,AC192,#REF!,#REF!)</f>
        <v>#REF!</v>
      </c>
      <c r="AD466" s="24" t="e">
        <f>SUM(#REF!,AD400,AD88,#REF!,AD56,AD72,AD80,AD352,AD360,AD448,AD200,AD208,AD216,AD408,AD416,AD424,AD16,AD320,AD328,AD336)+SUM(AD432,AD24,#REF!,AD32,AD64,#REF!,AD120,AD128,AD136,AD152,AD160,AD168,AD176,AD184,AD192,#REF!,#REF!)</f>
        <v>#REF!</v>
      </c>
      <c r="AE466" s="24" t="e">
        <f>SUM(#REF!,AE400,AE88,#REF!,AE56,AE72,AE80,AE352,AE360,AE448,AE200,AE208,AE216,AE408,AE416,AE424,AE16,AE320,AE328,AE336)+SUM(AE432,AE24,#REF!,AE32,AE64,#REF!,AE120,AE128,AE136,AE152,AE160,AE168,AE176,AE184,AE192,#REF!,#REF!)</f>
        <v>#REF!</v>
      </c>
      <c r="AF466" s="24" t="e">
        <f>SUM(#REF!,AF400,AF88,#REF!,AF56,AF72,AF80,AF352,AF360,AF448,AF200,AF208,AF216,AF408,AF416,AF424,AF16,AF320,AF328,AF336)+SUM(AF432,AF24,#REF!,AF32,AF64,#REF!,AF120,AF128,AF136,AF152,AF160,AF168,AF176,AF184,AF192,#REF!,#REF!)</f>
        <v>#REF!</v>
      </c>
      <c r="AG466" s="24" t="e">
        <f>SUM(#REF!,AG400,AG88,#REF!,AG56,AG72,AG80,AG352,AG360,AG448,AG200,AG208,AG216,AG408,AG416,AG424,AG16,AG320,AG328,AG336)+SUM(AG432,AG24,#REF!,AG32,AG64,#REF!,AG120,AG128,AG136,AG152,AG160,AG168,AG176,AG184,AG192,#REF!,#REF!)</f>
        <v>#REF!</v>
      </c>
      <c r="AH466" s="24" t="e">
        <f>SUM(#REF!,AH400,AH88,#REF!,AH56,AH72,AH80,AH352,AH360,AH448,AH200,AH208,AH216,AH408,AH416,AH424,AH16,AH320,AH328,AH336)+SUM(AH432,AH24,#REF!,AH32,AH64,#REF!,AH120,AH128,AH136,AH152,AH160,AH168,AH176,AH184,AH192,#REF!,#REF!)</f>
        <v>#REF!</v>
      </c>
      <c r="AI466" s="24" t="e">
        <f>SUM(#REF!,AI400,AI88,#REF!,AI56,AI72,AI80,AI352,AI360,AI448,AI200,AI208,AI216,AI408,AI416,AI424,AI16,AI320,AI328,AI336)+SUM(AI432,AI24,#REF!,AI32,AI64,#REF!,AI120,AI128,AI136,AI152,AI160,AI168,AI176,AI184,AI192,#REF!,#REF!)</f>
        <v>#REF!</v>
      </c>
      <c r="AJ466" s="24" t="e">
        <f>SUM(#REF!,AJ400,AJ88,#REF!,AJ56,AJ72,AJ80,AJ352,AJ360,AJ448,AJ200,AJ208,AJ216,AJ408,AJ416,AJ424,AJ16,AJ320,AJ328,AJ336)+SUM(AJ432,AJ24,#REF!,AJ32,AJ64,#REF!,AJ120,AJ128,AJ136,AJ152,AJ160,AJ168,AJ176,AJ184,AJ192,#REF!,#REF!)</f>
        <v>#REF!</v>
      </c>
      <c r="AK466" s="24" t="e">
        <f>SUM(#REF!,AK400,AK88,#REF!,AK56,AK72,AK80,AK352,AK360,AK448,AK200,AK208,AK216,AK408,AK416,AK424,AK16,AK320,AK328,AK336)+SUM(AK432,AK24,#REF!,AK32,AK64,#REF!,AK120,AK128,AK136,AK152,AK160,AK168,AK176,AK184,AK192,#REF!,#REF!)</f>
        <v>#REF!</v>
      </c>
      <c r="AL466" s="54" t="e">
        <f>SUM(#REF!,AL400,AL88,#REF!,AL56,AL72,AL80,AL352,AL360,AL448,AL200,AL208,AL216,AL408,AL416,AL424,AL16,AL320,AL328,AL336)+SUM(AL432,AL24,#REF!,AL32,AL64,#REF!,AL120,AL128,AL136,AL152,AL160,AL168,AL176,AL184,AL192,#REF!,#REF!)</f>
        <v>#REF!</v>
      </c>
    </row>
    <row r="467" spans="1:38" ht="12.75">
      <c r="A467" s="371"/>
      <c r="B467" s="372"/>
      <c r="C467" s="372"/>
      <c r="D467" s="372"/>
      <c r="E467" s="372"/>
      <c r="F467" s="373"/>
      <c r="G467" s="342"/>
      <c r="H467" s="74" t="s">
        <v>12</v>
      </c>
      <c r="I467" s="63">
        <f t="shared" si="109"/>
        <v>0</v>
      </c>
      <c r="J467" s="63">
        <f t="shared" si="109"/>
        <v>0</v>
      </c>
      <c r="K467" s="63">
        <f t="shared" si="109"/>
        <v>0</v>
      </c>
      <c r="L467" s="63">
        <f t="shared" si="109"/>
        <v>0</v>
      </c>
      <c r="M467" s="147">
        <f t="shared" si="109"/>
        <v>0</v>
      </c>
      <c r="N467" s="62">
        <f t="shared" si="109"/>
        <v>0</v>
      </c>
      <c r="O467" s="154" t="e">
        <f>SUM(#REF!,O401,O89,#REF!,O57,O73,O81,O353,O361,O449,O201,O209,O217,O409,O417,O425,O17,O321,O329,O337)+SUM(O433,O25,#REF!,O33,O65,#REF!,O121,O129,O137,O153,O161,O169,O177,O185,O193,#REF!,#REF!)</f>
        <v>#REF!</v>
      </c>
      <c r="P467" s="24" t="e">
        <f>SUM(#REF!,P401,P89,#REF!,P57,P73,P81,P353,P361,P449,P201,P209,P217,P409,P417,P425,P17,P321,P329,P337)+SUM(P433,P25,#REF!,P33,P65,#REF!,P121,P129,P137,P153,P161,P169,P177,P185,P193,#REF!,#REF!)</f>
        <v>#REF!</v>
      </c>
      <c r="Q467" s="24" t="e">
        <f>SUM(#REF!,Q401,Q89,#REF!,Q57,Q73,Q81,Q353,Q361,Q449,Q201,Q209,Q217,Q409,Q417,Q425,Q17,Q321,Q329,Q337)+SUM(Q433,Q25,#REF!,Q33,Q65,#REF!,Q121,Q129,Q137,Q153,Q161,Q169,Q177,Q185,Q193,#REF!,#REF!)</f>
        <v>#REF!</v>
      </c>
      <c r="R467" s="24" t="e">
        <f>SUM(#REF!,R401,R89,#REF!,R57,R73,R81,R353,R361,R449,R201,R209,R217,R409,R417,R425,R17,R321,R329,R337)+SUM(R433,R25,#REF!,R33,R65,#REF!,R121,R129,R137,R153,R161,R169,R177,R185,R193,#REF!,#REF!)</f>
        <v>#REF!</v>
      </c>
      <c r="S467" s="24" t="e">
        <f>SUM(#REF!,S401,S89,#REF!,S57,S73,S81,S353,S361,S449,S201,S209,S217,S409,S417,S425,S17,S321,S329,S337)+SUM(S433,S25,#REF!,S33,S65,#REF!,S121,S129,S137,S153,S161,S169,S177,S185,S193,#REF!,#REF!)</f>
        <v>#REF!</v>
      </c>
      <c r="T467" s="24" t="e">
        <f>SUM(#REF!,T401,T89,#REF!,T57,T73,T81,T353,T361,T449,T201,T209,T217,T409,T417,T425,T17,T321,T329,T337)+SUM(T433,T25,#REF!,T33,T65,#REF!,T121,T129,T137,T153,T161,T169,T177,T185,T193,#REF!,#REF!)</f>
        <v>#REF!</v>
      </c>
      <c r="U467" s="24" t="e">
        <f>SUM(#REF!,U401,U89,#REF!,U57,U73,U81,U353,U361,U449,U201,U209,U217,U409,U417,U425,U17,U321,U329,U337)+SUM(U433,U25,#REF!,U33,U65,#REF!,U121,U129,U137,U153,U161,U169,U177,U185,U193,#REF!,#REF!)</f>
        <v>#REF!</v>
      </c>
      <c r="V467" s="24" t="e">
        <f>SUM(#REF!,V401,V89,#REF!,V57,V73,V81,V353,V361,V449,V201,V209,V217,V409,V417,V425,V17,V321,V329,V337)+SUM(V433,V25,#REF!,V33,V65,#REF!,V121,V129,V137,V153,V161,V169,V177,V185,V193,#REF!,#REF!)</f>
        <v>#REF!</v>
      </c>
      <c r="W467" s="24" t="e">
        <f>SUM(#REF!,W401,W89,#REF!,W57,W73,W81,W353,W361,W449,W201,W209,W217,W409,W417,W425,W17,W321,W329,W337)+SUM(W433,W25,#REF!,W33,W65,#REF!,W121,W129,W137,W153,W161,W169,W177,W185,W193,#REF!,#REF!)</f>
        <v>#REF!</v>
      </c>
      <c r="X467" s="24" t="e">
        <f>SUM(#REF!,X401,X89,#REF!,X57,X73,X81,X353,X361,X449,X201,X209,X217,X409,X417,X425,X17,X321,X329,X337)+SUM(X433,X25,#REF!,X33,X65,#REF!,X121,X129,X137,X153,X161,X169,X177,X185,X193,#REF!,#REF!)</f>
        <v>#REF!</v>
      </c>
      <c r="Y467" s="24" t="e">
        <f>SUM(#REF!,Y401,Y89,#REF!,Y57,Y73,Y81,Y353,Y361,Y449,Y201,Y209,Y217,Y409,Y417,Y425,Y17,Y321,Y329,Y337)+SUM(Y433,Y25,#REF!,Y33,Y65,#REF!,Y121,Y129,Y137,Y153,Y161,Y169,Y177,Y185,Y193,#REF!,#REF!)</f>
        <v>#REF!</v>
      </c>
      <c r="Z467" s="24" t="e">
        <f>SUM(#REF!,Z401,Z89,#REF!,Z57,Z73,Z81,Z353,Z361,Z449,Z201,Z209,Z217,Z409,Z417,Z425,Z17,Z321,Z329,Z337)+SUM(Z433,Z25,#REF!,Z33,Z65,#REF!,Z121,Z129,Z137,Z153,Z161,Z169,Z177,Z185,Z193,#REF!,#REF!)</f>
        <v>#REF!</v>
      </c>
      <c r="AA467" s="24" t="e">
        <f>SUM(#REF!,AA401,AA89,#REF!,AA57,AA73,AA81,AA353,AA361,AA449,AA201,AA209,AA217,AA409,AA417,AA425,AA17,AA321,AA329,AA337)+SUM(AA433,AA25,#REF!,AA33,AA65,#REF!,AA121,AA129,AA137,AA153,AA161,AA169,AA177,AA185,AA193,#REF!,#REF!)</f>
        <v>#REF!</v>
      </c>
      <c r="AB467" s="24" t="e">
        <f>SUM(#REF!,AB401,AB89,#REF!,AB57,AB73,AB81,AB353,AB361,AB449,AB201,AB209,AB217,AB409,AB417,AB425,AB17,AB321,AB329,AB337)+SUM(AB433,AB25,#REF!,AB33,AB65,#REF!,AB121,AB129,AB137,AB153,AB161,AB169,AB177,AB185,AB193,#REF!,#REF!)</f>
        <v>#REF!</v>
      </c>
      <c r="AC467" s="24" t="e">
        <f>SUM(#REF!,AC401,AC89,#REF!,AC57,AC73,AC81,AC353,AC361,AC449,AC201,AC209,AC217,AC409,AC417,AC425,AC17,AC321,AC329,AC337)+SUM(AC433,AC25,#REF!,AC33,AC65,#REF!,AC121,AC129,AC137,AC153,AC161,AC169,AC177,AC185,AC193,#REF!,#REF!)</f>
        <v>#REF!</v>
      </c>
      <c r="AD467" s="24" t="e">
        <f>SUM(#REF!,AD401,AD89,#REF!,AD57,AD73,AD81,AD353,AD361,AD449,AD201,AD209,AD217,AD409,AD417,AD425,AD17,AD321,AD329,AD337)+SUM(AD433,AD25,#REF!,AD33,AD65,#REF!,AD121,AD129,AD137,AD153,AD161,AD169,AD177,AD185,AD193,#REF!,#REF!)</f>
        <v>#REF!</v>
      </c>
      <c r="AE467" s="24" t="e">
        <f>SUM(#REF!,AE401,AE89,#REF!,AE57,AE73,AE81,AE353,AE361,AE449,AE201,AE209,AE217,AE409,AE417,AE425,AE17,AE321,AE329,AE337)+SUM(AE433,AE25,#REF!,AE33,AE65,#REF!,AE121,AE129,AE137,AE153,AE161,AE169,AE177,AE185,AE193,#REF!,#REF!)</f>
        <v>#REF!</v>
      </c>
      <c r="AF467" s="24" t="e">
        <f>SUM(#REF!,AF401,AF89,#REF!,AF57,AF73,AF81,AF353,AF361,AF449,AF201,AF209,AF217,AF409,AF417,AF425,AF17,AF321,AF329,AF337)+SUM(AF433,AF25,#REF!,AF33,AF65,#REF!,AF121,AF129,AF137,AF153,AF161,AF169,AF177,AF185,AF193,#REF!,#REF!)</f>
        <v>#REF!</v>
      </c>
      <c r="AG467" s="24" t="e">
        <f>SUM(#REF!,AG401,AG89,#REF!,AG57,AG73,AG81,AG353,AG361,AG449,AG201,AG209,AG217,AG409,AG417,AG425,AG17,AG321,AG329,AG337)+SUM(AG433,AG25,#REF!,AG33,AG65,#REF!,AG121,AG129,AG137,AG153,AG161,AG169,AG177,AG185,AG193,#REF!,#REF!)</f>
        <v>#REF!</v>
      </c>
      <c r="AH467" s="24" t="e">
        <f>SUM(#REF!,AH401,AH89,#REF!,AH57,AH73,AH81,AH353,AH361,AH449,AH201,AH209,AH217,AH409,AH417,AH425,AH17,AH321,AH329,AH337)+SUM(AH433,AH25,#REF!,AH33,AH65,#REF!,AH121,AH129,AH137,AH153,AH161,AH169,AH177,AH185,AH193,#REF!,#REF!)</f>
        <v>#REF!</v>
      </c>
      <c r="AI467" s="24" t="e">
        <f>SUM(#REF!,AI401,AI89,#REF!,AI57,AI73,AI81,AI353,AI361,AI449,AI201,AI209,AI217,AI409,AI417,AI425,AI17,AI321,AI329,AI337)+SUM(AI433,AI25,#REF!,AI33,AI65,#REF!,AI121,AI129,AI137,AI153,AI161,AI169,AI177,AI185,AI193,#REF!,#REF!)</f>
        <v>#REF!</v>
      </c>
      <c r="AJ467" s="24" t="e">
        <f>SUM(#REF!,AJ401,AJ89,#REF!,AJ57,AJ73,AJ81,AJ353,AJ361,AJ449,AJ201,AJ209,AJ217,AJ409,AJ417,AJ425,AJ17,AJ321,AJ329,AJ337)+SUM(AJ433,AJ25,#REF!,AJ33,AJ65,#REF!,AJ121,AJ129,AJ137,AJ153,AJ161,AJ169,AJ177,AJ185,AJ193,#REF!,#REF!)</f>
        <v>#REF!</v>
      </c>
      <c r="AK467" s="24" t="e">
        <f>SUM(#REF!,AK401,AK89,#REF!,AK57,AK73,AK81,AK353,AK361,AK449,AK201,AK209,AK217,AK409,AK417,AK425,AK17,AK321,AK329,AK337)+SUM(AK433,AK25,#REF!,AK33,AK65,#REF!,AK121,AK129,AK137,AK153,AK161,AK169,AK177,AK185,AK193,#REF!,#REF!)</f>
        <v>#REF!</v>
      </c>
      <c r="AL467" s="54" t="e">
        <f>SUM(#REF!,AL401,AL89,#REF!,AL57,AL73,AL81,AL353,AL361,AL449,AL201,AL209,AL217,AL409,AL417,AL425,AL17,AL321,AL329,AL337)+SUM(AL433,AL25,#REF!,AL33,AL65,#REF!,AL121,AL129,AL137,AL153,AL161,AL169,AL177,AL185,AL193,#REF!,#REF!)</f>
        <v>#REF!</v>
      </c>
    </row>
    <row r="468" spans="1:38" ht="12.75">
      <c r="A468" s="371"/>
      <c r="B468" s="372"/>
      <c r="C468" s="372"/>
      <c r="D468" s="372"/>
      <c r="E468" s="372"/>
      <c r="F468" s="373"/>
      <c r="G468" s="83" t="s">
        <v>13</v>
      </c>
      <c r="H468" s="74" t="s">
        <v>14</v>
      </c>
      <c r="I468" s="63">
        <f t="shared" si="109"/>
        <v>0</v>
      </c>
      <c r="J468" s="63">
        <f t="shared" si="109"/>
        <v>0</v>
      </c>
      <c r="K468" s="63">
        <f t="shared" si="109"/>
        <v>0</v>
      </c>
      <c r="L468" s="63">
        <f t="shared" si="109"/>
        <v>0</v>
      </c>
      <c r="M468" s="147">
        <f t="shared" si="109"/>
        <v>0</v>
      </c>
      <c r="N468" s="62">
        <f t="shared" si="109"/>
        <v>0</v>
      </c>
      <c r="O468" s="154" t="e">
        <f>SUM(#REF!,O402,O90,#REF!,O58,O74,O82,O354,O362,O450,O202,O210,O218,O410,O418,O426,O18,O322,O330,O338)+SUM(O434,O26,#REF!,O34,O66,#REF!,O122,O130,O138,O154,O162,O170,O178,O186,O194,#REF!,#REF!)</f>
        <v>#REF!</v>
      </c>
      <c r="P468" s="24" t="e">
        <f>SUM(#REF!,P402,P90,#REF!,P58,P74,P82,P354,P362,P450,P202,P210,P218,P410,P418,P426,P18,P322,P330,P338)+SUM(P434,P26,#REF!,P34,P66,#REF!,P122,P130,P138,P154,P162,P170,P178,P186,P194,#REF!,#REF!)</f>
        <v>#REF!</v>
      </c>
      <c r="Q468" s="24" t="e">
        <f>SUM(#REF!,Q402,Q90,#REF!,Q58,Q74,Q82,Q354,Q362,Q450,Q202,Q210,Q218,Q410,Q418,Q426,Q18,Q322,Q330,Q338)+SUM(Q434,Q26,#REF!,Q34,Q66,#REF!,Q122,Q130,Q138,Q154,Q162,Q170,Q178,Q186,Q194,#REF!,#REF!)</f>
        <v>#REF!</v>
      </c>
      <c r="R468" s="24" t="e">
        <f>SUM(#REF!,R402,R90,#REF!,R58,R74,R82,R354,R362,R450,R202,R210,R218,R410,R418,R426,R18,R322,R330,R338)+SUM(R434,R26,#REF!,R34,R66,#REF!,R122,R130,R138,R154,R162,R170,R178,R186,R194,#REF!,#REF!)</f>
        <v>#REF!</v>
      </c>
      <c r="S468" s="24" t="e">
        <f>SUM(#REF!,S402,S90,#REF!,S58,S74,S82,S354,S362,S450,S202,S210,S218,S410,S418,S426,S18,S322,S330,S338)+SUM(S434,S26,#REF!,S34,S66,#REF!,S122,S130,S138,S154,S162,S170,S178,S186,S194,#REF!,#REF!)</f>
        <v>#REF!</v>
      </c>
      <c r="T468" s="24" t="e">
        <f>SUM(#REF!,T402,T90,#REF!,T58,T74,T82,T354,T362,T450,T202,T210,T218,T410,T418,T426,T18,T322,T330,T338)+SUM(T434,T26,#REF!,T34,T66,#REF!,T122,T130,T138,T154,T162,T170,T178,T186,T194,#REF!,#REF!)</f>
        <v>#REF!</v>
      </c>
      <c r="U468" s="24" t="e">
        <f>SUM(#REF!,U402,U90,#REF!,U58,U74,U82,U354,U362,U450,U202,U210,U218,U410,U418,U426,U18,U322,U330,U338)+SUM(U434,U26,#REF!,U34,U66,#REF!,U122,U130,U138,U154,U162,U170,U178,U186,U194,#REF!,#REF!)</f>
        <v>#REF!</v>
      </c>
      <c r="V468" s="24" t="e">
        <f>SUM(#REF!,V402,V90,#REF!,V58,V74,V82,V354,V362,V450,V202,V210,V218,V410,V418,V426,V18,V322,V330,V338)+SUM(V434,V26,#REF!,V34,V66,#REF!,V122,V130,V138,V154,V162,V170,V178,V186,V194,#REF!,#REF!)</f>
        <v>#REF!</v>
      </c>
      <c r="W468" s="24" t="e">
        <f>SUM(#REF!,W402,W90,#REF!,W58,W74,W82,W354,W362,W450,W202,W210,W218,W410,W418,W426,W18,W322,W330,W338)+SUM(W434,W26,#REF!,W34,W66,#REF!,W122,W130,W138,W154,W162,W170,W178,W186,W194,#REF!,#REF!)</f>
        <v>#REF!</v>
      </c>
      <c r="X468" s="24" t="e">
        <f>SUM(#REF!,X402,X90,#REF!,X58,X74,X82,X354,X362,X450,X202,X210,X218,X410,X418,X426,X18,X322,X330,X338)+SUM(X434,X26,#REF!,X34,X66,#REF!,X122,X130,X138,X154,X162,X170,X178,X186,X194,#REF!,#REF!)</f>
        <v>#REF!</v>
      </c>
      <c r="Y468" s="24" t="e">
        <f>SUM(#REF!,Y402,Y90,#REF!,Y58,Y74,Y82,Y354,Y362,Y450,Y202,Y210,Y218,Y410,Y418,Y426,Y18,Y322,Y330,Y338)+SUM(Y434,Y26,#REF!,Y34,Y66,#REF!,Y122,Y130,Y138,Y154,Y162,Y170,Y178,Y186,Y194,#REF!,#REF!)</f>
        <v>#REF!</v>
      </c>
      <c r="Z468" s="24" t="e">
        <f>SUM(#REF!,Z402,Z90,#REF!,Z58,Z74,Z82,Z354,Z362,Z450,Z202,Z210,Z218,Z410,Z418,Z426,Z18,Z322,Z330,Z338)+SUM(Z434,Z26,#REF!,Z34,Z66,#REF!,Z122,Z130,Z138,Z154,Z162,Z170,Z178,Z186,Z194,#REF!,#REF!)</f>
        <v>#REF!</v>
      </c>
      <c r="AA468" s="24" t="e">
        <f>SUM(#REF!,AA402,AA90,#REF!,AA58,AA74,AA82,AA354,AA362,AA450,AA202,AA210,AA218,AA410,AA418,AA426,AA18,AA322,AA330,AA338)+SUM(AA434,AA26,#REF!,AA34,AA66,#REF!,AA122,AA130,AA138,AA154,AA162,AA170,AA178,AA186,AA194,#REF!,#REF!)</f>
        <v>#REF!</v>
      </c>
      <c r="AB468" s="24" t="e">
        <f>SUM(#REF!,AB402,AB90,#REF!,AB58,AB74,AB82,AB354,AB362,AB450,AB202,AB210,AB218,AB410,AB418,AB426,AB18,AB322,AB330,AB338)+SUM(AB434,AB26,#REF!,AB34,AB66,#REF!,AB122,AB130,AB138,AB154,AB162,AB170,AB178,AB186,AB194,#REF!,#REF!)</f>
        <v>#REF!</v>
      </c>
      <c r="AC468" s="24" t="e">
        <f>SUM(#REF!,AC402,AC90,#REF!,AC58,AC74,AC82,AC354,AC362,AC450,AC202,AC210,AC218,AC410,AC418,AC426,AC18,AC322,AC330,AC338)+SUM(AC434,AC26,#REF!,AC34,AC66,#REF!,AC122,AC130,AC138,AC154,AC162,AC170,AC178,AC186,AC194,#REF!,#REF!)</f>
        <v>#REF!</v>
      </c>
      <c r="AD468" s="24" t="e">
        <f>SUM(#REF!,AD402,AD90,#REF!,AD58,AD74,AD82,AD354,AD362,AD450,AD202,AD210,AD218,AD410,AD418,AD426,AD18,AD322,AD330,AD338)+SUM(AD434,AD26,#REF!,AD34,AD66,#REF!,AD122,AD130,AD138,AD154,AD162,AD170,AD178,AD186,AD194,#REF!,#REF!)</f>
        <v>#REF!</v>
      </c>
      <c r="AE468" s="24" t="e">
        <f>SUM(#REF!,AE402,AE90,#REF!,AE58,AE74,AE82,AE354,AE362,AE450,AE202,AE210,AE218,AE410,AE418,AE426,AE18,AE322,AE330,AE338)+SUM(AE434,AE26,#REF!,AE34,AE66,#REF!,AE122,AE130,AE138,AE154,AE162,AE170,AE178,AE186,AE194,#REF!,#REF!)</f>
        <v>#REF!</v>
      </c>
      <c r="AF468" s="24" t="e">
        <f>SUM(#REF!,AF402,AF90,#REF!,AF58,AF74,AF82,AF354,AF362,AF450,AF202,AF210,AF218,AF410,AF418,AF426,AF18,AF322,AF330,AF338)+SUM(AF434,AF26,#REF!,AF34,AF66,#REF!,AF122,AF130,AF138,AF154,AF162,AF170,AF178,AF186,AF194,#REF!,#REF!)</f>
        <v>#REF!</v>
      </c>
      <c r="AG468" s="24" t="e">
        <f>SUM(#REF!,AG402,AG90,#REF!,AG58,AG74,AG82,AG354,AG362,AG450,AG202,AG210,AG218,AG410,AG418,AG426,AG18,AG322,AG330,AG338)+SUM(AG434,AG26,#REF!,AG34,AG66,#REF!,AG122,AG130,AG138,AG154,AG162,AG170,AG178,AG186,AG194,#REF!,#REF!)</f>
        <v>#REF!</v>
      </c>
      <c r="AH468" s="24" t="e">
        <f>SUM(#REF!,AH402,AH90,#REF!,AH58,AH74,AH82,AH354,AH362,AH450,AH202,AH210,AH218,AH410,AH418,AH426,AH18,AH322,AH330,AH338)+SUM(AH434,AH26,#REF!,AH34,AH66,#REF!,AH122,AH130,AH138,AH154,AH162,AH170,AH178,AH186,AH194,#REF!,#REF!)</f>
        <v>#REF!</v>
      </c>
      <c r="AI468" s="24" t="e">
        <f>SUM(#REF!,AI402,AI90,#REF!,AI58,AI74,AI82,AI354,AI362,AI450,AI202,AI210,AI218,AI410,AI418,AI426,AI18,AI322,AI330,AI338)+SUM(AI434,AI26,#REF!,AI34,AI66,#REF!,AI122,AI130,AI138,AI154,AI162,AI170,AI178,AI186,AI194,#REF!,#REF!)</f>
        <v>#REF!</v>
      </c>
      <c r="AJ468" s="24" t="e">
        <f>SUM(#REF!,AJ402,AJ90,#REF!,AJ58,AJ74,AJ82,AJ354,AJ362,AJ450,AJ202,AJ210,AJ218,AJ410,AJ418,AJ426,AJ18,AJ322,AJ330,AJ338)+SUM(AJ434,AJ26,#REF!,AJ34,AJ66,#REF!,AJ122,AJ130,AJ138,AJ154,AJ162,AJ170,AJ178,AJ186,AJ194,#REF!,#REF!)</f>
        <v>#REF!</v>
      </c>
      <c r="AK468" s="24" t="e">
        <f>SUM(#REF!,AK402,AK90,#REF!,AK58,AK74,AK82,AK354,AK362,AK450,AK202,AK210,AK218,AK410,AK418,AK426,AK18,AK322,AK330,AK338)+SUM(AK434,AK26,#REF!,AK34,AK66,#REF!,AK122,AK130,AK138,AK154,AK162,AK170,AK178,AK186,AK194,#REF!,#REF!)</f>
        <v>#REF!</v>
      </c>
      <c r="AL468" s="54" t="e">
        <f>SUM(#REF!,AL402,AL90,#REF!,AL58,AL74,AL82,AL354,AL362,AL450,AL202,AL210,AL218,AL410,AL418,AL426,AL18,AL322,AL330,AL338)+SUM(AL434,AL26,#REF!,AL34,AL66,#REF!,AL122,AL130,AL138,AL154,AL162,AL170,AL178,AL186,AL194,#REF!,#REF!)</f>
        <v>#REF!</v>
      </c>
    </row>
    <row r="469" spans="1:38" ht="12.75">
      <c r="A469" s="371"/>
      <c r="B469" s="372"/>
      <c r="C469" s="372"/>
      <c r="D469" s="372"/>
      <c r="E469" s="372"/>
      <c r="F469" s="373"/>
      <c r="G469" s="341">
        <v>126294</v>
      </c>
      <c r="H469" s="74" t="s">
        <v>15</v>
      </c>
      <c r="I469" s="63">
        <f t="shared" si="109"/>
        <v>387060</v>
      </c>
      <c r="J469" s="63">
        <f t="shared" si="109"/>
        <v>32763</v>
      </c>
      <c r="K469" s="63">
        <f t="shared" si="109"/>
        <v>11664</v>
      </c>
      <c r="L469" s="63">
        <f t="shared" si="109"/>
        <v>32763</v>
      </c>
      <c r="M469" s="147">
        <f t="shared" si="109"/>
        <v>398724</v>
      </c>
      <c r="N469" s="62">
        <f t="shared" si="109"/>
        <v>0</v>
      </c>
      <c r="O469" s="154" t="e">
        <f>SUM(#REF!,O403,O91,#REF!,O59,O75,O83,O355,O363,O451,O203,O211,O219,O411,O419,O427,O19,O323,O331,O339)+SUM(O435,O27,#REF!,O35,O67,#REF!,O123,O131,O139,O155,O163,O171,O179,O187,O195,#REF!,#REF!)</f>
        <v>#REF!</v>
      </c>
      <c r="P469" s="24" t="e">
        <f>SUM(#REF!,P403,P91,#REF!,P59,P75,P83,P355,P363,P451,P203,P211,P219,P411,P419,P427,P19,P323,P331,P339)+SUM(P435,P27,#REF!,P35,P67,#REF!,P123,P131,P139,P155,P163,P171,P179,P187,P195,#REF!,#REF!)</f>
        <v>#REF!</v>
      </c>
      <c r="Q469" s="24" t="e">
        <f>SUM(#REF!,Q403,Q91,#REF!,Q59,Q75,Q83,Q355,Q363,Q451,Q203,Q211,Q219,Q411,Q419,Q427,Q19,Q323,Q331,Q339)+SUM(Q435,Q27,#REF!,Q35,Q67,#REF!,Q123,Q131,Q139,Q155,Q163,Q171,Q179,Q187,Q195,#REF!,#REF!)</f>
        <v>#REF!</v>
      </c>
      <c r="R469" s="24" t="e">
        <f>SUM(#REF!,R403,R91,#REF!,R59,R75,R83,R355,R363,R451,R203,R211,R219,R411,R419,R427,R19,R323,R331,R339)+SUM(R435,R27,#REF!,R35,R67,#REF!,R123,R131,R139,R155,R163,R171,R179,R187,R195,#REF!,#REF!)</f>
        <v>#REF!</v>
      </c>
      <c r="S469" s="24" t="e">
        <f>SUM(#REF!,S403,S91,#REF!,S59,S75,S83,S355,S363,S451,S203,S211,S219,S411,S419,S427,S19,S323,S331,S339)+SUM(S435,S27,#REF!,S35,S67,#REF!,S123,S131,S139,S155,S163,S171,S179,S187,S195,#REF!,#REF!)</f>
        <v>#REF!</v>
      </c>
      <c r="T469" s="24" t="e">
        <f>SUM(#REF!,T403,T91,#REF!,T59,T75,T83,T355,T363,T451,T203,T211,T219,T411,T419,T427,T19,T323,T331,T339)+SUM(T435,T27,#REF!,T35,T67,#REF!,T123,T131,T139,T155,T163,T171,T179,T187,T195,#REF!,#REF!)</f>
        <v>#REF!</v>
      </c>
      <c r="U469" s="24" t="e">
        <f>SUM(#REF!,U403,U91,#REF!,U59,U75,U83,U355,U363,U451,U203,U211,U219,U411,U419,U427,U19,U323,U331,U339)+SUM(U435,U27,#REF!,U35,U67,#REF!,U123,U131,U139,U155,U163,U171,U179,U187,U195,#REF!,#REF!)</f>
        <v>#REF!</v>
      </c>
      <c r="V469" s="24" t="e">
        <f>SUM(#REF!,V403,V91,#REF!,V59,V75,V83,V355,V363,V451,V203,V211,V219,V411,V419,V427,V19,V323,V331,V339)+SUM(V435,V27,#REF!,V35,V67,#REF!,V123,V131,V139,V155,V163,V171,V179,V187,V195,#REF!,#REF!)</f>
        <v>#REF!</v>
      </c>
      <c r="W469" s="24" t="e">
        <f>SUM(#REF!,W403,W91,#REF!,W59,W75,W83,W355,W363,W451,W203,W211,W219,W411,W419,W427,W19,W323,W331,W339)+SUM(W435,W27,#REF!,W35,W67,#REF!,W123,W131,W139,W155,W163,W171,W179,W187,W195,#REF!,#REF!)</f>
        <v>#REF!</v>
      </c>
      <c r="X469" s="24" t="e">
        <f>SUM(#REF!,X403,X91,#REF!,X59,X75,X83,X355,X363,X451,X203,X211,X219,X411,X419,X427,X19,X323,X331,X339)+SUM(X435,X27,#REF!,X35,X67,#REF!,X123,X131,X139,X155,X163,X171,X179,X187,X195,#REF!,#REF!)</f>
        <v>#REF!</v>
      </c>
      <c r="Y469" s="24" t="e">
        <f>SUM(#REF!,Y403,Y91,#REF!,Y59,Y75,Y83,Y355,Y363,Y451,Y203,Y211,Y219,Y411,Y419,Y427,Y19,Y323,Y331,Y339)+SUM(Y435,Y27,#REF!,Y35,Y67,#REF!,Y123,Y131,Y139,Y155,Y163,Y171,Y179,Y187,Y195,#REF!,#REF!)</f>
        <v>#REF!</v>
      </c>
      <c r="Z469" s="24" t="e">
        <f>SUM(#REF!,Z403,Z91,#REF!,Z59,Z75,Z83,Z355,Z363,Z451,Z203,Z211,Z219,Z411,Z419,Z427,Z19,Z323,Z331,Z339)+SUM(Z435,Z27,#REF!,Z35,Z67,#REF!,Z123,Z131,Z139,Z155,Z163,Z171,Z179,Z187,Z195,#REF!,#REF!)</f>
        <v>#REF!</v>
      </c>
      <c r="AA469" s="24" t="e">
        <f>SUM(#REF!,AA403,AA91,#REF!,AA59,AA75,AA83,AA355,AA363,AA451,AA203,AA211,AA219,AA411,AA419,AA427,AA19,AA323,AA331,AA339)+SUM(AA435,AA27,#REF!,AA35,AA67,#REF!,AA123,AA131,AA139,AA155,AA163,AA171,AA179,AA187,AA195,#REF!,#REF!)</f>
        <v>#REF!</v>
      </c>
      <c r="AB469" s="24" t="e">
        <f>SUM(#REF!,AB403,AB91,#REF!,AB59,AB75,AB83,AB355,AB363,AB451,AB203,AB211,AB219,AB411,AB419,AB427,AB19,AB323,AB331,AB339)+SUM(AB435,AB27,#REF!,AB35,AB67,#REF!,AB123,AB131,AB139,AB155,AB163,AB171,AB179,AB187,AB195,#REF!,#REF!)</f>
        <v>#REF!</v>
      </c>
      <c r="AC469" s="24" t="e">
        <f>SUM(#REF!,AC403,AC91,#REF!,AC59,AC75,AC83,AC355,AC363,AC451,AC203,AC211,AC219,AC411,AC419,AC427,AC19,AC323,AC331,AC339)+SUM(AC435,AC27,#REF!,AC35,AC67,#REF!,AC123,AC131,AC139,AC155,AC163,AC171,AC179,AC187,AC195,#REF!,#REF!)</f>
        <v>#REF!</v>
      </c>
      <c r="AD469" s="24" t="e">
        <f>SUM(#REF!,AD403,AD91,#REF!,AD59,AD75,AD83,AD355,AD363,AD451,AD203,AD211,AD219,AD411,AD419,AD427,AD19,AD323,AD331,AD339)+SUM(AD435,AD27,#REF!,AD35,AD67,#REF!,AD123,AD131,AD139,AD155,AD163,AD171,AD179,AD187,AD195,#REF!,#REF!)</f>
        <v>#REF!</v>
      </c>
      <c r="AE469" s="24" t="e">
        <f>SUM(#REF!,AE403,AE91,#REF!,AE59,AE75,AE83,AE355,AE363,AE451,AE203,AE211,AE219,AE411,AE419,AE427,AE19,AE323,AE331,AE339)+SUM(AE435,AE27,#REF!,AE35,AE67,#REF!,AE123,AE131,AE139,AE155,AE163,AE171,AE179,AE187,AE195,#REF!,#REF!)</f>
        <v>#REF!</v>
      </c>
      <c r="AF469" s="24" t="e">
        <f>SUM(#REF!,AF403,AF91,#REF!,AF59,AF75,AF83,AF355,AF363,AF451,AF203,AF211,AF219,AF411,AF419,AF427,AF19,AF323,AF331,AF339)+SUM(AF435,AF27,#REF!,AF35,AF67,#REF!,AF123,AF131,AF139,AF155,AF163,AF171,AF179,AF187,AF195,#REF!,#REF!)</f>
        <v>#REF!</v>
      </c>
      <c r="AG469" s="24" t="e">
        <f>SUM(#REF!,AG403,AG91,#REF!,AG59,AG75,AG83,AG355,AG363,AG451,AG203,AG211,AG219,AG411,AG419,AG427,AG19,AG323,AG331,AG339)+SUM(AG435,AG27,#REF!,AG35,AG67,#REF!,AG123,AG131,AG139,AG155,AG163,AG171,AG179,AG187,AG195,#REF!,#REF!)</f>
        <v>#REF!</v>
      </c>
      <c r="AH469" s="24" t="e">
        <f>SUM(#REF!,AH403,AH91,#REF!,AH59,AH75,AH83,AH355,AH363,AH451,AH203,AH211,AH219,AH411,AH419,AH427,AH19,AH323,AH331,AH339)+SUM(AH435,AH27,#REF!,AH35,AH67,#REF!,AH123,AH131,AH139,AH155,AH163,AH171,AH179,AH187,AH195,#REF!,#REF!)</f>
        <v>#REF!</v>
      </c>
      <c r="AI469" s="24" t="e">
        <f>SUM(#REF!,AI403,AI91,#REF!,AI59,AI75,AI83,AI355,AI363,AI451,AI203,AI211,AI219,AI411,AI419,AI427,AI19,AI323,AI331,AI339)+SUM(AI435,AI27,#REF!,AI35,AI67,#REF!,AI123,AI131,AI139,AI155,AI163,AI171,AI179,AI187,AI195,#REF!,#REF!)</f>
        <v>#REF!</v>
      </c>
      <c r="AJ469" s="24" t="e">
        <f>SUM(#REF!,AJ403,AJ91,#REF!,AJ59,AJ75,AJ83,AJ355,AJ363,AJ451,AJ203,AJ211,AJ219,AJ411,AJ419,AJ427,AJ19,AJ323,AJ331,AJ339)+SUM(AJ435,AJ27,#REF!,AJ35,AJ67,#REF!,AJ123,AJ131,AJ139,AJ155,AJ163,AJ171,AJ179,AJ187,AJ195,#REF!,#REF!)</f>
        <v>#REF!</v>
      </c>
      <c r="AK469" s="24" t="e">
        <f>SUM(#REF!,AK403,AK91,#REF!,AK59,AK75,AK83,AK355,AK363,AK451,AK203,AK211,AK219,AK411,AK419,AK427,AK19,AK323,AK331,AK339)+SUM(AK435,AK27,#REF!,AK35,AK67,#REF!,AK123,AK131,AK139,AK155,AK163,AK171,AK179,AK187,AK195,#REF!,#REF!)</f>
        <v>#REF!</v>
      </c>
      <c r="AL469" s="54" t="e">
        <f>SUM(#REF!,AL403,AL91,#REF!,AL59,AL75,AL83,AL355,AL363,AL451,AL203,AL211,AL219,AL411,AL419,AL427,AL19,AL323,AL331,AL339)+SUM(AL435,AL27,#REF!,AL35,AL67,#REF!,AL123,AL131,AL139,AL155,AL163,AL171,AL179,AL187,AL195,#REF!,#REF!)</f>
        <v>#REF!</v>
      </c>
    </row>
    <row r="470" spans="1:38" ht="12.75">
      <c r="A470" s="371"/>
      <c r="B470" s="372"/>
      <c r="C470" s="372"/>
      <c r="D470" s="372"/>
      <c r="E470" s="372"/>
      <c r="F470" s="373"/>
      <c r="G470" s="342"/>
      <c r="H470" s="74" t="s">
        <v>16</v>
      </c>
      <c r="I470" s="63">
        <f t="shared" si="109"/>
        <v>0</v>
      </c>
      <c r="J470" s="63">
        <f t="shared" si="109"/>
        <v>0</v>
      </c>
      <c r="K470" s="63">
        <f t="shared" si="109"/>
        <v>0</v>
      </c>
      <c r="L470" s="63">
        <f t="shared" si="109"/>
        <v>0</v>
      </c>
      <c r="M470" s="147">
        <f t="shared" si="109"/>
        <v>0</v>
      </c>
      <c r="N470" s="62">
        <f t="shared" si="109"/>
        <v>0</v>
      </c>
      <c r="O470" s="154" t="e">
        <f>SUM(#REF!,O404,O92,#REF!,O60,O76,O84,O356,O364,O452,O204,O212,O220,O412,O420,O428,O20,O324,O332,O340)+SUM(O436,O28,#REF!,O36,O68,#REF!,O124,O132,O140,O156,O164,O172,O180,O188,O196,#REF!,#REF!)</f>
        <v>#REF!</v>
      </c>
      <c r="P470" s="24" t="e">
        <f>SUM(#REF!,P404,P92,#REF!,P60,P76,P84,P356,P364,P452,P204,P212,P220,P412,P420,P428,P20,P324,P332,P340)+SUM(P436,P28,#REF!,P36,P68,#REF!,P124,P132,P140,P156,P164,P172,P180,P188,P196,#REF!,#REF!)</f>
        <v>#REF!</v>
      </c>
      <c r="Q470" s="24" t="e">
        <f>SUM(#REF!,Q404,Q92,#REF!,Q60,Q76,Q84,Q356,Q364,Q452,Q204,Q212,Q220,Q412,Q420,Q428,Q20,Q324,Q332,Q340)+SUM(Q436,Q28,#REF!,Q36,Q68,#REF!,Q124,Q132,Q140,Q156,Q164,Q172,Q180,Q188,Q196,#REF!,#REF!)</f>
        <v>#REF!</v>
      </c>
      <c r="R470" s="24" t="e">
        <f>SUM(#REF!,R404,R92,#REF!,R60,R76,R84,R356,R364,R452,R204,R212,R220,R412,R420,R428,R20,R324,R332,R340)+SUM(R436,R28,#REF!,R36,R68,#REF!,R124,R132,R140,R156,R164,R172,R180,R188,R196,#REF!,#REF!)</f>
        <v>#REF!</v>
      </c>
      <c r="S470" s="24" t="e">
        <f>SUM(#REF!,S404,S92,#REF!,S60,S76,S84,S356,S364,S452,S204,S212,S220,S412,S420,S428,S20,S324,S332,S340)+SUM(S436,S28,#REF!,S36,S68,#REF!,S124,S132,S140,S156,S164,S172,S180,S188,S196,#REF!,#REF!)</f>
        <v>#REF!</v>
      </c>
      <c r="T470" s="24" t="e">
        <f>SUM(#REF!,T404,T92,#REF!,T60,T76,T84,T356,T364,T452,T204,T212,T220,T412,T420,T428,T20,T324,T332,T340)+SUM(T436,T28,#REF!,T36,T68,#REF!,T124,T132,T140,T156,T164,T172,T180,T188,T196,#REF!,#REF!)</f>
        <v>#REF!</v>
      </c>
      <c r="U470" s="24" t="e">
        <f>SUM(#REF!,U404,U92,#REF!,U60,U76,U84,U356,U364,U452,U204,U212,U220,U412,U420,U428,U20,U324,U332,U340)+SUM(U436,U28,#REF!,U36,U68,#REF!,U124,U132,U140,U156,U164,U172,U180,U188,U196,#REF!,#REF!)</f>
        <v>#REF!</v>
      </c>
      <c r="V470" s="24" t="e">
        <f>SUM(#REF!,V404,V92,#REF!,V60,V76,V84,V356,V364,V452,V204,V212,V220,V412,V420,V428,V20,V324,V332,V340)+SUM(V436,V28,#REF!,V36,V68,#REF!,V124,V132,V140,V156,V164,V172,V180,V188,V196,#REF!,#REF!)</f>
        <v>#REF!</v>
      </c>
      <c r="W470" s="24" t="e">
        <f>SUM(#REF!,W404,W92,#REF!,W60,W76,W84,W356,W364,W452,W204,W212,W220,W412,W420,W428,W20,W324,W332,W340)+SUM(W436,W28,#REF!,W36,W68,#REF!,W124,W132,W140,W156,W164,W172,W180,W188,W196,#REF!,#REF!)</f>
        <v>#REF!</v>
      </c>
      <c r="X470" s="24" t="e">
        <f>SUM(#REF!,X404,X92,#REF!,X60,X76,X84,X356,X364,X452,X204,X212,X220,X412,X420,X428,X20,X324,X332,X340)+SUM(X436,X28,#REF!,X36,X68,#REF!,X124,X132,X140,X156,X164,X172,X180,X188,X196,#REF!,#REF!)</f>
        <v>#REF!</v>
      </c>
      <c r="Y470" s="24" t="e">
        <f>SUM(#REF!,Y404,Y92,#REF!,Y60,Y76,Y84,Y356,Y364,Y452,Y204,Y212,Y220,Y412,Y420,Y428,Y20,Y324,Y332,Y340)+SUM(Y436,Y28,#REF!,Y36,Y68,#REF!,Y124,Y132,Y140,Y156,Y164,Y172,Y180,Y188,Y196,#REF!,#REF!)</f>
        <v>#REF!</v>
      </c>
      <c r="Z470" s="24" t="e">
        <f>SUM(#REF!,Z404,Z92,#REF!,Z60,Z76,Z84,Z356,Z364,Z452,Z204,Z212,Z220,Z412,Z420,Z428,Z20,Z324,Z332,Z340)+SUM(Z436,Z28,#REF!,Z36,Z68,#REF!,Z124,Z132,Z140,Z156,Z164,Z172,Z180,Z188,Z196,#REF!,#REF!)</f>
        <v>#REF!</v>
      </c>
      <c r="AA470" s="24" t="e">
        <f>SUM(#REF!,AA404,AA92,#REF!,AA60,AA76,AA84,AA356,AA364,AA452,AA204,AA212,AA220,AA412,AA420,AA428,AA20,AA324,AA332,AA340)+SUM(AA436,AA28,#REF!,AA36,AA68,#REF!,AA124,AA132,AA140,AA156,AA164,AA172,AA180,AA188,AA196,#REF!,#REF!)</f>
        <v>#REF!</v>
      </c>
      <c r="AB470" s="24" t="e">
        <f>SUM(#REF!,AB404,AB92,#REF!,AB60,AB76,AB84,AB356,AB364,AB452,AB204,AB212,AB220,AB412,AB420,AB428,AB20,AB324,AB332,AB340)+SUM(AB436,AB28,#REF!,AB36,AB68,#REF!,AB124,AB132,AB140,AB156,AB164,AB172,AB180,AB188,AB196,#REF!,#REF!)</f>
        <v>#REF!</v>
      </c>
      <c r="AC470" s="24" t="e">
        <f>SUM(#REF!,AC404,AC92,#REF!,AC60,AC76,AC84,AC356,AC364,AC452,AC204,AC212,AC220,AC412,AC420,AC428,AC20,AC324,AC332,AC340)+SUM(AC436,AC28,#REF!,AC36,AC68,#REF!,AC124,AC132,AC140,AC156,AC164,AC172,AC180,AC188,AC196,#REF!,#REF!)</f>
        <v>#REF!</v>
      </c>
      <c r="AD470" s="24" t="e">
        <f>SUM(#REF!,AD404,AD92,#REF!,AD60,AD76,AD84,AD356,AD364,AD452,AD204,AD212,AD220,AD412,AD420,AD428,AD20,AD324,AD332,AD340)+SUM(AD436,AD28,#REF!,AD36,AD68,#REF!,AD124,AD132,AD140,AD156,AD164,AD172,AD180,AD188,AD196,#REF!,#REF!)</f>
        <v>#REF!</v>
      </c>
      <c r="AE470" s="24" t="e">
        <f>SUM(#REF!,AE404,AE92,#REF!,AE60,AE76,AE84,AE356,AE364,AE452,AE204,AE212,AE220,AE412,AE420,AE428,AE20,AE324,AE332,AE340)+SUM(AE436,AE28,#REF!,AE36,AE68,#REF!,AE124,AE132,AE140,AE156,AE164,AE172,AE180,AE188,AE196,#REF!,#REF!)</f>
        <v>#REF!</v>
      </c>
      <c r="AF470" s="24" t="e">
        <f>SUM(#REF!,AF404,AF92,#REF!,AF60,AF76,AF84,AF356,AF364,AF452,AF204,AF212,AF220,AF412,AF420,AF428,AF20,AF324,AF332,AF340)+SUM(AF436,AF28,#REF!,AF36,AF68,#REF!,AF124,AF132,AF140,AF156,AF164,AF172,AF180,AF188,AF196,#REF!,#REF!)</f>
        <v>#REF!</v>
      </c>
      <c r="AG470" s="24" t="e">
        <f>SUM(#REF!,AG404,AG92,#REF!,AG60,AG76,AG84,AG356,AG364,AG452,AG204,AG212,AG220,AG412,AG420,AG428,AG20,AG324,AG332,AG340)+SUM(AG436,AG28,#REF!,AG36,AG68,#REF!,AG124,AG132,AG140,AG156,AG164,AG172,AG180,AG188,AG196,#REF!,#REF!)</f>
        <v>#REF!</v>
      </c>
      <c r="AH470" s="24" t="e">
        <f>SUM(#REF!,AH404,AH92,#REF!,AH60,AH76,AH84,AH356,AH364,AH452,AH204,AH212,AH220,AH412,AH420,AH428,AH20,AH324,AH332,AH340)+SUM(AH436,AH28,#REF!,AH36,AH68,#REF!,AH124,AH132,AH140,AH156,AH164,AH172,AH180,AH188,AH196,#REF!,#REF!)</f>
        <v>#REF!</v>
      </c>
      <c r="AI470" s="24" t="e">
        <f>SUM(#REF!,AI404,AI92,#REF!,AI60,AI76,AI84,AI356,AI364,AI452,AI204,AI212,AI220,AI412,AI420,AI428,AI20,AI324,AI332,AI340)+SUM(AI436,AI28,#REF!,AI36,AI68,#REF!,AI124,AI132,AI140,AI156,AI164,AI172,AI180,AI188,AI196,#REF!,#REF!)</f>
        <v>#REF!</v>
      </c>
      <c r="AJ470" s="24" t="e">
        <f>SUM(#REF!,AJ404,AJ92,#REF!,AJ60,AJ76,AJ84,AJ356,AJ364,AJ452,AJ204,AJ212,AJ220,AJ412,AJ420,AJ428,AJ20,AJ324,AJ332,AJ340)+SUM(AJ436,AJ28,#REF!,AJ36,AJ68,#REF!,AJ124,AJ132,AJ140,AJ156,AJ164,AJ172,AJ180,AJ188,AJ196,#REF!,#REF!)</f>
        <v>#REF!</v>
      </c>
      <c r="AK470" s="24" t="e">
        <f>SUM(#REF!,AK404,AK92,#REF!,AK60,AK76,AK84,AK356,AK364,AK452,AK204,AK212,AK220,AK412,AK420,AK428,AK20,AK324,AK332,AK340)+SUM(AK436,AK28,#REF!,AK36,AK68,#REF!,AK124,AK132,AK140,AK156,AK164,AK172,AK180,AK188,AK196,#REF!,#REF!)</f>
        <v>#REF!</v>
      </c>
      <c r="AL470" s="54" t="e">
        <f>SUM(#REF!,AL404,AL92,#REF!,AL60,AL76,AL84,AL356,AL364,AL452,AL204,AL212,AL220,AL412,AL420,AL428,AL20,AL324,AL332,AL340)+SUM(AL436,AL28,#REF!,AL36,AL68,#REF!,AL124,AL132,AL140,AL156,AL164,AL172,AL180,AL188,AL196,#REF!,#REF!)</f>
        <v>#REF!</v>
      </c>
    </row>
    <row r="471" spans="1:38" ht="12.75">
      <c r="A471" s="371"/>
      <c r="B471" s="372"/>
      <c r="C471" s="372"/>
      <c r="D471" s="372"/>
      <c r="E471" s="372"/>
      <c r="F471" s="373"/>
      <c r="G471" s="83" t="s">
        <v>17</v>
      </c>
      <c r="H471" s="74" t="s">
        <v>18</v>
      </c>
      <c r="I471" s="3">
        <f>SUM(I465,I467,I469)</f>
        <v>20141113.35</v>
      </c>
      <c r="J471" s="3">
        <f>SUM(J465,J467,J469)</f>
        <v>11448047</v>
      </c>
      <c r="K471" s="3">
        <f>SUM(K465,K467,K469)</f>
        <v>7823737</v>
      </c>
      <c r="L471" s="3">
        <f>SUM(L465,L467,L469)</f>
        <v>11686947</v>
      </c>
      <c r="M471" s="4">
        <f>SUM(M465,M467,M469)</f>
        <v>27964850.35</v>
      </c>
      <c r="N471" s="149">
        <f>M471/G466</f>
        <v>0.7499916280881652</v>
      </c>
      <c r="O471" s="154" t="e">
        <f>SUM(#REF!,O405,O93,#REF!,O61,O77,O85,O357,O365,O453,O205,O213,O221,O413,O421,O429,O21,O325,O333,O341)+SUM(O437,O29,#REF!,O37,O69,#REF!,O125,O133,O141,O157,O165,O173,O181,O189,O197,#REF!,#REF!)</f>
        <v>#REF!</v>
      </c>
      <c r="P471" s="24" t="e">
        <f>SUM(#REF!,P405,P93,#REF!,P61,P77,P85,P357,P365,P453,P205,P213,P221,P413,P421,P429,P21,P325,P333,P341)+SUM(P437,P29,#REF!,P37,P69,#REF!,P125,P133,P141,P157,P165,P173,P181,P189,P197,#REF!,#REF!)</f>
        <v>#REF!</v>
      </c>
      <c r="Q471" s="24" t="e">
        <f>SUM(#REF!,Q405,Q93,#REF!,Q61,Q77,Q85,Q357,Q365,Q453,Q205,Q213,Q221,Q413,Q421,Q429,Q21,Q325,Q333,Q341)+SUM(Q437,Q29,#REF!,Q37,Q69,#REF!,Q125,Q133,Q141,Q157,Q165,Q173,Q181,Q189,Q197,#REF!,#REF!)</f>
        <v>#REF!</v>
      </c>
      <c r="R471" s="24" t="e">
        <f>SUM(#REF!,R405,R93,#REF!,R61,R77,R85,R357,R365,R453,R205,R213,R221,R413,R421,R429,R21,R325,R333,R341)+SUM(R437,R29,#REF!,R37,R69,#REF!,R125,R133,R141,R157,R165,R173,R181,R189,R197,#REF!,#REF!)</f>
        <v>#REF!</v>
      </c>
      <c r="S471" s="24" t="e">
        <f>SUM(#REF!,S405,S93,#REF!,S61,S77,S85,S357,S365,S453,S205,S213,S221,S413,S421,S429,S21,S325,S333,S341)+SUM(S437,S29,#REF!,S37,S69,#REF!,S125,S133,S141,S157,S165,S173,S181,S189,S197,#REF!,#REF!)</f>
        <v>#REF!</v>
      </c>
      <c r="T471" s="24" t="e">
        <f>SUM(#REF!,T405,T93,#REF!,T61,T77,T85,T357,T365,T453,T205,T213,T221,T413,T421,T429,T21,T325,T333,T341)+SUM(T437,T29,#REF!,T37,T69,#REF!,T125,T133,T141,T157,T165,T173,T181,T189,T197,#REF!,#REF!)</f>
        <v>#REF!</v>
      </c>
      <c r="U471" s="24" t="e">
        <f>SUM(#REF!,U405,U93,#REF!,U61,U77,U85,U357,U365,U453,U205,U213,U221,U413,U421,U429,U21,U325,U333,U341)+SUM(U437,U29,#REF!,U37,U69,#REF!,U125,U133,U141,U157,U165,U173,U181,U189,U197,#REF!,#REF!)</f>
        <v>#REF!</v>
      </c>
      <c r="V471" s="24" t="e">
        <f>SUM(#REF!,V405,V93,#REF!,V61,V77,V85,V357,V365,V453,V205,V213,V221,V413,V421,V429,V21,V325,V333,V341)+SUM(V437,V29,#REF!,V37,V69,#REF!,V125,V133,V141,V157,V165,V173,V181,V189,V197,#REF!,#REF!)</f>
        <v>#REF!</v>
      </c>
      <c r="W471" s="24" t="e">
        <f>SUM(#REF!,W405,W93,#REF!,W61,W77,W85,W357,W365,W453,W205,W213,W221,W413,W421,W429,W21,W325,W333,W341)+SUM(W437,W29,#REF!,W37,W69,#REF!,W125,W133,W141,W157,W165,W173,W181,W189,W197,#REF!,#REF!)</f>
        <v>#REF!</v>
      </c>
      <c r="X471" s="24" t="e">
        <f>SUM(#REF!,X405,X93,#REF!,X61,X77,X85,X357,X365,X453,X205,X213,X221,X413,X421,X429,X21,X325,X333,X341)+SUM(X437,X29,#REF!,X37,X69,#REF!,X125,X133,X141,X157,X165,X173,X181,X189,X197,#REF!,#REF!)</f>
        <v>#REF!</v>
      </c>
      <c r="Y471" s="24" t="e">
        <f>SUM(#REF!,Y405,Y93,#REF!,Y61,Y77,Y85,Y357,Y365,Y453,Y205,Y213,Y221,Y413,Y421,Y429,Y21,Y325,Y333,Y341)+SUM(Y437,Y29,#REF!,Y37,Y69,#REF!,Y125,Y133,Y141,Y157,Y165,Y173,Y181,Y189,Y197,#REF!,#REF!)</f>
        <v>#REF!</v>
      </c>
      <c r="Z471" s="24" t="e">
        <f>SUM(#REF!,Z405,Z93,#REF!,Z61,Z77,Z85,Z357,Z365,Z453,Z205,Z213,Z221,Z413,Z421,Z429,Z21,Z325,Z333,Z341)+SUM(Z437,Z29,#REF!,Z37,Z69,#REF!,Z125,Z133,Z141,Z157,Z165,Z173,Z181,Z189,Z197,#REF!,#REF!)</f>
        <v>#REF!</v>
      </c>
      <c r="AA471" s="24" t="e">
        <f>SUM(#REF!,AA405,AA93,#REF!,AA61,AA77,AA85,AA357,AA365,AA453,AA205,AA213,AA221,AA413,AA421,AA429,AA21,AA325,AA333,AA341)+SUM(AA437,AA29,#REF!,AA37,AA69,#REF!,AA125,AA133,AA141,AA157,AA165,AA173,AA181,AA189,AA197,#REF!,#REF!)</f>
        <v>#REF!</v>
      </c>
      <c r="AB471" s="24" t="e">
        <f>SUM(#REF!,AB405,AB93,#REF!,AB61,AB77,AB85,AB357,AB365,AB453,AB205,AB213,AB221,AB413,AB421,AB429,AB21,AB325,AB333,AB341)+SUM(AB437,AB29,#REF!,AB37,AB69,#REF!,AB125,AB133,AB141,AB157,AB165,AB173,AB181,AB189,AB197,#REF!,#REF!)</f>
        <v>#REF!</v>
      </c>
      <c r="AC471" s="24" t="e">
        <f>SUM(#REF!,AC405,AC93,#REF!,AC61,AC77,AC85,AC357,AC365,AC453,AC205,AC213,AC221,AC413,AC421,AC429,AC21,AC325,AC333,AC341)+SUM(AC437,AC29,#REF!,AC37,AC69,#REF!,AC125,AC133,AC141,AC157,AC165,AC173,AC181,AC189,AC197,#REF!,#REF!)</f>
        <v>#REF!</v>
      </c>
      <c r="AD471" s="24" t="e">
        <f>SUM(#REF!,AD405,AD93,#REF!,AD61,AD77,AD85,AD357,AD365,AD453,AD205,AD213,AD221,AD413,AD421,AD429,AD21,AD325,AD333,AD341)+SUM(AD437,AD29,#REF!,AD37,AD69,#REF!,AD125,AD133,AD141,AD157,AD165,AD173,AD181,AD189,AD197,#REF!,#REF!)</f>
        <v>#REF!</v>
      </c>
      <c r="AE471" s="24" t="e">
        <f>SUM(#REF!,AE405,AE93,#REF!,AE61,AE77,AE85,AE357,AE365,AE453,AE205,AE213,AE221,AE413,AE421,AE429,AE21,AE325,AE333,AE341)+SUM(AE437,AE29,#REF!,AE37,AE69,#REF!,AE125,AE133,AE141,AE157,AE165,AE173,AE181,AE189,AE197,#REF!,#REF!)</f>
        <v>#REF!</v>
      </c>
      <c r="AF471" s="24" t="e">
        <f>SUM(#REF!,AF405,AF93,#REF!,AF61,AF77,AF85,AF357,AF365,AF453,AF205,AF213,AF221,AF413,AF421,AF429,AF21,AF325,AF333,AF341)+SUM(AF437,AF29,#REF!,AF37,AF69,#REF!,AF125,AF133,AF141,AF157,AF165,AF173,AF181,AF189,AF197,#REF!,#REF!)</f>
        <v>#REF!</v>
      </c>
      <c r="AG471" s="24" t="e">
        <f>SUM(#REF!,AG405,AG93,#REF!,AG61,AG77,AG85,AG357,AG365,AG453,AG205,AG213,AG221,AG413,AG421,AG429,AG21,AG325,AG333,AG341)+SUM(AG437,AG29,#REF!,AG37,AG69,#REF!,AG125,AG133,AG141,AG157,AG165,AG173,AG181,AG189,AG197,#REF!,#REF!)</f>
        <v>#REF!</v>
      </c>
      <c r="AH471" s="24" t="e">
        <f>SUM(#REF!,AH405,AH93,#REF!,AH61,AH77,AH85,AH357,AH365,AH453,AH205,AH213,AH221,AH413,AH421,AH429,AH21,AH325,AH333,AH341)+SUM(AH437,AH29,#REF!,AH37,AH69,#REF!,AH125,AH133,AH141,AH157,AH165,AH173,AH181,AH189,AH197,#REF!,#REF!)</f>
        <v>#REF!</v>
      </c>
      <c r="AI471" s="24" t="e">
        <f>SUM(#REF!,AI405,AI93,#REF!,AI61,AI77,AI85,AI357,AI365,AI453,AI205,AI213,AI221,AI413,AI421,AI429,AI21,AI325,AI333,AI341)+SUM(AI437,AI29,#REF!,AI37,AI69,#REF!,AI125,AI133,AI141,AI157,AI165,AI173,AI181,AI189,AI197,#REF!,#REF!)</f>
        <v>#REF!</v>
      </c>
      <c r="AJ471" s="24" t="e">
        <f>SUM(#REF!,AJ405,AJ93,#REF!,AJ61,AJ77,AJ85,AJ357,AJ365,AJ453,AJ205,AJ213,AJ221,AJ413,AJ421,AJ429,AJ21,AJ325,AJ333,AJ341)+SUM(AJ437,AJ29,#REF!,AJ37,AJ69,#REF!,AJ125,AJ133,AJ141,AJ157,AJ165,AJ173,AJ181,AJ189,AJ197,#REF!,#REF!)</f>
        <v>#REF!</v>
      </c>
      <c r="AK471" s="24" t="e">
        <f>SUM(#REF!,AK405,AK93,#REF!,AK61,AK77,AK85,AK357,AK365,AK453,AK205,AK213,AK221,AK413,AK421,AK429,AK21,AK325,AK333,AK341)+SUM(AK437,AK29,#REF!,AK37,AK69,#REF!,AK125,AK133,AK141,AK157,AK165,AK173,AK181,AK189,AK197,#REF!,#REF!)</f>
        <v>#REF!</v>
      </c>
      <c r="AL471" s="54" t="e">
        <f>SUM(#REF!,AL405,AL93,#REF!,AL61,AL77,AL85,AL357,AL365,AL453,AL205,AL213,AL221,AL413,AL421,AL429,AL21,AL325,AL333,AL341)+SUM(AL437,AL29,#REF!,AL37,AL69,#REF!,AL125,AL133,AL141,AL157,AL165,AL173,AL181,AL189,AL197,#REF!,#REF!)</f>
        <v>#REF!</v>
      </c>
    </row>
    <row r="472" spans="1:38" ht="13.5" thickBot="1">
      <c r="A472" s="374"/>
      <c r="B472" s="375"/>
      <c r="C472" s="375"/>
      <c r="D472" s="375"/>
      <c r="E472" s="375"/>
      <c r="F472" s="376"/>
      <c r="G472" s="85">
        <v>37413177.35</v>
      </c>
      <c r="H472" s="75" t="s">
        <v>19</v>
      </c>
      <c r="I472" s="76">
        <f aca="true" t="shared" si="110" ref="I472:I484">SUM(I466,I468,I470)</f>
        <v>126294</v>
      </c>
      <c r="J472" s="76">
        <f>SUM(J466,J468,J470)</f>
        <v>0</v>
      </c>
      <c r="K472" s="76">
        <f>SUM(K466,K468,K470)</f>
        <v>0</v>
      </c>
      <c r="L472" s="76">
        <f>SUM(L466,L468,L470)</f>
        <v>0</v>
      </c>
      <c r="M472" s="152">
        <f>SUM(M466,M468,M470)</f>
        <v>126294</v>
      </c>
      <c r="N472" s="150">
        <f>M472/G469</f>
        <v>1</v>
      </c>
      <c r="O472" s="155" t="e">
        <f>SUM(#REF!,O406,O94,#REF!,O62,O78,O86,O358,O366,O454,O206,O214,O222,O414,O422,O430,O22,O326,O334,O342)+SUM(O438,O30,#REF!,O38,O70,#REF!,O126,O134,O142,O158,O166,O174,O182,O190,O198,#REF!,#REF!)</f>
        <v>#REF!</v>
      </c>
      <c r="P472" s="40" t="e">
        <f>SUM(#REF!,P406,P94,#REF!,P62,P78,P86,P358,P366,P454,P206,P214,P222,P414,P422,P430,P22,P326,P334,P342)+SUM(P438,P30,#REF!,P38,P70,#REF!,P126,P134,P142,P158,P166,P174,P182,P190,P198,#REF!,#REF!)</f>
        <v>#REF!</v>
      </c>
      <c r="Q472" s="40" t="e">
        <f>SUM(#REF!,Q406,Q94,#REF!,Q62,Q78,Q86,Q358,Q366,Q454,Q206,Q214,Q222,Q414,Q422,Q430,Q22,Q326,Q334,Q342)+SUM(Q438,Q30,#REF!,Q38,Q70,#REF!,Q126,Q134,Q142,Q158,Q166,Q174,Q182,Q190,Q198,#REF!,#REF!)</f>
        <v>#REF!</v>
      </c>
      <c r="R472" s="40" t="e">
        <f>SUM(#REF!,R406,R94,#REF!,R62,R78,R86,R358,R366,R454,R206,R214,R222,R414,R422,R430,R22,R326,R334,R342)+SUM(R438,R30,#REF!,R38,R70,#REF!,R126,R134,R142,R158,R166,R174,R182,R190,R198,#REF!,#REF!)</f>
        <v>#REF!</v>
      </c>
      <c r="S472" s="40" t="e">
        <f>SUM(#REF!,S406,S94,#REF!,S62,S78,S86,S358,S366,S454,S206,S214,S222,S414,S422,S430,S22,S326,S334,S342)+SUM(S438,S30,#REF!,S38,S70,#REF!,S126,S134,S142,S158,S166,S174,S182,S190,S198,#REF!,#REF!)</f>
        <v>#REF!</v>
      </c>
      <c r="T472" s="40" t="e">
        <f>SUM(#REF!,T406,T94,#REF!,T62,T78,T86,T358,T366,T454,T206,T214,T222,T414,T422,T430,T22,T326,T334,T342)+SUM(T438,T30,#REF!,T38,T70,#REF!,T126,T134,T142,T158,T166,T174,T182,T190,T198,#REF!,#REF!)</f>
        <v>#REF!</v>
      </c>
      <c r="U472" s="40" t="e">
        <f>SUM(#REF!,U406,U94,#REF!,U62,U78,U86,U358,U366,U454,U206,U214,U222,U414,U422,U430,U22,U326,U334,U342)+SUM(U438,U30,#REF!,U38,U70,#REF!,U126,U134,U142,U158,U166,U174,U182,U190,U198,#REF!,#REF!)</f>
        <v>#REF!</v>
      </c>
      <c r="V472" s="40" t="e">
        <f>SUM(#REF!,V406,V94,#REF!,V62,V78,V86,V358,V366,V454,V206,V214,V222,V414,V422,V430,V22,V326,V334,V342)+SUM(V438,V30,#REF!,V38,V70,#REF!,V126,V134,V142,V158,V166,V174,V182,V190,V198,#REF!,#REF!)</f>
        <v>#REF!</v>
      </c>
      <c r="W472" s="40" t="e">
        <f>SUM(#REF!,W406,W94,#REF!,W62,W78,W86,W358,W366,W454,W206,W214,W222,W414,W422,W430,W22,W326,W334,W342)+SUM(W438,W30,#REF!,W38,W70,#REF!,W126,W134,W142,W158,W166,W174,W182,W190,W198,#REF!,#REF!)</f>
        <v>#REF!</v>
      </c>
      <c r="X472" s="40" t="e">
        <f>SUM(#REF!,X406,X94,#REF!,X62,X78,X86,X358,X366,X454,X206,X214,X222,X414,X422,X430,X22,X326,X334,X342)+SUM(X438,X30,#REF!,X38,X70,#REF!,X126,X134,X142,X158,X166,X174,X182,X190,X198,#REF!,#REF!)</f>
        <v>#REF!</v>
      </c>
      <c r="Y472" s="40" t="e">
        <f>SUM(#REF!,Y406,Y94,#REF!,Y62,Y78,Y86,Y358,Y366,Y454,Y206,Y214,Y222,Y414,Y422,Y430,Y22,Y326,Y334,Y342)+SUM(Y438,Y30,#REF!,Y38,Y70,#REF!,Y126,Y134,Y142,Y158,Y166,Y174,Y182,Y190,Y198,#REF!,#REF!)</f>
        <v>#REF!</v>
      </c>
      <c r="Z472" s="40" t="e">
        <f>SUM(#REF!,Z406,Z94,#REF!,Z62,Z78,Z86,Z358,Z366,Z454,Z206,Z214,Z222,Z414,Z422,Z430,Z22,Z326,Z334,Z342)+SUM(Z438,Z30,#REF!,Z38,Z70,#REF!,Z126,Z134,Z142,Z158,Z166,Z174,Z182,Z190,Z198,#REF!,#REF!)</f>
        <v>#REF!</v>
      </c>
      <c r="AA472" s="40" t="e">
        <f>SUM(#REF!,AA406,AA94,#REF!,AA62,AA78,AA86,AA358,AA366,AA454,AA206,AA214,AA222,AA414,AA422,AA430,AA22,AA326,AA334,AA342)+SUM(AA438,AA30,#REF!,AA38,AA70,#REF!,AA126,AA134,AA142,AA158,AA166,AA174,AA182,AA190,AA198,#REF!,#REF!)</f>
        <v>#REF!</v>
      </c>
      <c r="AB472" s="40" t="e">
        <f>SUM(#REF!,AB406,AB94,#REF!,AB62,AB78,AB86,AB358,AB366,AB454,AB206,AB214,AB222,AB414,AB422,AB430,AB22,AB326,AB334,AB342)+SUM(AB438,AB30,#REF!,AB38,AB70,#REF!,AB126,AB134,AB142,AB158,AB166,AB174,AB182,AB190,AB198,#REF!,#REF!)</f>
        <v>#REF!</v>
      </c>
      <c r="AC472" s="40" t="e">
        <f>SUM(#REF!,AC406,AC94,#REF!,AC62,AC78,AC86,AC358,AC366,AC454,AC206,AC214,AC222,AC414,AC422,AC430,AC22,AC326,AC334,AC342)+SUM(AC438,AC30,#REF!,AC38,AC70,#REF!,AC126,AC134,AC142,AC158,AC166,AC174,AC182,AC190,AC198,#REF!,#REF!)</f>
        <v>#REF!</v>
      </c>
      <c r="AD472" s="40" t="e">
        <f>SUM(#REF!,AD406,AD94,#REF!,AD62,AD78,AD86,AD358,AD366,AD454,AD206,AD214,AD222,AD414,AD422,AD430,AD22,AD326,AD334,AD342)+SUM(AD438,AD30,#REF!,AD38,AD70,#REF!,AD126,AD134,AD142,AD158,AD166,AD174,AD182,AD190,AD198,#REF!,#REF!)</f>
        <v>#REF!</v>
      </c>
      <c r="AE472" s="40" t="e">
        <f>SUM(#REF!,AE406,AE94,#REF!,AE62,AE78,AE86,AE358,AE366,AE454,AE206,AE214,AE222,AE414,AE422,AE430,AE22,AE326,AE334,AE342)+SUM(AE438,AE30,#REF!,AE38,AE70,#REF!,AE126,AE134,AE142,AE158,AE166,AE174,AE182,AE190,AE198,#REF!,#REF!)</f>
        <v>#REF!</v>
      </c>
      <c r="AF472" s="40" t="e">
        <f>SUM(#REF!,AF406,AF94,#REF!,AF62,AF78,AF86,AF358,AF366,AF454,AF206,AF214,AF222,AF414,AF422,AF430,AF22,AF326,AF334,AF342)+SUM(AF438,AF30,#REF!,AF38,AF70,#REF!,AF126,AF134,AF142,AF158,AF166,AF174,AF182,AF190,AF198,#REF!,#REF!)</f>
        <v>#REF!</v>
      </c>
      <c r="AG472" s="40" t="e">
        <f>SUM(#REF!,AG406,AG94,#REF!,AG62,AG78,AG86,AG358,AG366,AG454,AG206,AG214,AG222,AG414,AG422,AG430,AG22,AG326,AG334,AG342)+SUM(AG438,AG30,#REF!,AG38,AG70,#REF!,AG126,AG134,AG142,AG158,AG166,AG174,AG182,AG190,AG198,#REF!,#REF!)</f>
        <v>#REF!</v>
      </c>
      <c r="AH472" s="40" t="e">
        <f>SUM(#REF!,AH406,AH94,#REF!,AH62,AH78,AH86,AH358,AH366,AH454,AH206,AH214,AH222,AH414,AH422,AH430,AH22,AH326,AH334,AH342)+SUM(AH438,AH30,#REF!,AH38,AH70,#REF!,AH126,AH134,AH142,AH158,AH166,AH174,AH182,AH190,AH198,#REF!,#REF!)</f>
        <v>#REF!</v>
      </c>
      <c r="AI472" s="40" t="e">
        <f>SUM(#REF!,AI406,AI94,#REF!,AI62,AI78,AI86,AI358,AI366,AI454,AI206,AI214,AI222,AI414,AI422,AI430,AI22,AI326,AI334,AI342)+SUM(AI438,AI30,#REF!,AI38,AI70,#REF!,AI126,AI134,AI142,AI158,AI166,AI174,AI182,AI190,AI198,#REF!,#REF!)</f>
        <v>#REF!</v>
      </c>
      <c r="AJ472" s="40" t="e">
        <f>SUM(#REF!,AJ406,AJ94,#REF!,AJ62,AJ78,AJ86,AJ358,AJ366,AJ454,AJ206,AJ214,AJ222,AJ414,AJ422,AJ430,AJ22,AJ326,AJ334,AJ342)+SUM(AJ438,AJ30,#REF!,AJ38,AJ70,#REF!,AJ126,AJ134,AJ142,AJ158,AJ166,AJ174,AJ182,AJ190,AJ198,#REF!,#REF!)</f>
        <v>#REF!</v>
      </c>
      <c r="AK472" s="40" t="e">
        <f>SUM(#REF!,AK406,AK94,#REF!,AK62,AK78,AK86,AK358,AK366,AK454,AK206,AK214,AK222,AK414,AK422,AK430,AK22,AK326,AK334,AK342)+SUM(AK438,AK30,#REF!,AK38,AK70,#REF!,AK126,AK134,AK142,AK158,AK166,AK174,AK182,AK190,AK198,#REF!,#REF!)</f>
        <v>#REF!</v>
      </c>
      <c r="AL472" s="41" t="e">
        <f>SUM(#REF!,AL406,AL94,#REF!,AL62,AL78,AL86,AL358,AL366,AL454,AL206,AL214,AL222,AL414,AL422,AL430,AL22,AL326,AL334,AL342)+SUM(AL438,AL30,#REF!,AL38,AL70,#REF!,AL126,AL134,AL142,AL158,AL166,AL174,AL182,AL190,AL198,#REF!,#REF!)</f>
        <v>#REF!</v>
      </c>
    </row>
    <row r="473" spans="1:38" ht="12.75" customHeight="1" hidden="1">
      <c r="A473" s="377"/>
      <c r="B473" s="364"/>
      <c r="C473" s="365"/>
      <c r="D473" s="366"/>
      <c r="E473" s="174"/>
      <c r="F473" s="367"/>
      <c r="G473" s="378"/>
      <c r="H473" s="47"/>
      <c r="I473" s="25">
        <f t="shared" si="110"/>
        <v>20528173.35</v>
      </c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</row>
    <row r="474" spans="1:38" ht="12.75" customHeight="1" hidden="1">
      <c r="A474" s="377"/>
      <c r="B474" s="364"/>
      <c r="C474" s="365"/>
      <c r="D474" s="366"/>
      <c r="E474" s="174"/>
      <c r="F474" s="367"/>
      <c r="G474" s="213"/>
      <c r="H474" s="47"/>
      <c r="I474" s="24">
        <f t="shared" si="110"/>
        <v>126294</v>
      </c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</row>
    <row r="475" spans="1:38" ht="12.75" customHeight="1" hidden="1">
      <c r="A475" s="377"/>
      <c r="B475" s="364"/>
      <c r="C475" s="365"/>
      <c r="D475" s="366"/>
      <c r="E475" s="174"/>
      <c r="F475" s="367"/>
      <c r="G475" s="31"/>
      <c r="H475" s="112" t="s">
        <v>10</v>
      </c>
      <c r="I475" s="24">
        <f t="shared" si="110"/>
        <v>41056346.7</v>
      </c>
      <c r="J475" s="24">
        <f>J465-'[1]zał. nr 2 do URM cz. 3'!I472</f>
        <v>-596251</v>
      </c>
      <c r="K475" s="24">
        <f>K465-'[1]zał. nr 2 do URM cz. 3'!J472</f>
        <v>422926</v>
      </c>
      <c r="L475" s="24">
        <f>L465-'[1]zał. nr 2 do URM cz. 3'!K472</f>
        <v>9342450</v>
      </c>
      <c r="M475" s="24">
        <f>M465-'[1]zał. nr 2 do URM cz. 3'!L472</f>
        <v>26012748.35</v>
      </c>
      <c r="N475" s="24">
        <f>N465-'[1]zał. nr 2 do URM cz. 3'!M472</f>
        <v>-184800</v>
      </c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</row>
    <row r="476" spans="1:38" ht="12.75" customHeight="1" hidden="1">
      <c r="A476" s="377"/>
      <c r="B476" s="364"/>
      <c r="C476" s="365"/>
      <c r="D476" s="366"/>
      <c r="E476" s="174"/>
      <c r="F476" s="367"/>
      <c r="G476" s="31"/>
      <c r="H476" s="113" t="s">
        <v>11</v>
      </c>
      <c r="I476" s="24">
        <f t="shared" si="110"/>
        <v>252588</v>
      </c>
      <c r="J476" s="24">
        <f>J466-'[1]zał. nr 2 do URM cz. 3'!I473</f>
        <v>-30000</v>
      </c>
      <c r="K476" s="24">
        <f>K466-'[1]zał. nr 2 do URM cz. 3'!J473</f>
        <v>0</v>
      </c>
      <c r="L476" s="24">
        <f>L466-'[1]zał. nr 2 do URM cz. 3'!K473</f>
        <v>0</v>
      </c>
      <c r="M476" s="24">
        <f>M466-'[1]zał. nr 2 do URM cz. 3'!L473</f>
        <v>126294</v>
      </c>
      <c r="N476" s="24">
        <f>N466-'[1]zał. nr 2 do URM cz. 3'!M473</f>
        <v>0</v>
      </c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</row>
    <row r="477" spans="1:38" ht="12.75" customHeight="1" hidden="1">
      <c r="A477" s="377"/>
      <c r="B477" s="364"/>
      <c r="C477" s="365"/>
      <c r="D477" s="366"/>
      <c r="E477" s="174"/>
      <c r="F477" s="52"/>
      <c r="G477" s="31" t="s">
        <v>46</v>
      </c>
      <c r="H477" s="113" t="s">
        <v>12</v>
      </c>
      <c r="I477" s="24">
        <f t="shared" si="110"/>
        <v>81725633.4</v>
      </c>
      <c r="J477" s="24">
        <f>J467-'[1]zał. nr 2 do URM cz. 3'!I474</f>
        <v>0</v>
      </c>
      <c r="K477" s="24">
        <f>K467-'[1]zał. nr 2 do URM cz. 3'!J474</f>
        <v>0</v>
      </c>
      <c r="L477" s="24">
        <f>L467-'[1]zał. nr 2 do URM cz. 3'!K474</f>
        <v>0</v>
      </c>
      <c r="M477" s="24">
        <f>M467-'[1]zał. nr 2 do URM cz. 3'!L474</f>
        <v>0</v>
      </c>
      <c r="N477" s="24">
        <f>N467-'[1]zał. nr 2 do URM cz. 3'!M474</f>
        <v>0</v>
      </c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</row>
    <row r="478" spans="1:38" ht="12.75" customHeight="1" hidden="1">
      <c r="A478" s="377"/>
      <c r="B478" s="364"/>
      <c r="C478" s="365"/>
      <c r="D478" s="366"/>
      <c r="E478" s="174"/>
      <c r="F478" s="367"/>
      <c r="G478" s="343"/>
      <c r="H478" s="113" t="s">
        <v>14</v>
      </c>
      <c r="I478" s="24">
        <f t="shared" si="110"/>
        <v>505176</v>
      </c>
      <c r="J478" s="24">
        <f>J468-'[1]zał. nr 2 do URM cz. 3'!I475</f>
        <v>0</v>
      </c>
      <c r="K478" s="24">
        <f>K468-'[1]zał. nr 2 do URM cz. 3'!J475</f>
        <v>0</v>
      </c>
      <c r="L478" s="24">
        <f>L468-'[1]zał. nr 2 do URM cz. 3'!K475</f>
        <v>0</v>
      </c>
      <c r="M478" s="24">
        <f>M468-'[1]zał. nr 2 do URM cz. 3'!L475</f>
        <v>0</v>
      </c>
      <c r="N478" s="24">
        <f>N468-'[1]zał. nr 2 do URM cz. 3'!M475</f>
        <v>0</v>
      </c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</row>
    <row r="479" spans="1:38" ht="12.75" customHeight="1" hidden="1">
      <c r="A479" s="377"/>
      <c r="B479" s="364"/>
      <c r="C479" s="365"/>
      <c r="D479" s="366"/>
      <c r="E479" s="174"/>
      <c r="F479" s="367"/>
      <c r="G479" s="343"/>
      <c r="H479" s="113" t="s">
        <v>15</v>
      </c>
      <c r="I479" s="24">
        <f t="shared" si="110"/>
        <v>143310153.45000002</v>
      </c>
      <c r="J479" s="24">
        <f>J469-'[1]zał. nr 2 do URM cz. 3'!I476</f>
        <v>-344068</v>
      </c>
      <c r="K479" s="24">
        <f>K469-'[1]zał. nr 2 do URM cz. 3'!J476</f>
        <v>-4892</v>
      </c>
      <c r="L479" s="24">
        <f>L469-'[1]zał. nr 2 do URM cz. 3'!K476</f>
        <v>32763</v>
      </c>
      <c r="M479" s="24">
        <f>M469-'[1]zał. nr 2 do URM cz. 3'!L476</f>
        <v>398724</v>
      </c>
      <c r="N479" s="24">
        <f>N469-'[1]zał. nr 2 do URM cz. 3'!M476</f>
        <v>0</v>
      </c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</row>
    <row r="480" spans="1:38" ht="12.75" customHeight="1" hidden="1">
      <c r="A480" s="377"/>
      <c r="B480" s="364"/>
      <c r="C480" s="365"/>
      <c r="D480" s="366"/>
      <c r="E480" s="174"/>
      <c r="F480" s="367"/>
      <c r="G480" s="31"/>
      <c r="H480" s="113" t="s">
        <v>16</v>
      </c>
      <c r="I480" s="24">
        <f t="shared" si="110"/>
        <v>884058</v>
      </c>
      <c r="J480" s="24">
        <f>J470-'[1]zał. nr 2 do URM cz. 3'!I477</f>
        <v>0</v>
      </c>
      <c r="K480" s="24">
        <f>K470-'[1]zał. nr 2 do URM cz. 3'!J477</f>
        <v>0</v>
      </c>
      <c r="L480" s="24">
        <f>L470-'[1]zał. nr 2 do URM cz. 3'!K477</f>
        <v>0</v>
      </c>
      <c r="M480" s="24">
        <f>M470-'[1]zał. nr 2 do URM cz. 3'!L477</f>
        <v>0</v>
      </c>
      <c r="N480" s="24">
        <f>N470-'[1]zał. nr 2 do URM cz. 3'!M477</f>
        <v>0</v>
      </c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</row>
    <row r="481" spans="1:38" ht="12.75" customHeight="1" hidden="1">
      <c r="A481" s="377"/>
      <c r="B481" s="364"/>
      <c r="C481" s="365"/>
      <c r="D481" s="366"/>
      <c r="E481" s="174"/>
      <c r="F481" s="367"/>
      <c r="G481" s="31"/>
      <c r="H481" s="113" t="s">
        <v>18</v>
      </c>
      <c r="I481" s="24">
        <f t="shared" si="110"/>
        <v>266092133.55</v>
      </c>
      <c r="J481" s="24">
        <f>J471-'[1]zał. nr 2 do URM cz. 3'!I478</f>
        <v>-940319</v>
      </c>
      <c r="K481" s="24">
        <f>K471-'[1]zał. nr 2 do URM cz. 3'!J478</f>
        <v>418034</v>
      </c>
      <c r="L481" s="24">
        <f>L471-'[1]zał. nr 2 do URM cz. 3'!K478</f>
        <v>9375213</v>
      </c>
      <c r="M481" s="24">
        <f>M471-'[1]zał. nr 2 do URM cz. 3'!L478</f>
        <v>26411472.35</v>
      </c>
      <c r="N481" s="24">
        <f>N471-'[1]zał. nr 2 do URM cz. 3'!M478</f>
        <v>-184799.25000837192</v>
      </c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</row>
    <row r="482" spans="1:38" ht="13.5" customHeight="1" hidden="1" thickBot="1">
      <c r="A482" s="206"/>
      <c r="B482" s="49"/>
      <c r="C482" s="50"/>
      <c r="D482" s="51"/>
      <c r="E482" s="174"/>
      <c r="F482" s="52"/>
      <c r="G482" s="31"/>
      <c r="H482" s="114" t="s">
        <v>19</v>
      </c>
      <c r="I482" s="24">
        <f t="shared" si="110"/>
        <v>1641822</v>
      </c>
      <c r="J482" s="24">
        <f>J472-'[1]zał. nr 2 do URM cz. 3'!I479</f>
        <v>-30000</v>
      </c>
      <c r="K482" s="24">
        <f>K472-'[1]zał. nr 2 do URM cz. 3'!J479</f>
        <v>0</v>
      </c>
      <c r="L482" s="24">
        <f>L472-'[1]zał. nr 2 do URM cz. 3'!K479</f>
        <v>0</v>
      </c>
      <c r="M482" s="24">
        <f>M472-'[1]zał. nr 2 do URM cz. 3'!L479</f>
        <v>126294</v>
      </c>
      <c r="N482" s="24">
        <f>N472-'[1]zał. nr 2 do URM cz. 3'!M479</f>
        <v>1</v>
      </c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</row>
    <row r="483" spans="1:38" ht="12.75" customHeight="1" hidden="1">
      <c r="A483" s="206"/>
      <c r="B483" s="49"/>
      <c r="C483" s="50"/>
      <c r="D483" s="51"/>
      <c r="E483" s="174"/>
      <c r="F483" s="52"/>
      <c r="G483" s="213"/>
      <c r="H483" s="47"/>
      <c r="I483" s="24">
        <f t="shared" si="110"/>
        <v>491127920.40000004</v>
      </c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</row>
    <row r="484" spans="1:38" ht="12.75" customHeight="1" hidden="1">
      <c r="A484" s="206"/>
      <c r="B484" s="49"/>
      <c r="C484" s="50"/>
      <c r="D484" s="51"/>
      <c r="E484" s="174"/>
      <c r="F484" s="52"/>
      <c r="G484" s="213"/>
      <c r="H484" s="47"/>
      <c r="I484" s="24">
        <f t="shared" si="110"/>
        <v>3031056</v>
      </c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</row>
    <row r="485" spans="1:38" ht="12.75">
      <c r="A485" s="206"/>
      <c r="B485" s="49"/>
      <c r="C485" s="50"/>
      <c r="D485" s="51"/>
      <c r="E485" s="174"/>
      <c r="F485" s="52"/>
      <c r="G485" s="31"/>
      <c r="H485" s="47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</row>
    <row r="486" spans="1:38" ht="12.75">
      <c r="A486" s="338" t="s">
        <v>227</v>
      </c>
      <c r="B486" s="49"/>
      <c r="C486" s="50"/>
      <c r="D486" s="51"/>
      <c r="E486" s="174"/>
      <c r="F486" s="52"/>
      <c r="G486" s="213"/>
      <c r="H486" s="47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</row>
    <row r="487" spans="1:38" ht="12.75">
      <c r="A487" s="206"/>
      <c r="B487" s="49"/>
      <c r="C487" s="50"/>
      <c r="D487" s="51"/>
      <c r="E487" s="174"/>
      <c r="F487" s="52"/>
      <c r="G487" s="213"/>
      <c r="H487" s="47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</row>
    <row r="488" spans="1:38" ht="12.75">
      <c r="A488" s="206"/>
      <c r="B488" s="49"/>
      <c r="C488" s="50"/>
      <c r="D488" s="51"/>
      <c r="E488" s="174"/>
      <c r="F488" s="52"/>
      <c r="G488" s="31"/>
      <c r="H488" s="47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</row>
    <row r="489" spans="1:38" ht="12.75">
      <c r="A489" s="206"/>
      <c r="B489" s="49"/>
      <c r="C489" s="50"/>
      <c r="D489" s="51"/>
      <c r="E489" s="174"/>
      <c r="F489" s="52"/>
      <c r="G489" s="31"/>
      <c r="H489" s="47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</row>
    <row r="490" spans="1:38" ht="12.75">
      <c r="A490" s="206"/>
      <c r="B490" s="49"/>
      <c r="C490" s="50"/>
      <c r="D490" s="51"/>
      <c r="E490" s="174"/>
      <c r="F490" s="52"/>
      <c r="G490" s="31"/>
      <c r="H490" s="47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</row>
    <row r="491" spans="1:38" ht="12.75">
      <c r="A491" s="206"/>
      <c r="B491" s="49"/>
      <c r="C491" s="50"/>
      <c r="D491" s="51"/>
      <c r="E491" s="174"/>
      <c r="F491" s="52"/>
      <c r="G491" s="31"/>
      <c r="H491" s="47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</row>
    <row r="492" spans="1:38" ht="12.75">
      <c r="A492" s="206"/>
      <c r="B492" s="49"/>
      <c r="C492" s="50"/>
      <c r="D492" s="51"/>
      <c r="E492" s="174"/>
      <c r="F492" s="52"/>
      <c r="G492" s="213"/>
      <c r="H492" s="47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</row>
    <row r="493" spans="1:38" ht="12.75">
      <c r="A493" s="206"/>
      <c r="B493" s="49"/>
      <c r="C493" s="50"/>
      <c r="D493" s="51"/>
      <c r="E493" s="174"/>
      <c r="F493" s="52"/>
      <c r="G493" s="213"/>
      <c r="H493" s="47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</row>
    <row r="494" spans="1:38" ht="12.75">
      <c r="A494" s="206"/>
      <c r="B494" s="49"/>
      <c r="C494" s="50"/>
      <c r="D494" s="51"/>
      <c r="E494" s="174"/>
      <c r="F494" s="52"/>
      <c r="G494" s="31"/>
      <c r="H494" s="47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</row>
    <row r="495" spans="1:38" ht="12.75">
      <c r="A495" s="206"/>
      <c r="B495" s="49"/>
      <c r="C495" s="50"/>
      <c r="D495" s="51"/>
      <c r="E495" s="174"/>
      <c r="F495" s="52"/>
      <c r="G495" s="213"/>
      <c r="H495" s="47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</row>
    <row r="496" spans="1:38" ht="12.75">
      <c r="A496" s="206"/>
      <c r="B496" s="49"/>
      <c r="C496" s="50"/>
      <c r="D496" s="51"/>
      <c r="E496" s="174"/>
      <c r="F496" s="52"/>
      <c r="G496" s="213"/>
      <c r="H496" s="47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</row>
    <row r="497" spans="1:38" ht="12.75">
      <c r="A497" s="206"/>
      <c r="B497" s="49"/>
      <c r="C497" s="50"/>
      <c r="D497" s="51"/>
      <c r="E497" s="174"/>
      <c r="F497" s="52"/>
      <c r="G497" s="31"/>
      <c r="H497" s="47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</row>
    <row r="498" spans="1:38" ht="12.75">
      <c r="A498" s="206"/>
      <c r="B498" s="49"/>
      <c r="C498" s="50"/>
      <c r="D498" s="51"/>
      <c r="E498" s="174"/>
      <c r="F498" s="52"/>
      <c r="G498" s="31"/>
      <c r="H498" s="47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</row>
  </sheetData>
  <sheetProtection/>
  <mergeCells count="490">
    <mergeCell ref="F459:F462"/>
    <mergeCell ref="G459:G460"/>
    <mergeCell ref="G48:G49"/>
    <mergeCell ref="A47:A54"/>
    <mergeCell ref="B47:B54"/>
    <mergeCell ref="C47:C54"/>
    <mergeCell ref="D47:D54"/>
    <mergeCell ref="F455:F458"/>
    <mergeCell ref="A455:A462"/>
    <mergeCell ref="B455:B462"/>
    <mergeCell ref="G43:G44"/>
    <mergeCell ref="F35:F38"/>
    <mergeCell ref="G35:G36"/>
    <mergeCell ref="C455:C462"/>
    <mergeCell ref="D455:D462"/>
    <mergeCell ref="F51:F54"/>
    <mergeCell ref="D175:D182"/>
    <mergeCell ref="D191:D198"/>
    <mergeCell ref="C335:C342"/>
    <mergeCell ref="D335:D342"/>
    <mergeCell ref="G440:G441"/>
    <mergeCell ref="F443:F446"/>
    <mergeCell ref="G443:G444"/>
    <mergeCell ref="F11:F14"/>
    <mergeCell ref="G11:G12"/>
    <mergeCell ref="F47:F50"/>
    <mergeCell ref="F31:F34"/>
    <mergeCell ref="G32:G33"/>
    <mergeCell ref="F39:F42"/>
    <mergeCell ref="F43:F46"/>
    <mergeCell ref="B439:B446"/>
    <mergeCell ref="C439:C446"/>
    <mergeCell ref="D439:D446"/>
    <mergeCell ref="F439:F442"/>
    <mergeCell ref="A39:A46"/>
    <mergeCell ref="A55:A62"/>
    <mergeCell ref="A63:A70"/>
    <mergeCell ref="A439:A446"/>
    <mergeCell ref="A79:A86"/>
    <mergeCell ref="A103:A110"/>
    <mergeCell ref="A111:A118"/>
    <mergeCell ref="A143:A150"/>
    <mergeCell ref="A151:A158"/>
    <mergeCell ref="A191:A198"/>
    <mergeCell ref="C55:C62"/>
    <mergeCell ref="D55:D62"/>
    <mergeCell ref="C71:C78"/>
    <mergeCell ref="D71:D78"/>
    <mergeCell ref="C63:C70"/>
    <mergeCell ref="D63:D70"/>
    <mergeCell ref="B71:B78"/>
    <mergeCell ref="A71:A78"/>
    <mergeCell ref="A87:A94"/>
    <mergeCell ref="A95:A102"/>
    <mergeCell ref="B359:B366"/>
    <mergeCell ref="C431:C438"/>
    <mergeCell ref="D431:D438"/>
    <mergeCell ref="B399:B406"/>
    <mergeCell ref="B423:B430"/>
    <mergeCell ref="C399:C406"/>
    <mergeCell ref="D399:D406"/>
    <mergeCell ref="B415:B422"/>
    <mergeCell ref="A447:A454"/>
    <mergeCell ref="F147:F150"/>
    <mergeCell ref="F347:F350"/>
    <mergeCell ref="A423:A430"/>
    <mergeCell ref="A343:A350"/>
    <mergeCell ref="B343:B350"/>
    <mergeCell ref="A431:A438"/>
    <mergeCell ref="C343:C350"/>
    <mergeCell ref="D343:D350"/>
    <mergeCell ref="B407:B414"/>
    <mergeCell ref="B143:B150"/>
    <mergeCell ref="C143:C150"/>
    <mergeCell ref="D151:D158"/>
    <mergeCell ref="D143:D150"/>
    <mergeCell ref="B151:B158"/>
    <mergeCell ref="C151:C158"/>
    <mergeCell ref="B175:B182"/>
    <mergeCell ref="C175:C182"/>
    <mergeCell ref="A183:A190"/>
    <mergeCell ref="B183:B190"/>
    <mergeCell ref="A175:A182"/>
    <mergeCell ref="C191:C198"/>
    <mergeCell ref="B191:B198"/>
    <mergeCell ref="H4:H5"/>
    <mergeCell ref="I4:I5"/>
    <mergeCell ref="C183:C190"/>
    <mergeCell ref="F71:F74"/>
    <mergeCell ref="F23:F26"/>
    <mergeCell ref="G51:G52"/>
    <mergeCell ref="F4:F5"/>
    <mergeCell ref="G4:G5"/>
    <mergeCell ref="A119:A126"/>
    <mergeCell ref="B119:B126"/>
    <mergeCell ref="C119:C126"/>
    <mergeCell ref="D135:D142"/>
    <mergeCell ref="A135:A142"/>
    <mergeCell ref="B135:B142"/>
    <mergeCell ref="C135:C142"/>
    <mergeCell ref="A127:A134"/>
    <mergeCell ref="B127:B134"/>
    <mergeCell ref="C127:C134"/>
    <mergeCell ref="A4:A5"/>
    <mergeCell ref="B4:B5"/>
    <mergeCell ref="C4:C5"/>
    <mergeCell ref="D4:D5"/>
    <mergeCell ref="A31:A38"/>
    <mergeCell ref="F391:F394"/>
    <mergeCell ref="F255:F258"/>
    <mergeCell ref="F263:F266"/>
    <mergeCell ref="F303:F306"/>
    <mergeCell ref="F359:F362"/>
    <mergeCell ref="F283:F286"/>
    <mergeCell ref="F291:F294"/>
    <mergeCell ref="F299:F302"/>
    <mergeCell ref="F271:F274"/>
    <mergeCell ref="C207:C214"/>
    <mergeCell ref="D327:D334"/>
    <mergeCell ref="C319:C326"/>
    <mergeCell ref="D223:D230"/>
    <mergeCell ref="C231:C238"/>
    <mergeCell ref="D231:D238"/>
    <mergeCell ref="D207:D214"/>
    <mergeCell ref="D319:D326"/>
    <mergeCell ref="C327:C334"/>
    <mergeCell ref="A199:A206"/>
    <mergeCell ref="B199:B206"/>
    <mergeCell ref="C359:C366"/>
    <mergeCell ref="D359:D366"/>
    <mergeCell ref="A207:A214"/>
    <mergeCell ref="B207:B214"/>
    <mergeCell ref="A223:A230"/>
    <mergeCell ref="C351:C358"/>
    <mergeCell ref="D351:D358"/>
    <mergeCell ref="B231:B238"/>
    <mergeCell ref="D87:D94"/>
    <mergeCell ref="F91:F94"/>
    <mergeCell ref="F79:F82"/>
    <mergeCell ref="F83:F86"/>
    <mergeCell ref="F87:F90"/>
    <mergeCell ref="G387:G388"/>
    <mergeCell ref="F63:F66"/>
    <mergeCell ref="F67:F70"/>
    <mergeCell ref="F55:F58"/>
    <mergeCell ref="F59:F62"/>
    <mergeCell ref="F75:F78"/>
    <mergeCell ref="F383:F386"/>
    <mergeCell ref="G179:G180"/>
    <mergeCell ref="F143:F146"/>
    <mergeCell ref="F151:F154"/>
    <mergeCell ref="G155:G156"/>
    <mergeCell ref="G168:G169"/>
    <mergeCell ref="G136:G137"/>
    <mergeCell ref="G355:G356"/>
    <mergeCell ref="G336:G337"/>
    <mergeCell ref="G208:G209"/>
    <mergeCell ref="G352:G353"/>
    <mergeCell ref="G328:G329"/>
    <mergeCell ref="G211:G212"/>
    <mergeCell ref="G187:G188"/>
    <mergeCell ref="B223:B230"/>
    <mergeCell ref="C223:C230"/>
    <mergeCell ref="D215:D222"/>
    <mergeCell ref="C87:C94"/>
    <mergeCell ref="C199:C206"/>
    <mergeCell ref="D199:D206"/>
    <mergeCell ref="C215:C222"/>
    <mergeCell ref="C111:C118"/>
    <mergeCell ref="D111:D118"/>
    <mergeCell ref="D95:D102"/>
    <mergeCell ref="F211:F214"/>
    <mergeCell ref="F207:F210"/>
    <mergeCell ref="F223:F226"/>
    <mergeCell ref="G72:G73"/>
    <mergeCell ref="G75:G76"/>
    <mergeCell ref="G152:G153"/>
    <mergeCell ref="G184:G185"/>
    <mergeCell ref="G176:G177"/>
    <mergeCell ref="G160:G161"/>
    <mergeCell ref="G163:G164"/>
    <mergeCell ref="A319:A326"/>
    <mergeCell ref="F335:F338"/>
    <mergeCell ref="A351:A358"/>
    <mergeCell ref="B351:B358"/>
    <mergeCell ref="F351:F354"/>
    <mergeCell ref="F355:F358"/>
    <mergeCell ref="F343:F346"/>
    <mergeCell ref="F319:F322"/>
    <mergeCell ref="F331:F334"/>
    <mergeCell ref="B335:B342"/>
    <mergeCell ref="F99:F102"/>
    <mergeCell ref="F123:F126"/>
    <mergeCell ref="D183:D190"/>
    <mergeCell ref="D127:D134"/>
    <mergeCell ref="D119:D126"/>
    <mergeCell ref="F187:F190"/>
    <mergeCell ref="F139:F142"/>
    <mergeCell ref="F155:F158"/>
    <mergeCell ref="F175:F178"/>
    <mergeCell ref="F179:F182"/>
    <mergeCell ref="D447:D454"/>
    <mergeCell ref="C367:C374"/>
    <mergeCell ref="D367:D374"/>
    <mergeCell ref="C423:C430"/>
    <mergeCell ref="C447:C454"/>
    <mergeCell ref="C415:C422"/>
    <mergeCell ref="C407:C414"/>
    <mergeCell ref="D407:D414"/>
    <mergeCell ref="D415:D422"/>
    <mergeCell ref="D423:D430"/>
    <mergeCell ref="A359:A366"/>
    <mergeCell ref="B431:B438"/>
    <mergeCell ref="A231:A238"/>
    <mergeCell ref="A415:A422"/>
    <mergeCell ref="A367:A374"/>
    <mergeCell ref="B367:B374"/>
    <mergeCell ref="A407:A414"/>
    <mergeCell ref="A399:A406"/>
    <mergeCell ref="B319:B326"/>
    <mergeCell ref="A239:A246"/>
    <mergeCell ref="B63:B70"/>
    <mergeCell ref="B15:B22"/>
    <mergeCell ref="B23:B30"/>
    <mergeCell ref="B39:B46"/>
    <mergeCell ref="B55:B62"/>
    <mergeCell ref="F27:F30"/>
    <mergeCell ref="G27:G28"/>
    <mergeCell ref="G40:G41"/>
    <mergeCell ref="B31:B38"/>
    <mergeCell ref="G16:G17"/>
    <mergeCell ref="F19:F22"/>
    <mergeCell ref="G19:G20"/>
    <mergeCell ref="G24:G25"/>
    <mergeCell ref="F15:F18"/>
    <mergeCell ref="F451:F454"/>
    <mergeCell ref="G451:G452"/>
    <mergeCell ref="F447:F450"/>
    <mergeCell ref="F163:F166"/>
    <mergeCell ref="G200:G201"/>
    <mergeCell ref="F203:F206"/>
    <mergeCell ref="G203:G204"/>
    <mergeCell ref="G216:G217"/>
    <mergeCell ref="F219:F222"/>
    <mergeCell ref="G219:G220"/>
    <mergeCell ref="F403:F406"/>
    <mergeCell ref="G403:G404"/>
    <mergeCell ref="F399:F402"/>
    <mergeCell ref="G448:G449"/>
    <mergeCell ref="G416:G417"/>
    <mergeCell ref="F419:F422"/>
    <mergeCell ref="G419:G420"/>
    <mergeCell ref="G424:G425"/>
    <mergeCell ref="F427:F430"/>
    <mergeCell ref="G427:G428"/>
    <mergeCell ref="F435:F438"/>
    <mergeCell ref="F339:F342"/>
    <mergeCell ref="F327:F330"/>
    <mergeCell ref="F323:F326"/>
    <mergeCell ref="F431:F434"/>
    <mergeCell ref="F415:F418"/>
    <mergeCell ref="F423:F426"/>
    <mergeCell ref="F371:F374"/>
    <mergeCell ref="F363:F366"/>
    <mergeCell ref="F367:F370"/>
    <mergeCell ref="F411:F414"/>
    <mergeCell ref="F407:F410"/>
    <mergeCell ref="G96:G97"/>
    <mergeCell ref="G99:G100"/>
    <mergeCell ref="G115:G116"/>
    <mergeCell ref="G123:G124"/>
    <mergeCell ref="G120:G121"/>
    <mergeCell ref="F111:F114"/>
    <mergeCell ref="G112:G113"/>
    <mergeCell ref="F135:F138"/>
    <mergeCell ref="A7:A14"/>
    <mergeCell ref="B7:B14"/>
    <mergeCell ref="C7:C14"/>
    <mergeCell ref="D7:D14"/>
    <mergeCell ref="D15:D22"/>
    <mergeCell ref="C23:C30"/>
    <mergeCell ref="F103:F106"/>
    <mergeCell ref="F107:F110"/>
    <mergeCell ref="D79:D86"/>
    <mergeCell ref="D23:D30"/>
    <mergeCell ref="C15:C22"/>
    <mergeCell ref="C31:C38"/>
    <mergeCell ref="D31:D38"/>
    <mergeCell ref="F95:F98"/>
    <mergeCell ref="A15:A22"/>
    <mergeCell ref="F7:F10"/>
    <mergeCell ref="A23:A30"/>
    <mergeCell ref="B103:B110"/>
    <mergeCell ref="C103:C110"/>
    <mergeCell ref="C39:C46"/>
    <mergeCell ref="B79:B86"/>
    <mergeCell ref="B87:B94"/>
    <mergeCell ref="D39:D46"/>
    <mergeCell ref="C79:C86"/>
    <mergeCell ref="A159:A166"/>
    <mergeCell ref="B159:B166"/>
    <mergeCell ref="C159:C166"/>
    <mergeCell ref="D159:D166"/>
    <mergeCell ref="A477:A481"/>
    <mergeCell ref="A167:A174"/>
    <mergeCell ref="B167:B174"/>
    <mergeCell ref="C167:C174"/>
    <mergeCell ref="B447:B454"/>
    <mergeCell ref="A215:A222"/>
    <mergeCell ref="B215:B222"/>
    <mergeCell ref="A335:A342"/>
    <mergeCell ref="A327:A334"/>
    <mergeCell ref="B327:B334"/>
    <mergeCell ref="G469:G470"/>
    <mergeCell ref="A465:F472"/>
    <mergeCell ref="A473:A476"/>
    <mergeCell ref="B473:B476"/>
    <mergeCell ref="C473:C476"/>
    <mergeCell ref="D473:D476"/>
    <mergeCell ref="F473:F476"/>
    <mergeCell ref="G473:G474"/>
    <mergeCell ref="G495:G496"/>
    <mergeCell ref="B477:B481"/>
    <mergeCell ref="C477:C481"/>
    <mergeCell ref="D477:D481"/>
    <mergeCell ref="F478:F481"/>
    <mergeCell ref="G492:G493"/>
    <mergeCell ref="G483:G484"/>
    <mergeCell ref="G486:G487"/>
    <mergeCell ref="B95:B102"/>
    <mergeCell ref="C95:C102"/>
    <mergeCell ref="D103:D110"/>
    <mergeCell ref="G224:G225"/>
    <mergeCell ref="B111:B118"/>
    <mergeCell ref="D167:D174"/>
    <mergeCell ref="G131:G132"/>
    <mergeCell ref="G466:G467"/>
    <mergeCell ref="F115:F118"/>
    <mergeCell ref="F127:F130"/>
    <mergeCell ref="F119:F122"/>
    <mergeCell ref="F227:F230"/>
    <mergeCell ref="F159:F162"/>
    <mergeCell ref="F167:F170"/>
    <mergeCell ref="F131:F134"/>
    <mergeCell ref="F199:F202"/>
    <mergeCell ref="F215:F218"/>
    <mergeCell ref="F183:F186"/>
    <mergeCell ref="G227:G228"/>
    <mergeCell ref="E4:E5"/>
    <mergeCell ref="F171:F174"/>
    <mergeCell ref="G171:G172"/>
    <mergeCell ref="G192:G193"/>
    <mergeCell ref="F195:F198"/>
    <mergeCell ref="G195:G196"/>
    <mergeCell ref="F191:F194"/>
    <mergeCell ref="G56:G57"/>
    <mergeCell ref="G8:G9"/>
    <mergeCell ref="G232:G233"/>
    <mergeCell ref="F235:F238"/>
    <mergeCell ref="G235:G236"/>
    <mergeCell ref="F231:F234"/>
    <mergeCell ref="B239:B246"/>
    <mergeCell ref="C239:C246"/>
    <mergeCell ref="D239:D246"/>
    <mergeCell ref="G240:G241"/>
    <mergeCell ref="F243:F246"/>
    <mergeCell ref="G243:G244"/>
    <mergeCell ref="F239:F242"/>
    <mergeCell ref="F251:F254"/>
    <mergeCell ref="G251:G252"/>
    <mergeCell ref="F247:F250"/>
    <mergeCell ref="A247:A254"/>
    <mergeCell ref="B247:B254"/>
    <mergeCell ref="C247:C254"/>
    <mergeCell ref="D247:D254"/>
    <mergeCell ref="G283:G284"/>
    <mergeCell ref="F279:F282"/>
    <mergeCell ref="A279:A286"/>
    <mergeCell ref="B279:B286"/>
    <mergeCell ref="C279:C286"/>
    <mergeCell ref="D279:D286"/>
    <mergeCell ref="F287:F290"/>
    <mergeCell ref="A287:A294"/>
    <mergeCell ref="B287:B294"/>
    <mergeCell ref="C287:C294"/>
    <mergeCell ref="D287:D294"/>
    <mergeCell ref="F295:F298"/>
    <mergeCell ref="A295:A302"/>
    <mergeCell ref="B295:B302"/>
    <mergeCell ref="C295:C302"/>
    <mergeCell ref="D295:D302"/>
    <mergeCell ref="A303:A310"/>
    <mergeCell ref="B303:B310"/>
    <mergeCell ref="C303:C310"/>
    <mergeCell ref="D303:D310"/>
    <mergeCell ref="A311:A318"/>
    <mergeCell ref="B311:B318"/>
    <mergeCell ref="C311:C318"/>
    <mergeCell ref="D311:D318"/>
    <mergeCell ref="A375:A382"/>
    <mergeCell ref="B375:B382"/>
    <mergeCell ref="C375:C382"/>
    <mergeCell ref="D375:D382"/>
    <mergeCell ref="A383:A390"/>
    <mergeCell ref="B383:B390"/>
    <mergeCell ref="C383:C390"/>
    <mergeCell ref="D383:D390"/>
    <mergeCell ref="A391:A398"/>
    <mergeCell ref="B391:B398"/>
    <mergeCell ref="C391:C398"/>
    <mergeCell ref="D391:D398"/>
    <mergeCell ref="B255:B262"/>
    <mergeCell ref="C255:C262"/>
    <mergeCell ref="D255:D262"/>
    <mergeCell ref="F395:F398"/>
    <mergeCell ref="F387:F390"/>
    <mergeCell ref="F379:F382"/>
    <mergeCell ref="F375:F378"/>
    <mergeCell ref="F315:F318"/>
    <mergeCell ref="F311:F314"/>
    <mergeCell ref="F307:F310"/>
    <mergeCell ref="A255:A262"/>
    <mergeCell ref="G272:G273"/>
    <mergeCell ref="F275:F278"/>
    <mergeCell ref="G275:G276"/>
    <mergeCell ref="G264:G265"/>
    <mergeCell ref="F267:F270"/>
    <mergeCell ref="G267:G268"/>
    <mergeCell ref="G256:G257"/>
    <mergeCell ref="F259:F262"/>
    <mergeCell ref="G259:G260"/>
    <mergeCell ref="A263:A270"/>
    <mergeCell ref="B263:B270"/>
    <mergeCell ref="C263:C270"/>
    <mergeCell ref="D263:D270"/>
    <mergeCell ref="A271:A278"/>
    <mergeCell ref="B271:B278"/>
    <mergeCell ref="C271:C278"/>
    <mergeCell ref="D271:D278"/>
    <mergeCell ref="N4:N5"/>
    <mergeCell ref="J4:J5"/>
    <mergeCell ref="K4:K5"/>
    <mergeCell ref="L4:L5"/>
    <mergeCell ref="M4:M5"/>
    <mergeCell ref="G91:G92"/>
    <mergeCell ref="G88:G89"/>
    <mergeCell ref="G80:G81"/>
    <mergeCell ref="G59:G60"/>
    <mergeCell ref="G64:G65"/>
    <mergeCell ref="G67:G68"/>
    <mergeCell ref="G376:G377"/>
    <mergeCell ref="G379:G380"/>
    <mergeCell ref="G312:G313"/>
    <mergeCell ref="G315:G316"/>
    <mergeCell ref="G320:G321"/>
    <mergeCell ref="G360:G361"/>
    <mergeCell ref="G368:G369"/>
    <mergeCell ref="G363:G364"/>
    <mergeCell ref="G339:G340"/>
    <mergeCell ref="G331:G332"/>
    <mergeCell ref="G323:G324"/>
    <mergeCell ref="G147:G148"/>
    <mergeCell ref="G304:G305"/>
    <mergeCell ref="G307:G308"/>
    <mergeCell ref="G296:G297"/>
    <mergeCell ref="G288:G289"/>
    <mergeCell ref="G280:G281"/>
    <mergeCell ref="G248:G249"/>
    <mergeCell ref="G299:G300"/>
    <mergeCell ref="G291:G292"/>
    <mergeCell ref="G478:G479"/>
    <mergeCell ref="G435:G436"/>
    <mergeCell ref="G347:G348"/>
    <mergeCell ref="G344:G345"/>
    <mergeCell ref="G432:G433"/>
    <mergeCell ref="G411:G412"/>
    <mergeCell ref="G408:G409"/>
    <mergeCell ref="G371:G372"/>
    <mergeCell ref="G400:G401"/>
    <mergeCell ref="G456:G457"/>
    <mergeCell ref="A3:N3"/>
    <mergeCell ref="G384:G385"/>
    <mergeCell ref="G395:G396"/>
    <mergeCell ref="G392:G393"/>
    <mergeCell ref="G144:G145"/>
    <mergeCell ref="G139:G140"/>
    <mergeCell ref="G128:G129"/>
    <mergeCell ref="G107:G108"/>
    <mergeCell ref="G104:G105"/>
    <mergeCell ref="G83:G84"/>
  </mergeCells>
  <printOptions/>
  <pageMargins left="0.61" right="0.23" top="0.47" bottom="0.38" header="0.17" footer="0.16"/>
  <pageSetup horizontalDpi="600" verticalDpi="600" orientation="landscape" paperSize="9" r:id="rId1"/>
  <rowBreaks count="1" manualBreakCount="1">
    <brk id="3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SheetLayoutView="100" workbookViewId="0" topLeftCell="A1">
      <pane xSplit="2" ySplit="6" topLeftCell="E4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54" sqref="G454:G456"/>
    </sheetView>
  </sheetViews>
  <sheetFormatPr defaultColWidth="9.140625" defaultRowHeight="12.75"/>
  <cols>
    <col min="1" max="1" width="4.7109375" style="218" customWidth="1"/>
    <col min="2" max="2" width="5.8515625" style="218" customWidth="1"/>
    <col min="3" max="3" width="7.28125" style="218" customWidth="1"/>
    <col min="4" max="4" width="29.140625" style="218" customWidth="1"/>
    <col min="5" max="5" width="22.28125" style="219" customWidth="1"/>
    <col min="6" max="6" width="8.57421875" style="220" customWidth="1"/>
    <col min="7" max="7" width="13.421875" style="67" customWidth="1"/>
    <col min="8" max="8" width="18.8515625" style="67" customWidth="1"/>
    <col min="9" max="9" width="11.28125" style="67" hidden="1" customWidth="1"/>
    <col min="10" max="10" width="11.00390625" style="67" hidden="1" customWidth="1"/>
    <col min="11" max="12" width="11.140625" style="67" hidden="1" customWidth="1"/>
    <col min="13" max="14" width="12.421875" style="67" customWidth="1"/>
    <col min="15" max="15" width="11.57421875" style="67" hidden="1" customWidth="1"/>
    <col min="16" max="16" width="11.28125" style="67" hidden="1" customWidth="1"/>
    <col min="17" max="17" width="12.00390625" style="67" hidden="1" customWidth="1"/>
    <col min="18" max="18" width="0" style="67" hidden="1" customWidth="1"/>
    <col min="19" max="19" width="11.140625" style="67" hidden="1" customWidth="1"/>
    <col min="20" max="20" width="0" style="67" hidden="1" customWidth="1"/>
    <col min="21" max="22" width="13.140625" style="334" customWidth="1"/>
    <col min="23" max="23" width="13.140625" style="67" customWidth="1"/>
    <col min="24" max="24" width="10.57421875" style="67" customWidth="1"/>
    <col min="25" max="25" width="12.28125" style="67" hidden="1" customWidth="1"/>
    <col min="26" max="16384" width="9.140625" style="67" customWidth="1"/>
  </cols>
  <sheetData>
    <row r="1" spans="21:24" ht="12.75">
      <c r="U1" s="218"/>
      <c r="V1" s="218"/>
      <c r="X1" s="488" t="s">
        <v>149</v>
      </c>
    </row>
    <row r="2" spans="1:26" ht="22.5" customHeight="1">
      <c r="A2" s="398" t="s">
        <v>150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222"/>
      <c r="Z2" s="222"/>
    </row>
    <row r="3" spans="1:26" ht="9" customHeight="1" thickBot="1">
      <c r="A3" s="229"/>
      <c r="B3" s="229"/>
      <c r="C3" s="229"/>
      <c r="D3" s="229"/>
      <c r="E3" s="229"/>
      <c r="F3" s="221"/>
      <c r="G3" s="221"/>
      <c r="H3" s="221"/>
      <c r="I3" s="221"/>
      <c r="J3" s="221"/>
      <c r="K3" s="221"/>
      <c r="L3" s="221"/>
      <c r="M3" s="221"/>
      <c r="N3" s="221"/>
      <c r="O3" s="230"/>
      <c r="P3" s="230"/>
      <c r="Q3" s="230"/>
      <c r="R3" s="230"/>
      <c r="S3" s="230"/>
      <c r="T3" s="230"/>
      <c r="U3" s="229"/>
      <c r="V3" s="229"/>
      <c r="W3" s="221"/>
      <c r="X3" s="221"/>
      <c r="Y3" s="222"/>
      <c r="Z3" s="222"/>
    </row>
    <row r="4" spans="1:25" s="220" customFormat="1" ht="27.75" customHeight="1" thickBot="1">
      <c r="A4" s="405" t="s">
        <v>151</v>
      </c>
      <c r="B4" s="405" t="s">
        <v>152</v>
      </c>
      <c r="C4" s="405" t="s">
        <v>153</v>
      </c>
      <c r="D4" s="448" t="s">
        <v>1</v>
      </c>
      <c r="E4" s="448" t="s">
        <v>3</v>
      </c>
      <c r="F4" s="344" t="s">
        <v>4</v>
      </c>
      <c r="G4" s="344" t="s">
        <v>5</v>
      </c>
      <c r="H4" s="344" t="s">
        <v>6</v>
      </c>
      <c r="I4" s="344" t="s">
        <v>154</v>
      </c>
      <c r="J4" s="344">
        <v>2011</v>
      </c>
      <c r="K4" s="344" t="s">
        <v>155</v>
      </c>
      <c r="L4" s="344">
        <v>2012</v>
      </c>
      <c r="M4" s="344" t="s">
        <v>156</v>
      </c>
      <c r="N4" s="455" t="s">
        <v>139</v>
      </c>
      <c r="O4" s="231"/>
      <c r="P4" s="231"/>
      <c r="Q4" s="231"/>
      <c r="R4" s="231"/>
      <c r="S4" s="231"/>
      <c r="T4" s="232"/>
      <c r="U4" s="448" t="s">
        <v>157</v>
      </c>
      <c r="V4" s="457" t="s">
        <v>158</v>
      </c>
      <c r="W4" s="344" t="s">
        <v>231</v>
      </c>
      <c r="X4" s="344" t="s">
        <v>232</v>
      </c>
      <c r="Y4" s="344" t="s">
        <v>159</v>
      </c>
    </row>
    <row r="5" spans="1:25" s="220" customFormat="1" ht="20.25" customHeight="1" thickBot="1">
      <c r="A5" s="407"/>
      <c r="B5" s="407"/>
      <c r="C5" s="407"/>
      <c r="D5" s="450"/>
      <c r="E5" s="450"/>
      <c r="F5" s="459"/>
      <c r="G5" s="454"/>
      <c r="H5" s="454"/>
      <c r="I5" s="454"/>
      <c r="J5" s="454"/>
      <c r="K5" s="454"/>
      <c r="L5" s="454"/>
      <c r="M5" s="454"/>
      <c r="N5" s="456"/>
      <c r="O5" s="233">
        <v>2014</v>
      </c>
      <c r="P5" s="234">
        <v>2015</v>
      </c>
      <c r="Q5" s="234">
        <v>2016</v>
      </c>
      <c r="R5" s="234">
        <v>2017</v>
      </c>
      <c r="S5" s="234">
        <v>2018</v>
      </c>
      <c r="T5" s="235">
        <v>2019</v>
      </c>
      <c r="U5" s="450"/>
      <c r="V5" s="458"/>
      <c r="W5" s="454"/>
      <c r="X5" s="454"/>
      <c r="Y5" s="454"/>
    </row>
    <row r="6" spans="1:25" s="220" customFormat="1" ht="13.5" thickBot="1">
      <c r="A6" s="236">
        <v>1</v>
      </c>
      <c r="B6" s="335">
        <v>2</v>
      </c>
      <c r="C6" s="336">
        <v>3</v>
      </c>
      <c r="D6" s="236">
        <v>4</v>
      </c>
      <c r="E6" s="335">
        <v>5</v>
      </c>
      <c r="F6" s="337">
        <v>6</v>
      </c>
      <c r="G6" s="336">
        <v>7</v>
      </c>
      <c r="H6" s="335">
        <v>8</v>
      </c>
      <c r="I6" s="237"/>
      <c r="J6" s="238"/>
      <c r="K6" s="238"/>
      <c r="L6" s="238"/>
      <c r="M6" s="117">
        <v>9</v>
      </c>
      <c r="N6" s="205">
        <v>10</v>
      </c>
      <c r="O6" s="233"/>
      <c r="P6" s="234"/>
      <c r="Q6" s="234"/>
      <c r="R6" s="234"/>
      <c r="S6" s="234"/>
      <c r="T6" s="239"/>
      <c r="U6" s="306">
        <v>11</v>
      </c>
      <c r="V6" s="306">
        <v>12</v>
      </c>
      <c r="W6" s="240">
        <v>13</v>
      </c>
      <c r="X6" s="240">
        <v>14</v>
      </c>
      <c r="Y6" s="117"/>
    </row>
    <row r="7" spans="1:25" ht="12.75" customHeight="1">
      <c r="A7" s="405">
        <v>1</v>
      </c>
      <c r="B7" s="405">
        <v>150</v>
      </c>
      <c r="C7" s="405">
        <v>15013</v>
      </c>
      <c r="D7" s="408" t="s">
        <v>160</v>
      </c>
      <c r="E7" s="399" t="s">
        <v>161</v>
      </c>
      <c r="F7" s="403">
        <v>2011</v>
      </c>
      <c r="G7" s="1" t="s">
        <v>9</v>
      </c>
      <c r="H7" s="241" t="s">
        <v>10</v>
      </c>
      <c r="I7" s="242"/>
      <c r="J7" s="243"/>
      <c r="K7" s="243">
        <f aca="true" t="shared" si="0" ref="K7:K37">I7+J7</f>
        <v>0</v>
      </c>
      <c r="L7" s="2"/>
      <c r="M7" s="244"/>
      <c r="N7" s="243"/>
      <c r="O7" s="243"/>
      <c r="P7" s="243"/>
      <c r="Q7" s="243"/>
      <c r="R7" s="243"/>
      <c r="S7" s="243"/>
      <c r="T7" s="2"/>
      <c r="U7" s="307"/>
      <c r="V7" s="308"/>
      <c r="W7" s="127"/>
      <c r="X7" s="245"/>
      <c r="Y7" s="411">
        <f>N15+O15+P15+Q15+R15+S15+N16+O16+P16+Q16+R16+T15+T16+S16</f>
        <v>279613</v>
      </c>
    </row>
    <row r="8" spans="1:25" ht="12.75" customHeight="1">
      <c r="A8" s="406"/>
      <c r="B8" s="406"/>
      <c r="C8" s="406"/>
      <c r="D8" s="409"/>
      <c r="E8" s="400"/>
      <c r="F8" s="403"/>
      <c r="G8" s="414">
        <f>M15+N15</f>
        <v>1940060</v>
      </c>
      <c r="H8" s="246" t="s">
        <v>11</v>
      </c>
      <c r="I8" s="247"/>
      <c r="J8" s="3"/>
      <c r="K8" s="249">
        <f t="shared" si="0"/>
        <v>0</v>
      </c>
      <c r="L8" s="4"/>
      <c r="M8" s="250"/>
      <c r="N8" s="3"/>
      <c r="O8" s="3"/>
      <c r="P8" s="3"/>
      <c r="Q8" s="3"/>
      <c r="R8" s="3"/>
      <c r="S8" s="3"/>
      <c r="T8" s="4"/>
      <c r="U8" s="309"/>
      <c r="V8" s="310"/>
      <c r="W8" s="128"/>
      <c r="X8" s="251"/>
      <c r="Y8" s="412"/>
    </row>
    <row r="9" spans="1:27" ht="12.75" customHeight="1">
      <c r="A9" s="406"/>
      <c r="B9" s="406"/>
      <c r="C9" s="406"/>
      <c r="D9" s="409"/>
      <c r="E9" s="400"/>
      <c r="F9" s="403"/>
      <c r="G9" s="415"/>
      <c r="H9" s="246" t="s">
        <v>12</v>
      </c>
      <c r="I9" s="247"/>
      <c r="J9" s="3">
        <v>3843</v>
      </c>
      <c r="K9" s="249">
        <f t="shared" si="0"/>
        <v>3843</v>
      </c>
      <c r="L9" s="4">
        <v>245224</v>
      </c>
      <c r="M9" s="250">
        <f>K9+L9</f>
        <v>249067</v>
      </c>
      <c r="N9" s="3">
        <v>41942</v>
      </c>
      <c r="O9" s="3"/>
      <c r="P9" s="3"/>
      <c r="Q9" s="3"/>
      <c r="R9" s="3"/>
      <c r="S9" s="3"/>
      <c r="T9" s="4"/>
      <c r="U9" s="309">
        <v>30338</v>
      </c>
      <c r="V9" s="310">
        <v>41942</v>
      </c>
      <c r="W9" s="128">
        <f>M9+U9</f>
        <v>279405</v>
      </c>
      <c r="X9" s="251">
        <f>W9/$G$14</f>
        <v>0.1440187416884014</v>
      </c>
      <c r="Y9" s="412"/>
      <c r="AA9" s="68"/>
    </row>
    <row r="10" spans="1:25" ht="12.75" customHeight="1">
      <c r="A10" s="406"/>
      <c r="B10" s="406"/>
      <c r="C10" s="406"/>
      <c r="D10" s="409"/>
      <c r="E10" s="400"/>
      <c r="F10" s="403"/>
      <c r="G10" s="5" t="s">
        <v>13</v>
      </c>
      <c r="H10" s="246" t="s">
        <v>14</v>
      </c>
      <c r="I10" s="247"/>
      <c r="J10" s="3"/>
      <c r="K10" s="249">
        <f t="shared" si="0"/>
        <v>0</v>
      </c>
      <c r="L10" s="4"/>
      <c r="M10" s="250"/>
      <c r="N10" s="3"/>
      <c r="O10" s="3"/>
      <c r="P10" s="3"/>
      <c r="Q10" s="3"/>
      <c r="R10" s="3"/>
      <c r="S10" s="3"/>
      <c r="T10" s="4"/>
      <c r="U10" s="309"/>
      <c r="V10" s="310"/>
      <c r="W10" s="128"/>
      <c r="X10" s="251"/>
      <c r="Y10" s="412"/>
    </row>
    <row r="11" spans="1:25" ht="12.75" customHeight="1">
      <c r="A11" s="406"/>
      <c r="B11" s="406"/>
      <c r="C11" s="406"/>
      <c r="D11" s="409"/>
      <c r="E11" s="400"/>
      <c r="F11" s="404"/>
      <c r="G11" s="414">
        <f>SUM(K16:T16)</f>
        <v>0</v>
      </c>
      <c r="H11" s="246" t="s">
        <v>162</v>
      </c>
      <c r="I11" s="247"/>
      <c r="J11" s="3">
        <v>21779</v>
      </c>
      <c r="K11" s="249">
        <f t="shared" si="0"/>
        <v>21779</v>
      </c>
      <c r="L11" s="4">
        <v>1389601</v>
      </c>
      <c r="M11" s="250">
        <f>K11+L11</f>
        <v>1411380</v>
      </c>
      <c r="N11" s="3">
        <v>237671</v>
      </c>
      <c r="O11" s="3"/>
      <c r="P11" s="3"/>
      <c r="Q11" s="3"/>
      <c r="R11" s="3"/>
      <c r="S11" s="3"/>
      <c r="T11" s="4"/>
      <c r="U11" s="309">
        <v>171913</v>
      </c>
      <c r="V11" s="310">
        <v>237671</v>
      </c>
      <c r="W11" s="128">
        <f>M11+U11</f>
        <v>1583293</v>
      </c>
      <c r="X11" s="251">
        <f>W11/$G$14</f>
        <v>0.8161051720049896</v>
      </c>
      <c r="Y11" s="412"/>
    </row>
    <row r="12" spans="1:25" ht="12.75" customHeight="1">
      <c r="A12" s="406"/>
      <c r="B12" s="406"/>
      <c r="C12" s="406"/>
      <c r="D12" s="409"/>
      <c r="E12" s="400"/>
      <c r="F12" s="416">
        <v>2013</v>
      </c>
      <c r="G12" s="415"/>
      <c r="H12" s="246" t="s">
        <v>163</v>
      </c>
      <c r="I12" s="247"/>
      <c r="J12" s="3"/>
      <c r="K12" s="249">
        <f t="shared" si="0"/>
        <v>0</v>
      </c>
      <c r="L12" s="4"/>
      <c r="M12" s="250"/>
      <c r="N12" s="3"/>
      <c r="O12" s="3"/>
      <c r="P12" s="3"/>
      <c r="Q12" s="3"/>
      <c r="R12" s="3"/>
      <c r="S12" s="3"/>
      <c r="T12" s="4"/>
      <c r="U12" s="309"/>
      <c r="V12" s="310"/>
      <c r="W12" s="128"/>
      <c r="X12" s="251"/>
      <c r="Y12" s="412"/>
    </row>
    <row r="13" spans="1:25" ht="12.75" customHeight="1">
      <c r="A13" s="406"/>
      <c r="B13" s="406"/>
      <c r="C13" s="406"/>
      <c r="D13" s="409"/>
      <c r="E13" s="400"/>
      <c r="F13" s="403"/>
      <c r="G13" s="5" t="s">
        <v>17</v>
      </c>
      <c r="H13" s="246" t="s">
        <v>15</v>
      </c>
      <c r="I13" s="247"/>
      <c r="J13" s="3"/>
      <c r="K13" s="249">
        <f t="shared" si="0"/>
        <v>0</v>
      </c>
      <c r="L13" s="4"/>
      <c r="M13" s="250"/>
      <c r="N13" s="3"/>
      <c r="O13" s="3"/>
      <c r="P13" s="3"/>
      <c r="Q13" s="3"/>
      <c r="R13" s="3"/>
      <c r="S13" s="3"/>
      <c r="T13" s="4"/>
      <c r="U13" s="309"/>
      <c r="V13" s="310"/>
      <c r="W13" s="128"/>
      <c r="X13" s="251"/>
      <c r="Y13" s="412"/>
    </row>
    <row r="14" spans="1:25" ht="12.75" customHeight="1">
      <c r="A14" s="406"/>
      <c r="B14" s="406"/>
      <c r="C14" s="406"/>
      <c r="D14" s="409"/>
      <c r="E14" s="400"/>
      <c r="F14" s="403"/>
      <c r="G14" s="414">
        <f>G8+G11</f>
        <v>1940060</v>
      </c>
      <c r="H14" s="246" t="s">
        <v>16</v>
      </c>
      <c r="I14" s="247"/>
      <c r="J14" s="3"/>
      <c r="K14" s="249">
        <f t="shared" si="0"/>
        <v>0</v>
      </c>
      <c r="L14" s="4"/>
      <c r="M14" s="250"/>
      <c r="N14" s="3"/>
      <c r="O14" s="3"/>
      <c r="P14" s="3"/>
      <c r="Q14" s="3"/>
      <c r="R14" s="3"/>
      <c r="S14" s="3"/>
      <c r="T14" s="4"/>
      <c r="U14" s="309"/>
      <c r="V14" s="310"/>
      <c r="W14" s="128"/>
      <c r="X14" s="251"/>
      <c r="Y14" s="412"/>
    </row>
    <row r="15" spans="1:25" ht="12.75" customHeight="1">
      <c r="A15" s="406"/>
      <c r="B15" s="406"/>
      <c r="C15" s="406"/>
      <c r="D15" s="409"/>
      <c r="E15" s="400"/>
      <c r="F15" s="403"/>
      <c r="G15" s="418"/>
      <c r="H15" s="246" t="s">
        <v>18</v>
      </c>
      <c r="I15" s="252">
        <f>I7+I9+I11+I13</f>
        <v>0</v>
      </c>
      <c r="J15" s="7">
        <f>J7+J9+J11+J13</f>
        <v>25622</v>
      </c>
      <c r="K15" s="249">
        <f t="shared" si="0"/>
        <v>25622</v>
      </c>
      <c r="L15" s="123">
        <f>L7+L9+L11+L13</f>
        <v>1634825</v>
      </c>
      <c r="M15" s="250">
        <f>K15+L15</f>
        <v>1660447</v>
      </c>
      <c r="N15" s="7">
        <f aca="true" t="shared" si="1" ref="N15:V15">N7+N9+N11+N13</f>
        <v>279613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123">
        <f t="shared" si="1"/>
        <v>0</v>
      </c>
      <c r="U15" s="311">
        <f t="shared" si="1"/>
        <v>202251</v>
      </c>
      <c r="V15" s="310">
        <f t="shared" si="1"/>
        <v>279613</v>
      </c>
      <c r="W15" s="128">
        <f>M15+U15</f>
        <v>1862698</v>
      </c>
      <c r="X15" s="251">
        <f>W15/$G$14</f>
        <v>0.9601239136933909</v>
      </c>
      <c r="Y15" s="412"/>
    </row>
    <row r="16" spans="1:25" ht="12.75" customHeight="1" thickBot="1">
      <c r="A16" s="407"/>
      <c r="B16" s="407"/>
      <c r="C16" s="407"/>
      <c r="D16" s="410"/>
      <c r="E16" s="401"/>
      <c r="F16" s="417"/>
      <c r="G16" s="419"/>
      <c r="H16" s="253" t="s">
        <v>19</v>
      </c>
      <c r="I16" s="254">
        <f>I8+I10+I12+I14</f>
        <v>0</v>
      </c>
      <c r="J16" s="10">
        <f>J8+J10+J12+J14</f>
        <v>0</v>
      </c>
      <c r="K16" s="255">
        <f t="shared" si="0"/>
        <v>0</v>
      </c>
      <c r="L16" s="124">
        <f>L8+L10+L12+L14</f>
        <v>0</v>
      </c>
      <c r="M16" s="256">
        <f>K16+L16</f>
        <v>0</v>
      </c>
      <c r="N16" s="10">
        <f aca="true" t="shared" si="2" ref="N16:U16">N8+N10+N12+N14</f>
        <v>0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124">
        <f t="shared" si="2"/>
        <v>0</v>
      </c>
      <c r="U16" s="312">
        <f t="shared" si="2"/>
        <v>0</v>
      </c>
      <c r="V16" s="313">
        <v>0</v>
      </c>
      <c r="W16" s="257">
        <f>M16+U16</f>
        <v>0</v>
      </c>
      <c r="X16" s="258">
        <f>W16/$G$14</f>
        <v>0</v>
      </c>
      <c r="Y16" s="413"/>
    </row>
    <row r="17" spans="1:25" ht="12.75" customHeight="1">
      <c r="A17" s="405">
        <f>A7+1</f>
        <v>2</v>
      </c>
      <c r="B17" s="405">
        <v>600</v>
      </c>
      <c r="C17" s="405">
        <v>60004</v>
      </c>
      <c r="D17" s="408" t="s">
        <v>164</v>
      </c>
      <c r="E17" s="399" t="s">
        <v>165</v>
      </c>
      <c r="F17" s="402">
        <v>2010</v>
      </c>
      <c r="G17" s="1" t="s">
        <v>9</v>
      </c>
      <c r="H17" s="241" t="s">
        <v>10</v>
      </c>
      <c r="I17" s="259">
        <v>11682</v>
      </c>
      <c r="J17" s="243">
        <v>18473</v>
      </c>
      <c r="K17" s="243">
        <f t="shared" si="0"/>
        <v>30155</v>
      </c>
      <c r="L17" s="243">
        <v>24527</v>
      </c>
      <c r="M17" s="249">
        <f>K17+L17</f>
        <v>54682</v>
      </c>
      <c r="N17" s="249">
        <v>19530</v>
      </c>
      <c r="O17" s="249"/>
      <c r="P17" s="249"/>
      <c r="Q17" s="249"/>
      <c r="R17" s="249"/>
      <c r="S17" s="249"/>
      <c r="T17" s="11"/>
      <c r="U17" s="307">
        <v>19485</v>
      </c>
      <c r="V17" s="308">
        <v>19530</v>
      </c>
      <c r="W17" s="243">
        <f>M17+U17</f>
        <v>74167</v>
      </c>
      <c r="X17" s="260">
        <f>W17/$G$24</f>
        <v>0.14990773136385777</v>
      </c>
      <c r="Y17" s="411">
        <f>N25+O25+P25+Q25+R25+S25+N26+O26+P26+Q26+R26+T25+T26+S26</f>
        <v>130225</v>
      </c>
    </row>
    <row r="18" spans="1:25" ht="12.75">
      <c r="A18" s="406"/>
      <c r="B18" s="406"/>
      <c r="C18" s="406"/>
      <c r="D18" s="409"/>
      <c r="E18" s="400"/>
      <c r="F18" s="403"/>
      <c r="G18" s="414">
        <f>M25+N25</f>
        <v>494751</v>
      </c>
      <c r="H18" s="246" t="s">
        <v>11</v>
      </c>
      <c r="I18" s="261"/>
      <c r="J18" s="3"/>
      <c r="K18" s="249">
        <f t="shared" si="0"/>
        <v>0</v>
      </c>
      <c r="L18" s="3"/>
      <c r="M18" s="3"/>
      <c r="N18" s="3"/>
      <c r="O18" s="3"/>
      <c r="P18" s="3"/>
      <c r="Q18" s="3"/>
      <c r="R18" s="3"/>
      <c r="S18" s="3"/>
      <c r="T18" s="4"/>
      <c r="U18" s="309"/>
      <c r="V18" s="310"/>
      <c r="W18" s="3"/>
      <c r="X18" s="251"/>
      <c r="Y18" s="412"/>
    </row>
    <row r="19" spans="1:25" ht="12.75">
      <c r="A19" s="406"/>
      <c r="B19" s="406"/>
      <c r="C19" s="406"/>
      <c r="D19" s="409"/>
      <c r="E19" s="400"/>
      <c r="F19" s="403"/>
      <c r="G19" s="415"/>
      <c r="H19" s="246" t="s">
        <v>12</v>
      </c>
      <c r="I19" s="261"/>
      <c r="J19" s="3"/>
      <c r="K19" s="249">
        <f t="shared" si="0"/>
        <v>0</v>
      </c>
      <c r="L19" s="3"/>
      <c r="M19" s="3"/>
      <c r="N19" s="3"/>
      <c r="O19" s="3"/>
      <c r="P19" s="3"/>
      <c r="Q19" s="3"/>
      <c r="R19" s="3"/>
      <c r="S19" s="3"/>
      <c r="T19" s="4"/>
      <c r="U19" s="309"/>
      <c r="V19" s="310"/>
      <c r="W19" s="3"/>
      <c r="X19" s="251"/>
      <c r="Y19" s="412"/>
    </row>
    <row r="20" spans="1:25" ht="12.75">
      <c r="A20" s="406"/>
      <c r="B20" s="406"/>
      <c r="C20" s="406"/>
      <c r="D20" s="409"/>
      <c r="E20" s="400"/>
      <c r="F20" s="403"/>
      <c r="G20" s="5" t="s">
        <v>13</v>
      </c>
      <c r="H20" s="246" t="s">
        <v>14</v>
      </c>
      <c r="I20" s="261"/>
      <c r="J20" s="3"/>
      <c r="K20" s="249">
        <f t="shared" si="0"/>
        <v>0</v>
      </c>
      <c r="L20" s="3"/>
      <c r="M20" s="3"/>
      <c r="N20" s="3"/>
      <c r="O20" s="3"/>
      <c r="P20" s="3"/>
      <c r="Q20" s="3"/>
      <c r="R20" s="3"/>
      <c r="S20" s="3"/>
      <c r="T20" s="4"/>
      <c r="U20" s="309"/>
      <c r="V20" s="310"/>
      <c r="W20" s="3"/>
      <c r="X20" s="251"/>
      <c r="Y20" s="412"/>
    </row>
    <row r="21" spans="1:25" ht="12.75">
      <c r="A21" s="406"/>
      <c r="B21" s="406"/>
      <c r="C21" s="406"/>
      <c r="D21" s="409"/>
      <c r="E21" s="400"/>
      <c r="F21" s="404"/>
      <c r="G21" s="414">
        <f>SUM(K26:T26)</f>
        <v>0</v>
      </c>
      <c r="H21" s="246" t="s">
        <v>162</v>
      </c>
      <c r="I21" s="261">
        <v>66182</v>
      </c>
      <c r="J21" s="3">
        <v>104680</v>
      </c>
      <c r="K21" s="249">
        <f t="shared" si="0"/>
        <v>170862</v>
      </c>
      <c r="L21" s="3">
        <v>138982</v>
      </c>
      <c r="M21" s="3">
        <f>K21+L21</f>
        <v>309844</v>
      </c>
      <c r="N21" s="3">
        <v>110695</v>
      </c>
      <c r="O21" s="3"/>
      <c r="P21" s="3"/>
      <c r="Q21" s="3"/>
      <c r="R21" s="3"/>
      <c r="S21" s="3"/>
      <c r="T21" s="4"/>
      <c r="U21" s="309">
        <v>110415</v>
      </c>
      <c r="V21" s="310">
        <v>110695</v>
      </c>
      <c r="W21" s="3">
        <f>M21+U21</f>
        <v>420259</v>
      </c>
      <c r="X21" s="251">
        <f>W21/$G$24</f>
        <v>0.8494353725409347</v>
      </c>
      <c r="Y21" s="412"/>
    </row>
    <row r="22" spans="1:25" ht="12.75">
      <c r="A22" s="406"/>
      <c r="B22" s="406"/>
      <c r="C22" s="406"/>
      <c r="D22" s="409"/>
      <c r="E22" s="400"/>
      <c r="F22" s="416">
        <v>2013</v>
      </c>
      <c r="G22" s="415"/>
      <c r="H22" s="246" t="s">
        <v>163</v>
      </c>
      <c r="I22" s="261"/>
      <c r="J22" s="3"/>
      <c r="K22" s="249">
        <f t="shared" si="0"/>
        <v>0</v>
      </c>
      <c r="L22" s="3"/>
      <c r="M22" s="3"/>
      <c r="N22" s="3"/>
      <c r="O22" s="3"/>
      <c r="P22" s="3"/>
      <c r="Q22" s="3"/>
      <c r="R22" s="3"/>
      <c r="S22" s="3"/>
      <c r="T22" s="4"/>
      <c r="U22" s="309"/>
      <c r="V22" s="310"/>
      <c r="W22" s="3"/>
      <c r="X22" s="251"/>
      <c r="Y22" s="412"/>
    </row>
    <row r="23" spans="1:25" ht="12.75">
      <c r="A23" s="406"/>
      <c r="B23" s="406"/>
      <c r="C23" s="406"/>
      <c r="D23" s="409"/>
      <c r="E23" s="400"/>
      <c r="F23" s="403"/>
      <c r="G23" s="5" t="s">
        <v>17</v>
      </c>
      <c r="H23" s="246" t="s">
        <v>15</v>
      </c>
      <c r="I23" s="261"/>
      <c r="J23" s="3"/>
      <c r="K23" s="249">
        <f t="shared" si="0"/>
        <v>0</v>
      </c>
      <c r="L23" s="3"/>
      <c r="M23" s="3"/>
      <c r="N23" s="3"/>
      <c r="O23" s="3"/>
      <c r="P23" s="3"/>
      <c r="Q23" s="3"/>
      <c r="R23" s="3"/>
      <c r="S23" s="3"/>
      <c r="T23" s="4"/>
      <c r="U23" s="309"/>
      <c r="V23" s="310"/>
      <c r="W23" s="3"/>
      <c r="X23" s="251"/>
      <c r="Y23" s="412"/>
    </row>
    <row r="24" spans="1:25" ht="12.75">
      <c r="A24" s="406"/>
      <c r="B24" s="406"/>
      <c r="C24" s="406"/>
      <c r="D24" s="409"/>
      <c r="E24" s="400"/>
      <c r="F24" s="403"/>
      <c r="G24" s="414">
        <f>G18+G21</f>
        <v>494751</v>
      </c>
      <c r="H24" s="246" t="s">
        <v>16</v>
      </c>
      <c r="I24" s="261"/>
      <c r="J24" s="3"/>
      <c r="K24" s="249">
        <f t="shared" si="0"/>
        <v>0</v>
      </c>
      <c r="L24" s="3"/>
      <c r="M24" s="3"/>
      <c r="N24" s="3"/>
      <c r="O24" s="3"/>
      <c r="P24" s="3"/>
      <c r="Q24" s="3"/>
      <c r="R24" s="3"/>
      <c r="S24" s="3"/>
      <c r="T24" s="4"/>
      <c r="U24" s="309"/>
      <c r="V24" s="310"/>
      <c r="W24" s="3"/>
      <c r="X24" s="251"/>
      <c r="Y24" s="412"/>
    </row>
    <row r="25" spans="1:25" ht="12.75">
      <c r="A25" s="406"/>
      <c r="B25" s="406"/>
      <c r="C25" s="406"/>
      <c r="D25" s="409"/>
      <c r="E25" s="400"/>
      <c r="F25" s="403"/>
      <c r="G25" s="418"/>
      <c r="H25" s="246" t="s">
        <v>18</v>
      </c>
      <c r="I25" s="262">
        <f>I17+I19+I21+I23</f>
        <v>77864</v>
      </c>
      <c r="J25" s="7">
        <f>J17+J19+J21+J23</f>
        <v>123153</v>
      </c>
      <c r="K25" s="249">
        <f t="shared" si="0"/>
        <v>201017</v>
      </c>
      <c r="L25" s="7">
        <f>L17+L19+L21+L23</f>
        <v>163509</v>
      </c>
      <c r="M25" s="3">
        <f>K25+L25</f>
        <v>364526</v>
      </c>
      <c r="N25" s="7">
        <f aca="true" t="shared" si="3" ref="N25:P26">N17+N19+N21+N23</f>
        <v>130225</v>
      </c>
      <c r="O25" s="7">
        <f t="shared" si="3"/>
        <v>0</v>
      </c>
      <c r="P25" s="7">
        <f t="shared" si="3"/>
        <v>0</v>
      </c>
      <c r="Q25" s="7"/>
      <c r="R25" s="7">
        <f aca="true" t="shared" si="4" ref="R25:T26">R17+R19+R21+R23</f>
        <v>0</v>
      </c>
      <c r="S25" s="7">
        <f t="shared" si="4"/>
        <v>0</v>
      </c>
      <c r="T25" s="123">
        <f t="shared" si="4"/>
        <v>0</v>
      </c>
      <c r="U25" s="311">
        <v>129900</v>
      </c>
      <c r="V25" s="314">
        <f>V17+V19+V21+V23</f>
        <v>130225</v>
      </c>
      <c r="W25" s="3">
        <f>M25+U25</f>
        <v>494426</v>
      </c>
      <c r="X25" s="251">
        <f>W25/$G$24</f>
        <v>0.9993431039047925</v>
      </c>
      <c r="Y25" s="412"/>
    </row>
    <row r="26" spans="1:25" ht="14.25" customHeight="1" thickBot="1">
      <c r="A26" s="407"/>
      <c r="B26" s="407"/>
      <c r="C26" s="407"/>
      <c r="D26" s="410"/>
      <c r="E26" s="401"/>
      <c r="F26" s="417"/>
      <c r="G26" s="419"/>
      <c r="H26" s="253" t="s">
        <v>19</v>
      </c>
      <c r="I26" s="263">
        <f>I18+I20+I22+I24</f>
        <v>0</v>
      </c>
      <c r="J26" s="10">
        <f>J18+J20+J22+J24</f>
        <v>0</v>
      </c>
      <c r="K26" s="255">
        <f t="shared" si="0"/>
        <v>0</v>
      </c>
      <c r="L26" s="10">
        <f>L18+L20+L22+L24</f>
        <v>0</v>
      </c>
      <c r="M26" s="264">
        <f>K26+L26</f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>Q18+Q20+Q22+Q24</f>
        <v>0</v>
      </c>
      <c r="R26" s="12">
        <f t="shared" si="4"/>
        <v>0</v>
      </c>
      <c r="S26" s="12">
        <f t="shared" si="4"/>
        <v>0</v>
      </c>
      <c r="T26" s="144">
        <f t="shared" si="4"/>
        <v>0</v>
      </c>
      <c r="U26" s="312">
        <v>0</v>
      </c>
      <c r="V26" s="315">
        <v>0</v>
      </c>
      <c r="W26" s="76">
        <f>M26+U26</f>
        <v>0</v>
      </c>
      <c r="X26" s="258">
        <f>W26/$G$24</f>
        <v>0</v>
      </c>
      <c r="Y26" s="413"/>
    </row>
    <row r="27" spans="1:25" ht="12.75" customHeight="1">
      <c r="A27" s="405">
        <f>A17+1</f>
        <v>3</v>
      </c>
      <c r="B27" s="405">
        <v>600</v>
      </c>
      <c r="C27" s="405">
        <v>60015</v>
      </c>
      <c r="D27" s="408" t="s">
        <v>166</v>
      </c>
      <c r="E27" s="399" t="s">
        <v>165</v>
      </c>
      <c r="F27" s="402">
        <v>2008</v>
      </c>
      <c r="G27" s="1" t="s">
        <v>9</v>
      </c>
      <c r="H27" s="241" t="s">
        <v>10</v>
      </c>
      <c r="I27" s="242"/>
      <c r="J27" s="243"/>
      <c r="K27" s="243">
        <f t="shared" si="0"/>
        <v>0</v>
      </c>
      <c r="L27" s="2"/>
      <c r="M27" s="244"/>
      <c r="N27" s="243"/>
      <c r="O27" s="243"/>
      <c r="P27" s="243"/>
      <c r="Q27" s="243"/>
      <c r="R27" s="243"/>
      <c r="S27" s="243"/>
      <c r="T27" s="2"/>
      <c r="U27" s="307"/>
      <c r="V27" s="308"/>
      <c r="W27" s="243"/>
      <c r="X27" s="260"/>
      <c r="Y27" s="411">
        <f>N35+O35+P35+Q35+R35+S35+N36+O36+P36+Q36+R36+T35+T36+S36</f>
        <v>9117431</v>
      </c>
    </row>
    <row r="28" spans="1:25" ht="12.75">
      <c r="A28" s="406"/>
      <c r="B28" s="406"/>
      <c r="C28" s="406"/>
      <c r="D28" s="409"/>
      <c r="E28" s="400"/>
      <c r="F28" s="403"/>
      <c r="G28" s="414">
        <f>SUM(K35:T35)</f>
        <v>0</v>
      </c>
      <c r="H28" s="246" t="s">
        <v>11</v>
      </c>
      <c r="I28" s="247">
        <v>522385</v>
      </c>
      <c r="J28" s="3">
        <v>305530</v>
      </c>
      <c r="K28" s="249">
        <f t="shared" si="0"/>
        <v>827915</v>
      </c>
      <c r="L28" s="4">
        <v>3679651</v>
      </c>
      <c r="M28" s="250">
        <f>K28+L28</f>
        <v>4507566</v>
      </c>
      <c r="N28" s="3">
        <f>2613680+405162</f>
        <v>3018842</v>
      </c>
      <c r="O28" s="3"/>
      <c r="P28" s="3"/>
      <c r="Q28" s="3"/>
      <c r="R28" s="3"/>
      <c r="S28" s="3"/>
      <c r="T28" s="4"/>
      <c r="U28" s="309">
        <v>74114</v>
      </c>
      <c r="V28" s="310">
        <v>3018842</v>
      </c>
      <c r="W28" s="3">
        <f>M28+U28</f>
        <v>4581680</v>
      </c>
      <c r="X28" s="251">
        <f>W28/$G$34</f>
        <v>0.20153263473190858</v>
      </c>
      <c r="Y28" s="412"/>
    </row>
    <row r="29" spans="1:25" ht="12.75">
      <c r="A29" s="406"/>
      <c r="B29" s="406"/>
      <c r="C29" s="406"/>
      <c r="D29" s="409"/>
      <c r="E29" s="400"/>
      <c r="F29" s="403"/>
      <c r="G29" s="415"/>
      <c r="H29" s="246" t="s">
        <v>12</v>
      </c>
      <c r="I29" s="247"/>
      <c r="J29" s="3"/>
      <c r="K29" s="249">
        <f t="shared" si="0"/>
        <v>0</v>
      </c>
      <c r="L29" s="4"/>
      <c r="M29" s="250"/>
      <c r="N29" s="3"/>
      <c r="O29" s="3"/>
      <c r="P29" s="3"/>
      <c r="Q29" s="3"/>
      <c r="R29" s="3"/>
      <c r="S29" s="3"/>
      <c r="T29" s="4"/>
      <c r="U29" s="309"/>
      <c r="V29" s="310"/>
      <c r="W29" s="3"/>
      <c r="X29" s="251"/>
      <c r="Y29" s="412"/>
    </row>
    <row r="30" spans="1:25" ht="12.75">
      <c r="A30" s="406"/>
      <c r="B30" s="406"/>
      <c r="C30" s="406"/>
      <c r="D30" s="409"/>
      <c r="E30" s="400"/>
      <c r="F30" s="403"/>
      <c r="G30" s="5" t="s">
        <v>13</v>
      </c>
      <c r="H30" s="246" t="s">
        <v>14</v>
      </c>
      <c r="I30" s="247"/>
      <c r="J30" s="3"/>
      <c r="K30" s="249">
        <f t="shared" si="0"/>
        <v>0</v>
      </c>
      <c r="L30" s="4"/>
      <c r="M30" s="250"/>
      <c r="N30" s="3"/>
      <c r="O30" s="3"/>
      <c r="P30" s="3"/>
      <c r="Q30" s="3"/>
      <c r="R30" s="3"/>
      <c r="S30" s="3"/>
      <c r="T30" s="4"/>
      <c r="U30" s="309"/>
      <c r="V30" s="310"/>
      <c r="W30" s="3"/>
      <c r="X30" s="251"/>
      <c r="Y30" s="412"/>
    </row>
    <row r="31" spans="1:25" ht="12.75">
      <c r="A31" s="406"/>
      <c r="B31" s="406"/>
      <c r="C31" s="406"/>
      <c r="D31" s="409"/>
      <c r="E31" s="400"/>
      <c r="F31" s="404"/>
      <c r="G31" s="414">
        <f>M36+N36</f>
        <v>22734184</v>
      </c>
      <c r="H31" s="246" t="s">
        <v>162</v>
      </c>
      <c r="I31" s="247"/>
      <c r="J31" s="3"/>
      <c r="K31" s="249">
        <f t="shared" si="0"/>
        <v>0</v>
      </c>
      <c r="L31" s="4"/>
      <c r="M31" s="250"/>
      <c r="N31" s="3"/>
      <c r="O31" s="3"/>
      <c r="P31" s="3"/>
      <c r="Q31" s="3"/>
      <c r="R31" s="3"/>
      <c r="S31" s="3"/>
      <c r="T31" s="4"/>
      <c r="U31" s="309"/>
      <c r="V31" s="310"/>
      <c r="W31" s="3"/>
      <c r="X31" s="251"/>
      <c r="Y31" s="412"/>
    </row>
    <row r="32" spans="1:25" ht="12.75">
      <c r="A32" s="406"/>
      <c r="B32" s="406"/>
      <c r="C32" s="406"/>
      <c r="D32" s="409"/>
      <c r="E32" s="400"/>
      <c r="F32" s="416">
        <v>2013</v>
      </c>
      <c r="G32" s="415"/>
      <c r="H32" s="246" t="s">
        <v>163</v>
      </c>
      <c r="I32" s="247"/>
      <c r="J32" s="3">
        <v>712902</v>
      </c>
      <c r="K32" s="249">
        <f t="shared" si="0"/>
        <v>712902</v>
      </c>
      <c r="L32" s="4">
        <v>8396285</v>
      </c>
      <c r="M32" s="250">
        <f>K32+L32</f>
        <v>9109187</v>
      </c>
      <c r="N32" s="3">
        <v>6098589</v>
      </c>
      <c r="O32" s="3"/>
      <c r="P32" s="3"/>
      <c r="Q32" s="3"/>
      <c r="R32" s="3"/>
      <c r="S32" s="3"/>
      <c r="T32" s="4"/>
      <c r="U32" s="309">
        <v>102758</v>
      </c>
      <c r="V32" s="310">
        <v>6098589</v>
      </c>
      <c r="W32" s="3">
        <f>M32+U32</f>
        <v>9211945</v>
      </c>
      <c r="X32" s="251">
        <f>W32/$G$34</f>
        <v>0.4052023595832602</v>
      </c>
      <c r="Y32" s="412"/>
    </row>
    <row r="33" spans="1:25" ht="12.75">
      <c r="A33" s="406"/>
      <c r="B33" s="406"/>
      <c r="C33" s="406"/>
      <c r="D33" s="409"/>
      <c r="E33" s="400"/>
      <c r="F33" s="403"/>
      <c r="G33" s="5" t="s">
        <v>17</v>
      </c>
      <c r="H33" s="246" t="s">
        <v>15</v>
      </c>
      <c r="I33" s="247"/>
      <c r="J33" s="3"/>
      <c r="K33" s="249">
        <f t="shared" si="0"/>
        <v>0</v>
      </c>
      <c r="L33" s="4"/>
      <c r="M33" s="250"/>
      <c r="N33" s="3"/>
      <c r="O33" s="3"/>
      <c r="P33" s="3"/>
      <c r="Q33" s="3"/>
      <c r="R33" s="3"/>
      <c r="S33" s="3"/>
      <c r="T33" s="4"/>
      <c r="U33" s="309"/>
      <c r="V33" s="310"/>
      <c r="W33" s="3"/>
      <c r="X33" s="251"/>
      <c r="Y33" s="412"/>
    </row>
    <row r="34" spans="1:25" ht="12.75">
      <c r="A34" s="406"/>
      <c r="B34" s="406"/>
      <c r="C34" s="406"/>
      <c r="D34" s="409"/>
      <c r="E34" s="400"/>
      <c r="F34" s="403"/>
      <c r="G34" s="414">
        <f>G28+G31</f>
        <v>22734184</v>
      </c>
      <c r="H34" s="246" t="s">
        <v>16</v>
      </c>
      <c r="I34" s="247"/>
      <c r="J34" s="3"/>
      <c r="K34" s="249">
        <f t="shared" si="0"/>
        <v>0</v>
      </c>
      <c r="L34" s="4"/>
      <c r="M34" s="250"/>
      <c r="N34" s="3"/>
      <c r="O34" s="3"/>
      <c r="P34" s="3"/>
      <c r="Q34" s="3"/>
      <c r="R34" s="3"/>
      <c r="S34" s="3"/>
      <c r="T34" s="4"/>
      <c r="U34" s="309"/>
      <c r="V34" s="310"/>
      <c r="W34" s="3"/>
      <c r="X34" s="251"/>
      <c r="Y34" s="412"/>
    </row>
    <row r="35" spans="1:25" ht="12.75">
      <c r="A35" s="406"/>
      <c r="B35" s="406"/>
      <c r="C35" s="406"/>
      <c r="D35" s="409"/>
      <c r="E35" s="400"/>
      <c r="F35" s="403"/>
      <c r="G35" s="418"/>
      <c r="H35" s="246" t="s">
        <v>18</v>
      </c>
      <c r="I35" s="252">
        <f>I27+I29+I31+I33</f>
        <v>0</v>
      </c>
      <c r="J35" s="7">
        <f>J27+J29+J31+J33</f>
        <v>0</v>
      </c>
      <c r="K35" s="249">
        <f t="shared" si="0"/>
        <v>0</v>
      </c>
      <c r="L35" s="123">
        <f>L27+L29+L31+L33</f>
        <v>0</v>
      </c>
      <c r="M35" s="250">
        <f>K35+L35</f>
        <v>0</v>
      </c>
      <c r="N35" s="7">
        <f aca="true" t="shared" si="5" ref="N35:T36">N27+N29+N31+N33</f>
        <v>0</v>
      </c>
      <c r="O35" s="7">
        <f t="shared" si="5"/>
        <v>0</v>
      </c>
      <c r="P35" s="7">
        <f t="shared" si="5"/>
        <v>0</v>
      </c>
      <c r="Q35" s="7">
        <f t="shared" si="5"/>
        <v>0</v>
      </c>
      <c r="R35" s="7">
        <f t="shared" si="5"/>
        <v>0</v>
      </c>
      <c r="S35" s="7">
        <f t="shared" si="5"/>
        <v>0</v>
      </c>
      <c r="T35" s="123">
        <f t="shared" si="5"/>
        <v>0</v>
      </c>
      <c r="U35" s="311">
        <v>0</v>
      </c>
      <c r="V35" s="314">
        <v>0</v>
      </c>
      <c r="W35" s="3">
        <f>M35+U35</f>
        <v>0</v>
      </c>
      <c r="X35" s="251">
        <f>W35/$G$34</f>
        <v>0</v>
      </c>
      <c r="Y35" s="412"/>
    </row>
    <row r="36" spans="1:25" ht="13.5" thickBot="1">
      <c r="A36" s="407"/>
      <c r="B36" s="407"/>
      <c r="C36" s="407"/>
      <c r="D36" s="410"/>
      <c r="E36" s="401"/>
      <c r="F36" s="417"/>
      <c r="G36" s="419"/>
      <c r="H36" s="253" t="s">
        <v>19</v>
      </c>
      <c r="I36" s="254">
        <f>I28+I30+I32+I34</f>
        <v>522385</v>
      </c>
      <c r="J36" s="10">
        <f>J28+J30+J32+J34</f>
        <v>1018432</v>
      </c>
      <c r="K36" s="255">
        <f t="shared" si="0"/>
        <v>1540817</v>
      </c>
      <c r="L36" s="124">
        <f>L28+L30+L32+L34</f>
        <v>12075936</v>
      </c>
      <c r="M36" s="256">
        <f>K36+L36</f>
        <v>13616753</v>
      </c>
      <c r="N36" s="10">
        <f t="shared" si="5"/>
        <v>9117431</v>
      </c>
      <c r="O36" s="10">
        <f t="shared" si="5"/>
        <v>0</v>
      </c>
      <c r="P36" s="10">
        <f t="shared" si="5"/>
        <v>0</v>
      </c>
      <c r="Q36" s="10">
        <f t="shared" si="5"/>
        <v>0</v>
      </c>
      <c r="R36" s="10">
        <f t="shared" si="5"/>
        <v>0</v>
      </c>
      <c r="S36" s="10">
        <f t="shared" si="5"/>
        <v>0</v>
      </c>
      <c r="T36" s="124">
        <f t="shared" si="5"/>
        <v>0</v>
      </c>
      <c r="U36" s="312">
        <v>176872</v>
      </c>
      <c r="V36" s="315">
        <f>V28+V30+V32+V34</f>
        <v>9117431</v>
      </c>
      <c r="W36" s="76">
        <f>M36+U36</f>
        <v>13793625</v>
      </c>
      <c r="X36" s="258">
        <f>W36/$G$34</f>
        <v>0.6067349943151688</v>
      </c>
      <c r="Y36" s="413"/>
    </row>
    <row r="37" spans="1:25" ht="12.75" customHeight="1">
      <c r="A37" s="405">
        <f>A27+1</f>
        <v>4</v>
      </c>
      <c r="B37" s="405">
        <v>600</v>
      </c>
      <c r="C37" s="405">
        <v>60015</v>
      </c>
      <c r="D37" s="408" t="s">
        <v>167</v>
      </c>
      <c r="E37" s="399" t="s">
        <v>165</v>
      </c>
      <c r="F37" s="402">
        <v>2009</v>
      </c>
      <c r="G37" s="1" t="s">
        <v>9</v>
      </c>
      <c r="H37" s="241" t="s">
        <v>10</v>
      </c>
      <c r="I37" s="242"/>
      <c r="J37" s="243"/>
      <c r="K37" s="243">
        <f t="shared" si="0"/>
        <v>0</v>
      </c>
      <c r="L37" s="243"/>
      <c r="M37" s="243"/>
      <c r="N37" s="243"/>
      <c r="O37" s="243"/>
      <c r="P37" s="243"/>
      <c r="Q37" s="243"/>
      <c r="R37" s="243"/>
      <c r="S37" s="243"/>
      <c r="T37" s="2"/>
      <c r="U37" s="307"/>
      <c r="V37" s="308"/>
      <c r="W37" s="243"/>
      <c r="X37" s="260"/>
      <c r="Y37" s="411">
        <f>N45+O45+P45+Q45+R45+S45+N46+O46+P46+Q46+R46+T45+T46+S46</f>
        <v>68846667</v>
      </c>
    </row>
    <row r="38" spans="1:25" ht="12.75">
      <c r="A38" s="406"/>
      <c r="B38" s="406"/>
      <c r="C38" s="406"/>
      <c r="D38" s="409"/>
      <c r="E38" s="400"/>
      <c r="F38" s="403"/>
      <c r="G38" s="414">
        <f>SUM(K45:T45)</f>
        <v>0</v>
      </c>
      <c r="H38" s="246" t="s">
        <v>11</v>
      </c>
      <c r="I38" s="247"/>
      <c r="J38" s="3"/>
      <c r="K38" s="249">
        <f>298375+170796</f>
        <v>469171</v>
      </c>
      <c r="L38" s="3">
        <v>66525</v>
      </c>
      <c r="M38" s="3">
        <f>K38+L38</f>
        <v>535696</v>
      </c>
      <c r="N38" s="3">
        <v>6654664</v>
      </c>
      <c r="O38" s="3">
        <f>3672329+50</f>
        <v>3672379</v>
      </c>
      <c r="P38" s="3"/>
      <c r="Q38" s="3"/>
      <c r="R38" s="3"/>
      <c r="S38" s="3"/>
      <c r="T38" s="4"/>
      <c r="U38" s="309">
        <v>3132669</v>
      </c>
      <c r="V38" s="310">
        <v>6654664</v>
      </c>
      <c r="W38" s="3">
        <f>M38+U38</f>
        <v>3668365</v>
      </c>
      <c r="X38" s="251">
        <f>W38/$G$44</f>
        <v>0.05134161622973742</v>
      </c>
      <c r="Y38" s="412"/>
    </row>
    <row r="39" spans="1:25" ht="12.75">
      <c r="A39" s="406"/>
      <c r="B39" s="406"/>
      <c r="C39" s="406"/>
      <c r="D39" s="409"/>
      <c r="E39" s="400"/>
      <c r="F39" s="403"/>
      <c r="G39" s="415"/>
      <c r="H39" s="246" t="s">
        <v>12</v>
      </c>
      <c r="I39" s="247"/>
      <c r="J39" s="3"/>
      <c r="K39" s="249">
        <f>I39+J39</f>
        <v>0</v>
      </c>
      <c r="L39" s="3"/>
      <c r="M39" s="3"/>
      <c r="N39" s="3"/>
      <c r="O39" s="3"/>
      <c r="P39" s="3"/>
      <c r="Q39" s="3"/>
      <c r="R39" s="3"/>
      <c r="S39" s="3"/>
      <c r="T39" s="4"/>
      <c r="U39" s="309"/>
      <c r="V39" s="310"/>
      <c r="W39" s="3"/>
      <c r="X39" s="251"/>
      <c r="Y39" s="412"/>
    </row>
    <row r="40" spans="1:25" ht="12.75">
      <c r="A40" s="406"/>
      <c r="B40" s="406"/>
      <c r="C40" s="406"/>
      <c r="D40" s="409"/>
      <c r="E40" s="400"/>
      <c r="F40" s="403"/>
      <c r="G40" s="5" t="s">
        <v>13</v>
      </c>
      <c r="H40" s="246" t="s">
        <v>14</v>
      </c>
      <c r="I40" s="247"/>
      <c r="J40" s="3"/>
      <c r="K40" s="249">
        <f>I40+J40</f>
        <v>0</v>
      </c>
      <c r="L40" s="3"/>
      <c r="M40" s="3"/>
      <c r="N40" s="3"/>
      <c r="O40" s="3"/>
      <c r="P40" s="3"/>
      <c r="Q40" s="3"/>
      <c r="R40" s="3"/>
      <c r="S40" s="3"/>
      <c r="T40" s="4"/>
      <c r="U40" s="309"/>
      <c r="V40" s="310"/>
      <c r="W40" s="3"/>
      <c r="X40" s="251"/>
      <c r="Y40" s="412"/>
    </row>
    <row r="41" spans="1:25" ht="12.75">
      <c r="A41" s="406"/>
      <c r="B41" s="406"/>
      <c r="C41" s="406"/>
      <c r="D41" s="409"/>
      <c r="E41" s="400"/>
      <c r="F41" s="404"/>
      <c r="G41" s="414">
        <f>M46+N46+O46</f>
        <v>71450127</v>
      </c>
      <c r="H41" s="246" t="s">
        <v>162</v>
      </c>
      <c r="I41" s="247"/>
      <c r="J41" s="3"/>
      <c r="K41" s="249">
        <f>I41+J41</f>
        <v>0</v>
      </c>
      <c r="L41" s="3"/>
      <c r="M41" s="3"/>
      <c r="N41" s="3"/>
      <c r="O41" s="3"/>
      <c r="P41" s="3"/>
      <c r="Q41" s="3"/>
      <c r="R41" s="3"/>
      <c r="S41" s="3"/>
      <c r="T41" s="4"/>
      <c r="U41" s="309"/>
      <c r="V41" s="310"/>
      <c r="W41" s="3"/>
      <c r="X41" s="251"/>
      <c r="Y41" s="412"/>
    </row>
    <row r="42" spans="1:25" ht="12.75">
      <c r="A42" s="406"/>
      <c r="B42" s="406"/>
      <c r="C42" s="406"/>
      <c r="D42" s="409"/>
      <c r="E42" s="400"/>
      <c r="F42" s="416">
        <v>2014</v>
      </c>
      <c r="G42" s="415"/>
      <c r="H42" s="246" t="s">
        <v>163</v>
      </c>
      <c r="I42" s="247"/>
      <c r="J42" s="3"/>
      <c r="K42" s="249">
        <v>1690792</v>
      </c>
      <c r="L42" s="3">
        <v>376972</v>
      </c>
      <c r="M42" s="3">
        <f>K42+L42</f>
        <v>2067764</v>
      </c>
      <c r="N42" s="3">
        <v>37709766</v>
      </c>
      <c r="O42" s="3">
        <v>20809858</v>
      </c>
      <c r="P42" s="3"/>
      <c r="Q42" s="3"/>
      <c r="R42" s="3"/>
      <c r="S42" s="3"/>
      <c r="T42" s="4"/>
      <c r="U42" s="309">
        <v>17751791</v>
      </c>
      <c r="V42" s="310">
        <v>37709766</v>
      </c>
      <c r="W42" s="3">
        <f>M42+U42</f>
        <v>19819555</v>
      </c>
      <c r="X42" s="251">
        <f>W42/$G$44</f>
        <v>0.27739005978253894</v>
      </c>
      <c r="Y42" s="412"/>
    </row>
    <row r="43" spans="1:25" ht="12.75">
      <c r="A43" s="406"/>
      <c r="B43" s="406"/>
      <c r="C43" s="406"/>
      <c r="D43" s="409"/>
      <c r="E43" s="400"/>
      <c r="F43" s="403"/>
      <c r="G43" s="5" t="s">
        <v>17</v>
      </c>
      <c r="H43" s="246" t="s">
        <v>15</v>
      </c>
      <c r="I43" s="247"/>
      <c r="J43" s="3"/>
      <c r="K43" s="249">
        <f>I43+J43</f>
        <v>0</v>
      </c>
      <c r="L43" s="3"/>
      <c r="M43" s="3"/>
      <c r="N43" s="3"/>
      <c r="O43" s="3"/>
      <c r="P43" s="3"/>
      <c r="Q43" s="3"/>
      <c r="R43" s="3"/>
      <c r="S43" s="3"/>
      <c r="T43" s="4"/>
      <c r="U43" s="309"/>
      <c r="V43" s="310"/>
      <c r="W43" s="3"/>
      <c r="X43" s="251"/>
      <c r="Y43" s="412"/>
    </row>
    <row r="44" spans="1:25" ht="12.75">
      <c r="A44" s="406"/>
      <c r="B44" s="406"/>
      <c r="C44" s="406"/>
      <c r="D44" s="409"/>
      <c r="E44" s="400"/>
      <c r="F44" s="403"/>
      <c r="G44" s="414">
        <f>G38+G41</f>
        <v>71450127</v>
      </c>
      <c r="H44" s="246" t="s">
        <v>16</v>
      </c>
      <c r="I44" s="247"/>
      <c r="J44" s="3"/>
      <c r="K44" s="249">
        <f>I44+J44</f>
        <v>0</v>
      </c>
      <c r="L44" s="3"/>
      <c r="M44" s="3"/>
      <c r="N44" s="3"/>
      <c r="O44" s="3"/>
      <c r="P44" s="3"/>
      <c r="Q44" s="3"/>
      <c r="R44" s="3"/>
      <c r="S44" s="3"/>
      <c r="T44" s="4"/>
      <c r="U44" s="309"/>
      <c r="V44" s="310"/>
      <c r="W44" s="3"/>
      <c r="X44" s="251"/>
      <c r="Y44" s="412"/>
    </row>
    <row r="45" spans="1:25" ht="12.75">
      <c r="A45" s="406"/>
      <c r="B45" s="406"/>
      <c r="C45" s="406"/>
      <c r="D45" s="409"/>
      <c r="E45" s="400"/>
      <c r="F45" s="403"/>
      <c r="G45" s="418"/>
      <c r="H45" s="246" t="s">
        <v>18</v>
      </c>
      <c r="I45" s="252">
        <f>I37+I39+I41+I43</f>
        <v>0</v>
      </c>
      <c r="J45" s="7">
        <f>J37+J39+J41+J43</f>
        <v>0</v>
      </c>
      <c r="K45" s="249">
        <f>I45+J45</f>
        <v>0</v>
      </c>
      <c r="L45" s="7">
        <f>L37+L39+L41+L43</f>
        <v>0</v>
      </c>
      <c r="M45" s="3">
        <f>K45+L45</f>
        <v>0</v>
      </c>
      <c r="N45" s="7">
        <f aca="true" t="shared" si="6" ref="N45:T46">N37+N39+N41+N43</f>
        <v>0</v>
      </c>
      <c r="O45" s="7">
        <f t="shared" si="6"/>
        <v>0</v>
      </c>
      <c r="P45" s="7">
        <f t="shared" si="6"/>
        <v>0</v>
      </c>
      <c r="Q45" s="7">
        <f t="shared" si="6"/>
        <v>0</v>
      </c>
      <c r="R45" s="7">
        <f t="shared" si="6"/>
        <v>0</v>
      </c>
      <c r="S45" s="7">
        <f t="shared" si="6"/>
        <v>0</v>
      </c>
      <c r="T45" s="123">
        <f t="shared" si="6"/>
        <v>0</v>
      </c>
      <c r="U45" s="311">
        <v>0</v>
      </c>
      <c r="V45" s="314">
        <v>0</v>
      </c>
      <c r="W45" s="3">
        <f>M45+U45</f>
        <v>0</v>
      </c>
      <c r="X45" s="251">
        <f>W45/$G$44</f>
        <v>0</v>
      </c>
      <c r="Y45" s="412"/>
    </row>
    <row r="46" spans="1:25" ht="13.5" thickBot="1">
      <c r="A46" s="407"/>
      <c r="B46" s="407"/>
      <c r="C46" s="407"/>
      <c r="D46" s="410"/>
      <c r="E46" s="401"/>
      <c r="F46" s="417"/>
      <c r="G46" s="419"/>
      <c r="H46" s="253" t="s">
        <v>19</v>
      </c>
      <c r="I46" s="254">
        <f>I38+I40+I42+I44</f>
        <v>0</v>
      </c>
      <c r="J46" s="10">
        <f>J38+J40+J42+J44</f>
        <v>0</v>
      </c>
      <c r="K46" s="255">
        <f>K38+K40+K42+K44</f>
        <v>2159963</v>
      </c>
      <c r="L46" s="10">
        <f>L38+L40+L42+L44</f>
        <v>443497</v>
      </c>
      <c r="M46" s="76">
        <f>K46+L46</f>
        <v>2603460</v>
      </c>
      <c r="N46" s="10">
        <f t="shared" si="6"/>
        <v>44364430</v>
      </c>
      <c r="O46" s="10">
        <f t="shared" si="6"/>
        <v>24482237</v>
      </c>
      <c r="P46" s="10">
        <f t="shared" si="6"/>
        <v>0</v>
      </c>
      <c r="Q46" s="10">
        <f t="shared" si="6"/>
        <v>0</v>
      </c>
      <c r="R46" s="10">
        <f t="shared" si="6"/>
        <v>0</v>
      </c>
      <c r="S46" s="10">
        <f t="shared" si="6"/>
        <v>0</v>
      </c>
      <c r="T46" s="124">
        <f t="shared" si="6"/>
        <v>0</v>
      </c>
      <c r="U46" s="312">
        <v>20884460</v>
      </c>
      <c r="V46" s="315">
        <f>V38+V40+V42+V44</f>
        <v>44364430</v>
      </c>
      <c r="W46" s="76">
        <f>M46+U46</f>
        <v>23487920</v>
      </c>
      <c r="X46" s="258">
        <f>W46/$G$44</f>
        <v>0.3287316760122764</v>
      </c>
      <c r="Y46" s="413"/>
    </row>
    <row r="47" spans="1:25" ht="13.5" customHeight="1">
      <c r="A47" s="405">
        <f>A37+1</f>
        <v>5</v>
      </c>
      <c r="B47" s="405">
        <v>600</v>
      </c>
      <c r="C47" s="405">
        <v>60015</v>
      </c>
      <c r="D47" s="408" t="s">
        <v>168</v>
      </c>
      <c r="E47" s="399" t="s">
        <v>165</v>
      </c>
      <c r="F47" s="402">
        <v>2013</v>
      </c>
      <c r="G47" s="1" t="s">
        <v>9</v>
      </c>
      <c r="H47" s="241" t="s">
        <v>10</v>
      </c>
      <c r="I47" s="242"/>
      <c r="J47" s="243"/>
      <c r="K47" s="243">
        <f aca="true" t="shared" si="7" ref="K47:K78">I47+J47</f>
        <v>0</v>
      </c>
      <c r="L47" s="2"/>
      <c r="M47" s="244"/>
      <c r="N47" s="243"/>
      <c r="O47" s="243"/>
      <c r="P47" s="243"/>
      <c r="Q47" s="243"/>
      <c r="R47" s="243"/>
      <c r="S47" s="243"/>
      <c r="T47" s="2"/>
      <c r="U47" s="307"/>
      <c r="V47" s="308"/>
      <c r="W47" s="243">
        <f>M47+U47</f>
        <v>0</v>
      </c>
      <c r="X47" s="260"/>
      <c r="Y47" s="411">
        <f>N55+O55+P55+Q55+R55+S55+N56+O56+P56+Q56+R56+T55+T56+S56</f>
        <v>1997798</v>
      </c>
    </row>
    <row r="48" spans="1:25" ht="12.75">
      <c r="A48" s="406"/>
      <c r="B48" s="406"/>
      <c r="C48" s="406"/>
      <c r="D48" s="409"/>
      <c r="E48" s="400"/>
      <c r="F48" s="403"/>
      <c r="G48" s="414">
        <f>SUM(K55:T55)</f>
        <v>0</v>
      </c>
      <c r="H48" s="246" t="s">
        <v>11</v>
      </c>
      <c r="I48" s="247"/>
      <c r="J48" s="3"/>
      <c r="K48" s="249">
        <f t="shared" si="7"/>
        <v>0</v>
      </c>
      <c r="L48" s="4"/>
      <c r="M48" s="250">
        <v>0</v>
      </c>
      <c r="N48" s="3">
        <v>27750</v>
      </c>
      <c r="O48" s="3">
        <v>334690</v>
      </c>
      <c r="P48" s="3">
        <v>137010</v>
      </c>
      <c r="Q48" s="3"/>
      <c r="R48" s="3"/>
      <c r="S48" s="3"/>
      <c r="T48" s="4"/>
      <c r="U48" s="309">
        <v>0</v>
      </c>
      <c r="V48" s="310">
        <v>27750</v>
      </c>
      <c r="W48" s="3">
        <f>M48+U48</f>
        <v>0</v>
      </c>
      <c r="X48" s="251">
        <f>W48/$G$54</f>
        <v>0</v>
      </c>
      <c r="Y48" s="412"/>
    </row>
    <row r="49" spans="1:25" ht="12.75">
      <c r="A49" s="406"/>
      <c r="B49" s="406"/>
      <c r="C49" s="406"/>
      <c r="D49" s="409"/>
      <c r="E49" s="400"/>
      <c r="F49" s="403"/>
      <c r="G49" s="415"/>
      <c r="H49" s="246" t="s">
        <v>12</v>
      </c>
      <c r="I49" s="247"/>
      <c r="J49" s="3"/>
      <c r="K49" s="249">
        <f t="shared" si="7"/>
        <v>0</v>
      </c>
      <c r="L49" s="4"/>
      <c r="M49" s="250"/>
      <c r="N49" s="3"/>
      <c r="O49" s="3"/>
      <c r="P49" s="3"/>
      <c r="Q49" s="3"/>
      <c r="R49" s="3"/>
      <c r="S49" s="3"/>
      <c r="T49" s="4"/>
      <c r="U49" s="309"/>
      <c r="V49" s="310"/>
      <c r="W49" s="3"/>
      <c r="X49" s="251"/>
      <c r="Y49" s="412"/>
    </row>
    <row r="50" spans="1:25" ht="12.75">
      <c r="A50" s="406"/>
      <c r="B50" s="406"/>
      <c r="C50" s="406"/>
      <c r="D50" s="409"/>
      <c r="E50" s="400"/>
      <c r="F50" s="403"/>
      <c r="G50" s="5" t="s">
        <v>13</v>
      </c>
      <c r="H50" s="246" t="s">
        <v>14</v>
      </c>
      <c r="I50" s="247"/>
      <c r="J50" s="3"/>
      <c r="K50" s="249">
        <f t="shared" si="7"/>
        <v>0</v>
      </c>
      <c r="L50" s="4"/>
      <c r="M50" s="250"/>
      <c r="N50" s="3"/>
      <c r="O50" s="3"/>
      <c r="P50" s="3"/>
      <c r="Q50" s="3"/>
      <c r="R50" s="3"/>
      <c r="S50" s="3"/>
      <c r="T50" s="4"/>
      <c r="U50" s="309"/>
      <c r="V50" s="310"/>
      <c r="W50" s="3"/>
      <c r="X50" s="251"/>
      <c r="Y50" s="412"/>
    </row>
    <row r="51" spans="1:25" ht="12.75">
      <c r="A51" s="406"/>
      <c r="B51" s="406"/>
      <c r="C51" s="406"/>
      <c r="D51" s="409"/>
      <c r="E51" s="400"/>
      <c r="F51" s="404"/>
      <c r="G51" s="414">
        <f>N56+O56+P56</f>
        <v>1997798</v>
      </c>
      <c r="H51" s="246" t="s">
        <v>162</v>
      </c>
      <c r="I51" s="247"/>
      <c r="J51" s="3"/>
      <c r="K51" s="249">
        <f t="shared" si="7"/>
        <v>0</v>
      </c>
      <c r="L51" s="4"/>
      <c r="M51" s="250"/>
      <c r="N51" s="3"/>
      <c r="O51" s="3"/>
      <c r="P51" s="3"/>
      <c r="Q51" s="3"/>
      <c r="R51" s="3"/>
      <c r="S51" s="3"/>
      <c r="T51" s="4"/>
      <c r="U51" s="309"/>
      <c r="V51" s="310"/>
      <c r="W51" s="3"/>
      <c r="X51" s="251"/>
      <c r="Y51" s="412"/>
    </row>
    <row r="52" spans="1:25" ht="12.75">
      <c r="A52" s="406"/>
      <c r="B52" s="406"/>
      <c r="C52" s="406"/>
      <c r="D52" s="409"/>
      <c r="E52" s="400"/>
      <c r="F52" s="416">
        <v>2015</v>
      </c>
      <c r="G52" s="415"/>
      <c r="H52" s="246" t="s">
        <v>163</v>
      </c>
      <c r="I52" s="247"/>
      <c r="J52" s="3"/>
      <c r="K52" s="249">
        <f t="shared" si="7"/>
        <v>0</v>
      </c>
      <c r="L52" s="4"/>
      <c r="M52" s="250">
        <v>0</v>
      </c>
      <c r="N52" s="3">
        <v>83250</v>
      </c>
      <c r="O52" s="3">
        <v>1004068</v>
      </c>
      <c r="P52" s="3">
        <v>411030</v>
      </c>
      <c r="Q52" s="3"/>
      <c r="R52" s="3"/>
      <c r="S52" s="3"/>
      <c r="T52" s="4"/>
      <c r="U52" s="309">
        <v>0</v>
      </c>
      <c r="V52" s="310">
        <v>83250</v>
      </c>
      <c r="W52" s="3">
        <f>M52+U52</f>
        <v>0</v>
      </c>
      <c r="X52" s="251">
        <f>W52/$G$54</f>
        <v>0</v>
      </c>
      <c r="Y52" s="412"/>
    </row>
    <row r="53" spans="1:25" ht="12.75">
      <c r="A53" s="406"/>
      <c r="B53" s="406"/>
      <c r="C53" s="406"/>
      <c r="D53" s="409"/>
      <c r="E53" s="400"/>
      <c r="F53" s="403"/>
      <c r="G53" s="5" t="s">
        <v>17</v>
      </c>
      <c r="H53" s="246" t="s">
        <v>15</v>
      </c>
      <c r="I53" s="247"/>
      <c r="J53" s="3"/>
      <c r="K53" s="249">
        <f t="shared" si="7"/>
        <v>0</v>
      </c>
      <c r="L53" s="4"/>
      <c r="M53" s="250"/>
      <c r="N53" s="3"/>
      <c r="O53" s="3"/>
      <c r="P53" s="3"/>
      <c r="Q53" s="3"/>
      <c r="R53" s="3"/>
      <c r="S53" s="3"/>
      <c r="T53" s="4"/>
      <c r="U53" s="309"/>
      <c r="V53" s="310"/>
      <c r="W53" s="3"/>
      <c r="X53" s="251"/>
      <c r="Y53" s="412"/>
    </row>
    <row r="54" spans="1:25" ht="12.75">
      <c r="A54" s="406"/>
      <c r="B54" s="406"/>
      <c r="C54" s="406"/>
      <c r="D54" s="409"/>
      <c r="E54" s="400"/>
      <c r="F54" s="403"/>
      <c r="G54" s="414">
        <f>G48+G51</f>
        <v>1997798</v>
      </c>
      <c r="H54" s="246" t="s">
        <v>16</v>
      </c>
      <c r="I54" s="247"/>
      <c r="J54" s="3"/>
      <c r="K54" s="249">
        <f t="shared" si="7"/>
        <v>0</v>
      </c>
      <c r="L54" s="4"/>
      <c r="M54" s="250"/>
      <c r="N54" s="3"/>
      <c r="O54" s="3"/>
      <c r="P54" s="3"/>
      <c r="Q54" s="3"/>
      <c r="R54" s="3"/>
      <c r="S54" s="3"/>
      <c r="T54" s="4"/>
      <c r="U54" s="309"/>
      <c r="V54" s="310"/>
      <c r="W54" s="3"/>
      <c r="X54" s="251"/>
      <c r="Y54" s="412"/>
    </row>
    <row r="55" spans="1:25" ht="12.75">
      <c r="A55" s="406"/>
      <c r="B55" s="406"/>
      <c r="C55" s="406"/>
      <c r="D55" s="409"/>
      <c r="E55" s="400"/>
      <c r="F55" s="403"/>
      <c r="G55" s="418"/>
      <c r="H55" s="246" t="s">
        <v>18</v>
      </c>
      <c r="I55" s="252">
        <f>I47+I49+I51+I53</f>
        <v>0</v>
      </c>
      <c r="J55" s="7">
        <f>J47+J49+J51+J53</f>
        <v>0</v>
      </c>
      <c r="K55" s="249">
        <f t="shared" si="7"/>
        <v>0</v>
      </c>
      <c r="L55" s="123">
        <f>L47+L49+L51+L53</f>
        <v>0</v>
      </c>
      <c r="M55" s="250">
        <f>K55+L55</f>
        <v>0</v>
      </c>
      <c r="N55" s="7">
        <f aca="true" t="shared" si="8" ref="N55:T56">N47+N49+N51+N53</f>
        <v>0</v>
      </c>
      <c r="O55" s="7">
        <f t="shared" si="8"/>
        <v>0</v>
      </c>
      <c r="P55" s="7">
        <f t="shared" si="8"/>
        <v>0</v>
      </c>
      <c r="Q55" s="7">
        <f t="shared" si="8"/>
        <v>0</v>
      </c>
      <c r="R55" s="7">
        <f t="shared" si="8"/>
        <v>0</v>
      </c>
      <c r="S55" s="7">
        <f t="shared" si="8"/>
        <v>0</v>
      </c>
      <c r="T55" s="123">
        <f t="shared" si="8"/>
        <v>0</v>
      </c>
      <c r="U55" s="311">
        <v>0</v>
      </c>
      <c r="V55" s="314">
        <v>0</v>
      </c>
      <c r="W55" s="3">
        <f>M55+U55</f>
        <v>0</v>
      </c>
      <c r="X55" s="251">
        <f>W55/$G$54</f>
        <v>0</v>
      </c>
      <c r="Y55" s="412"/>
    </row>
    <row r="56" spans="1:25" ht="13.5" thickBot="1">
      <c r="A56" s="407"/>
      <c r="B56" s="407"/>
      <c r="C56" s="407"/>
      <c r="D56" s="410"/>
      <c r="E56" s="401"/>
      <c r="F56" s="417"/>
      <c r="G56" s="419"/>
      <c r="H56" s="253" t="s">
        <v>19</v>
      </c>
      <c r="I56" s="254">
        <f>I48+I50+I52+I54</f>
        <v>0</v>
      </c>
      <c r="J56" s="10">
        <f>J48+J50+J52+J54</f>
        <v>0</v>
      </c>
      <c r="K56" s="255">
        <f t="shared" si="7"/>
        <v>0</v>
      </c>
      <c r="L56" s="124">
        <f>L48+L50+L52+L54</f>
        <v>0</v>
      </c>
      <c r="M56" s="256">
        <f>K56+L56</f>
        <v>0</v>
      </c>
      <c r="N56" s="10">
        <f t="shared" si="8"/>
        <v>111000</v>
      </c>
      <c r="O56" s="10">
        <f t="shared" si="8"/>
        <v>1338758</v>
      </c>
      <c r="P56" s="10">
        <f t="shared" si="8"/>
        <v>548040</v>
      </c>
      <c r="Q56" s="10">
        <f t="shared" si="8"/>
        <v>0</v>
      </c>
      <c r="R56" s="10">
        <f t="shared" si="8"/>
        <v>0</v>
      </c>
      <c r="S56" s="10">
        <f t="shared" si="8"/>
        <v>0</v>
      </c>
      <c r="T56" s="124">
        <f t="shared" si="8"/>
        <v>0</v>
      </c>
      <c r="U56" s="312">
        <v>0</v>
      </c>
      <c r="V56" s="315">
        <v>111000</v>
      </c>
      <c r="W56" s="76">
        <f>M56+U56</f>
        <v>0</v>
      </c>
      <c r="X56" s="258">
        <f>W56/$G$54</f>
        <v>0</v>
      </c>
      <c r="Y56" s="413"/>
    </row>
    <row r="57" spans="1:25" ht="12.75" customHeight="1">
      <c r="A57" s="405">
        <f>A47+1</f>
        <v>6</v>
      </c>
      <c r="B57" s="405">
        <v>600</v>
      </c>
      <c r="C57" s="405">
        <v>60095</v>
      </c>
      <c r="D57" s="408" t="s">
        <v>169</v>
      </c>
      <c r="E57" s="399" t="s">
        <v>170</v>
      </c>
      <c r="F57" s="402">
        <v>2011</v>
      </c>
      <c r="G57" s="1" t="s">
        <v>9</v>
      </c>
      <c r="H57" s="241" t="s">
        <v>10</v>
      </c>
      <c r="I57" s="242"/>
      <c r="J57" s="243"/>
      <c r="K57" s="243">
        <f t="shared" si="7"/>
        <v>0</v>
      </c>
      <c r="L57" s="243">
        <v>11667</v>
      </c>
      <c r="M57" s="249">
        <f>K57+L57</f>
        <v>11667</v>
      </c>
      <c r="N57" s="249">
        <v>73684</v>
      </c>
      <c r="O57" s="249">
        <v>52649</v>
      </c>
      <c r="P57" s="249"/>
      <c r="Q57" s="249"/>
      <c r="R57" s="249"/>
      <c r="S57" s="249"/>
      <c r="T57" s="11"/>
      <c r="U57" s="316">
        <v>6287</v>
      </c>
      <c r="V57" s="317">
        <v>73684</v>
      </c>
      <c r="W57" s="249">
        <f>M57+U57</f>
        <v>17954</v>
      </c>
      <c r="X57" s="260">
        <f>W57/$G$64</f>
        <v>0.019515217391304348</v>
      </c>
      <c r="Y57" s="411">
        <f>N65+O65+P65+Q65+R65+S65+N66+O66+P66+Q66+R66+T65+T66+S66</f>
        <v>842225</v>
      </c>
    </row>
    <row r="58" spans="1:25" ht="12.75">
      <c r="A58" s="406"/>
      <c r="B58" s="406"/>
      <c r="C58" s="406"/>
      <c r="D58" s="409"/>
      <c r="E58" s="400"/>
      <c r="F58" s="403"/>
      <c r="G58" s="414">
        <f>M65+N65+O65</f>
        <v>920000</v>
      </c>
      <c r="H58" s="246" t="s">
        <v>11</v>
      </c>
      <c r="I58" s="247"/>
      <c r="J58" s="3"/>
      <c r="K58" s="249">
        <f t="shared" si="7"/>
        <v>0</v>
      </c>
      <c r="L58" s="3"/>
      <c r="M58" s="3"/>
      <c r="N58" s="3"/>
      <c r="O58" s="3"/>
      <c r="P58" s="3"/>
      <c r="Q58" s="3"/>
      <c r="R58" s="3"/>
      <c r="S58" s="3"/>
      <c r="T58" s="4"/>
      <c r="U58" s="309"/>
      <c r="V58" s="310"/>
      <c r="W58" s="3"/>
      <c r="X58" s="251"/>
      <c r="Y58" s="412"/>
    </row>
    <row r="59" spans="1:25" ht="12.75">
      <c r="A59" s="406"/>
      <c r="B59" s="406"/>
      <c r="C59" s="406"/>
      <c r="D59" s="409"/>
      <c r="E59" s="400"/>
      <c r="F59" s="403"/>
      <c r="G59" s="415"/>
      <c r="H59" s="246" t="s">
        <v>12</v>
      </c>
      <c r="I59" s="247"/>
      <c r="J59" s="3"/>
      <c r="K59" s="249">
        <f t="shared" si="7"/>
        <v>0</v>
      </c>
      <c r="L59" s="3"/>
      <c r="M59" s="3"/>
      <c r="N59" s="3"/>
      <c r="O59" s="3"/>
      <c r="P59" s="3"/>
      <c r="Q59" s="3"/>
      <c r="R59" s="3"/>
      <c r="S59" s="3"/>
      <c r="T59" s="4"/>
      <c r="U59" s="309"/>
      <c r="V59" s="310"/>
      <c r="W59" s="3"/>
      <c r="X59" s="251"/>
      <c r="Y59" s="412"/>
    </row>
    <row r="60" spans="1:25" ht="12.75">
      <c r="A60" s="406"/>
      <c r="B60" s="406"/>
      <c r="C60" s="406"/>
      <c r="D60" s="409"/>
      <c r="E60" s="400"/>
      <c r="F60" s="403"/>
      <c r="G60" s="5" t="s">
        <v>13</v>
      </c>
      <c r="H60" s="246" t="s">
        <v>14</v>
      </c>
      <c r="I60" s="247"/>
      <c r="J60" s="3"/>
      <c r="K60" s="249">
        <f t="shared" si="7"/>
        <v>0</v>
      </c>
      <c r="L60" s="3"/>
      <c r="M60" s="3"/>
      <c r="N60" s="3"/>
      <c r="O60" s="3"/>
      <c r="P60" s="3"/>
      <c r="Q60" s="3"/>
      <c r="R60" s="3"/>
      <c r="S60" s="3"/>
      <c r="T60" s="4"/>
      <c r="U60" s="309"/>
      <c r="V60" s="310"/>
      <c r="W60" s="3"/>
      <c r="X60" s="251"/>
      <c r="Y60" s="412"/>
    </row>
    <row r="61" spans="1:25" ht="12.75">
      <c r="A61" s="406"/>
      <c r="B61" s="406"/>
      <c r="C61" s="406"/>
      <c r="D61" s="409"/>
      <c r="E61" s="400"/>
      <c r="F61" s="404"/>
      <c r="G61" s="414">
        <f>SUM(K66:T66)</f>
        <v>0</v>
      </c>
      <c r="H61" s="246" t="s">
        <v>162</v>
      </c>
      <c r="I61" s="247"/>
      <c r="J61" s="3"/>
      <c r="K61" s="249">
        <f t="shared" si="7"/>
        <v>0</v>
      </c>
      <c r="L61" s="3">
        <v>66108</v>
      </c>
      <c r="M61" s="3">
        <f>K61+L61</f>
        <v>66108</v>
      </c>
      <c r="N61" s="3">
        <v>417541</v>
      </c>
      <c r="O61" s="3">
        <v>298351</v>
      </c>
      <c r="P61" s="3"/>
      <c r="Q61" s="3"/>
      <c r="R61" s="3"/>
      <c r="S61" s="3"/>
      <c r="T61" s="4"/>
      <c r="U61" s="309">
        <v>35623</v>
      </c>
      <c r="V61" s="310">
        <v>417541</v>
      </c>
      <c r="W61" s="3">
        <f>M61+U61</f>
        <v>101731</v>
      </c>
      <c r="X61" s="251">
        <f>W61/$G$64</f>
        <v>0.11057717391304347</v>
      </c>
      <c r="Y61" s="412"/>
    </row>
    <row r="62" spans="1:25" ht="12.75">
      <c r="A62" s="406"/>
      <c r="B62" s="406"/>
      <c r="C62" s="406"/>
      <c r="D62" s="409"/>
      <c r="E62" s="400"/>
      <c r="F62" s="416">
        <v>2014</v>
      </c>
      <c r="G62" s="415"/>
      <c r="H62" s="246" t="s">
        <v>163</v>
      </c>
      <c r="I62" s="247"/>
      <c r="J62" s="3"/>
      <c r="K62" s="249">
        <f t="shared" si="7"/>
        <v>0</v>
      </c>
      <c r="L62" s="3"/>
      <c r="M62" s="3"/>
      <c r="N62" s="3"/>
      <c r="O62" s="3"/>
      <c r="P62" s="3"/>
      <c r="Q62" s="3"/>
      <c r="R62" s="3"/>
      <c r="S62" s="3"/>
      <c r="T62" s="4"/>
      <c r="U62" s="309"/>
      <c r="V62" s="310"/>
      <c r="W62" s="3"/>
      <c r="X62" s="251"/>
      <c r="Y62" s="412"/>
    </row>
    <row r="63" spans="1:25" ht="12.75">
      <c r="A63" s="406"/>
      <c r="B63" s="406"/>
      <c r="C63" s="406"/>
      <c r="D63" s="409"/>
      <c r="E63" s="400"/>
      <c r="F63" s="403"/>
      <c r="G63" s="5" t="s">
        <v>17</v>
      </c>
      <c r="H63" s="246" t="s">
        <v>15</v>
      </c>
      <c r="I63" s="247"/>
      <c r="J63" s="3"/>
      <c r="K63" s="249">
        <f t="shared" si="7"/>
        <v>0</v>
      </c>
      <c r="L63" s="3"/>
      <c r="M63" s="3"/>
      <c r="N63" s="3"/>
      <c r="O63" s="3"/>
      <c r="P63" s="3"/>
      <c r="Q63" s="3"/>
      <c r="R63" s="3"/>
      <c r="S63" s="3"/>
      <c r="T63" s="4"/>
      <c r="U63" s="309"/>
      <c r="V63" s="310"/>
      <c r="W63" s="3"/>
      <c r="X63" s="251"/>
      <c r="Y63" s="412"/>
    </row>
    <row r="64" spans="1:25" ht="12.75">
      <c r="A64" s="406"/>
      <c r="B64" s="406"/>
      <c r="C64" s="406"/>
      <c r="D64" s="409"/>
      <c r="E64" s="400"/>
      <c r="F64" s="403"/>
      <c r="G64" s="414">
        <f>G58+G61</f>
        <v>920000</v>
      </c>
      <c r="H64" s="246" t="s">
        <v>16</v>
      </c>
      <c r="I64" s="247"/>
      <c r="J64" s="3"/>
      <c r="K64" s="249">
        <f t="shared" si="7"/>
        <v>0</v>
      </c>
      <c r="L64" s="3"/>
      <c r="M64" s="3"/>
      <c r="N64" s="3"/>
      <c r="O64" s="3"/>
      <c r="P64" s="3"/>
      <c r="Q64" s="3"/>
      <c r="R64" s="3"/>
      <c r="S64" s="3"/>
      <c r="T64" s="4"/>
      <c r="U64" s="309"/>
      <c r="V64" s="310"/>
      <c r="W64" s="3"/>
      <c r="X64" s="251"/>
      <c r="Y64" s="412"/>
    </row>
    <row r="65" spans="1:25" ht="12.75">
      <c r="A65" s="406"/>
      <c r="B65" s="406"/>
      <c r="C65" s="406"/>
      <c r="D65" s="409"/>
      <c r="E65" s="400"/>
      <c r="F65" s="403"/>
      <c r="G65" s="418"/>
      <c r="H65" s="246" t="s">
        <v>18</v>
      </c>
      <c r="I65" s="252">
        <f>I57+I59+I61+I63</f>
        <v>0</v>
      </c>
      <c r="J65" s="7">
        <f>J57+J59+J61+J63</f>
        <v>0</v>
      </c>
      <c r="K65" s="249">
        <f t="shared" si="7"/>
        <v>0</v>
      </c>
      <c r="L65" s="7">
        <f>L57+L59+L61+L63</f>
        <v>77775</v>
      </c>
      <c r="M65" s="3">
        <f>K65+L65</f>
        <v>77775</v>
      </c>
      <c r="N65" s="7">
        <f aca="true" t="shared" si="9" ref="N65:T66">N57+N59+N61+N63</f>
        <v>491225</v>
      </c>
      <c r="O65" s="7">
        <f t="shared" si="9"/>
        <v>351000</v>
      </c>
      <c r="P65" s="7">
        <f t="shared" si="9"/>
        <v>0</v>
      </c>
      <c r="Q65" s="7">
        <f t="shared" si="9"/>
        <v>0</v>
      </c>
      <c r="R65" s="7">
        <f t="shared" si="9"/>
        <v>0</v>
      </c>
      <c r="S65" s="7">
        <f t="shared" si="9"/>
        <v>0</v>
      </c>
      <c r="T65" s="123">
        <f t="shared" si="9"/>
        <v>0</v>
      </c>
      <c r="U65" s="311">
        <v>41910</v>
      </c>
      <c r="V65" s="314">
        <v>491225</v>
      </c>
      <c r="W65" s="3">
        <f>M65+U65</f>
        <v>119685</v>
      </c>
      <c r="X65" s="251">
        <f>W65/$G$64</f>
        <v>0.13009239130434783</v>
      </c>
      <c r="Y65" s="412"/>
    </row>
    <row r="66" spans="1:25" ht="13.5" thickBot="1">
      <c r="A66" s="407"/>
      <c r="B66" s="407"/>
      <c r="C66" s="407"/>
      <c r="D66" s="410"/>
      <c r="E66" s="401"/>
      <c r="F66" s="417"/>
      <c r="G66" s="419"/>
      <c r="H66" s="253" t="s">
        <v>19</v>
      </c>
      <c r="I66" s="254">
        <f>I58+I60+I62+I64</f>
        <v>0</v>
      </c>
      <c r="J66" s="10">
        <f>J58+J60+J62+J64</f>
        <v>0</v>
      </c>
      <c r="K66" s="255">
        <f t="shared" si="7"/>
        <v>0</v>
      </c>
      <c r="L66" s="10">
        <f>L58+L60+L62+L64</f>
        <v>0</v>
      </c>
      <c r="M66" s="264">
        <f>K66+L66</f>
        <v>0</v>
      </c>
      <c r="N66" s="12">
        <f t="shared" si="9"/>
        <v>0</v>
      </c>
      <c r="O66" s="12">
        <f t="shared" si="9"/>
        <v>0</v>
      </c>
      <c r="P66" s="12">
        <f t="shared" si="9"/>
        <v>0</v>
      </c>
      <c r="Q66" s="12">
        <f t="shared" si="9"/>
        <v>0</v>
      </c>
      <c r="R66" s="12">
        <f t="shared" si="9"/>
        <v>0</v>
      </c>
      <c r="S66" s="12">
        <f t="shared" si="9"/>
        <v>0</v>
      </c>
      <c r="T66" s="144">
        <f t="shared" si="9"/>
        <v>0</v>
      </c>
      <c r="U66" s="318">
        <v>0</v>
      </c>
      <c r="V66" s="319">
        <v>0</v>
      </c>
      <c r="W66" s="264">
        <f>M66+U66</f>
        <v>0</v>
      </c>
      <c r="X66" s="258">
        <f>W66/$G$64</f>
        <v>0</v>
      </c>
      <c r="Y66" s="413"/>
    </row>
    <row r="67" spans="1:25" ht="12.75" customHeight="1">
      <c r="A67" s="405">
        <f>A57+1</f>
        <v>7</v>
      </c>
      <c r="B67" s="405">
        <v>600</v>
      </c>
      <c r="C67" s="405">
        <v>60095</v>
      </c>
      <c r="D67" s="408" t="s">
        <v>171</v>
      </c>
      <c r="E67" s="399" t="s">
        <v>172</v>
      </c>
      <c r="F67" s="402">
        <v>2010</v>
      </c>
      <c r="G67" s="1" t="s">
        <v>9</v>
      </c>
      <c r="H67" s="241" t="s">
        <v>10</v>
      </c>
      <c r="I67" s="242">
        <f>32312-25474</f>
        <v>6838</v>
      </c>
      <c r="J67" s="243">
        <f>41686+25474-29788</f>
        <v>37372</v>
      </c>
      <c r="K67" s="243">
        <f t="shared" si="7"/>
        <v>44210</v>
      </c>
      <c r="L67" s="2">
        <v>93680</v>
      </c>
      <c r="M67" s="244">
        <f>K67+L67</f>
        <v>137890</v>
      </c>
      <c r="N67" s="243">
        <v>44990</v>
      </c>
      <c r="O67" s="243"/>
      <c r="P67" s="243"/>
      <c r="Q67" s="243"/>
      <c r="R67" s="243"/>
      <c r="S67" s="243"/>
      <c r="T67" s="2"/>
      <c r="U67" s="307">
        <v>11445</v>
      </c>
      <c r="V67" s="308">
        <v>44990</v>
      </c>
      <c r="W67" s="243">
        <f>M67+U67</f>
        <v>149335</v>
      </c>
      <c r="X67" s="260">
        <f>W67/$G$74</f>
        <v>0.23133489069548407</v>
      </c>
      <c r="Y67" s="411">
        <f>N75+O75+P75+Q75+R75+S75+N76+O76+P76+Q76+R76+T75+T76+S76</f>
        <v>158813</v>
      </c>
    </row>
    <row r="68" spans="1:25" ht="12.75">
      <c r="A68" s="406"/>
      <c r="B68" s="406"/>
      <c r="C68" s="406"/>
      <c r="D68" s="409"/>
      <c r="E68" s="400"/>
      <c r="F68" s="403"/>
      <c r="G68" s="414">
        <f>M75+N75</f>
        <v>645536</v>
      </c>
      <c r="H68" s="246" t="s">
        <v>11</v>
      </c>
      <c r="I68" s="247"/>
      <c r="J68" s="3"/>
      <c r="K68" s="249">
        <f t="shared" si="7"/>
        <v>0</v>
      </c>
      <c r="L68" s="4"/>
      <c r="M68" s="250"/>
      <c r="N68" s="3"/>
      <c r="O68" s="3"/>
      <c r="P68" s="3"/>
      <c r="Q68" s="3"/>
      <c r="R68" s="3"/>
      <c r="S68" s="3"/>
      <c r="T68" s="4"/>
      <c r="U68" s="309"/>
      <c r="V68" s="310"/>
      <c r="W68" s="3"/>
      <c r="X68" s="251"/>
      <c r="Y68" s="412"/>
    </row>
    <row r="69" spans="1:25" ht="12.75">
      <c r="A69" s="406"/>
      <c r="B69" s="406"/>
      <c r="C69" s="406"/>
      <c r="D69" s="409"/>
      <c r="E69" s="400"/>
      <c r="F69" s="403"/>
      <c r="G69" s="415"/>
      <c r="H69" s="246" t="s">
        <v>12</v>
      </c>
      <c r="I69" s="247"/>
      <c r="J69" s="3"/>
      <c r="K69" s="249">
        <f t="shared" si="7"/>
        <v>0</v>
      </c>
      <c r="L69" s="4"/>
      <c r="M69" s="250"/>
      <c r="N69" s="3"/>
      <c r="O69" s="3"/>
      <c r="P69" s="3"/>
      <c r="Q69" s="3"/>
      <c r="R69" s="3"/>
      <c r="S69" s="3"/>
      <c r="T69" s="4"/>
      <c r="U69" s="309"/>
      <c r="V69" s="310"/>
      <c r="W69" s="3"/>
      <c r="X69" s="251"/>
      <c r="Y69" s="412"/>
    </row>
    <row r="70" spans="1:25" ht="12.75">
      <c r="A70" s="406"/>
      <c r="B70" s="406"/>
      <c r="C70" s="406"/>
      <c r="D70" s="409"/>
      <c r="E70" s="400"/>
      <c r="F70" s="403"/>
      <c r="G70" s="5" t="s">
        <v>13</v>
      </c>
      <c r="H70" s="246" t="s">
        <v>14</v>
      </c>
      <c r="I70" s="247"/>
      <c r="J70" s="3"/>
      <c r="K70" s="249">
        <f t="shared" si="7"/>
        <v>0</v>
      </c>
      <c r="L70" s="4"/>
      <c r="M70" s="250"/>
      <c r="N70" s="3"/>
      <c r="O70" s="3"/>
      <c r="P70" s="3"/>
      <c r="Q70" s="3"/>
      <c r="R70" s="3"/>
      <c r="S70" s="3"/>
      <c r="T70" s="4"/>
      <c r="U70" s="309"/>
      <c r="V70" s="310"/>
      <c r="W70" s="3"/>
      <c r="X70" s="251"/>
      <c r="Y70" s="412"/>
    </row>
    <row r="71" spans="1:25" ht="12.75">
      <c r="A71" s="406"/>
      <c r="B71" s="406"/>
      <c r="C71" s="406"/>
      <c r="D71" s="409"/>
      <c r="E71" s="400"/>
      <c r="F71" s="404"/>
      <c r="G71" s="414">
        <f>SUM(K76:T76)</f>
        <v>0</v>
      </c>
      <c r="H71" s="246" t="s">
        <v>162</v>
      </c>
      <c r="I71" s="247">
        <f>81744-64448</f>
        <v>17296</v>
      </c>
      <c r="J71" s="3">
        <f>105459+64448-75362</f>
        <v>94545</v>
      </c>
      <c r="K71" s="249">
        <f t="shared" si="7"/>
        <v>111841</v>
      </c>
      <c r="L71" s="4">
        <v>236992</v>
      </c>
      <c r="M71" s="250">
        <f>K71+L71</f>
        <v>348833</v>
      </c>
      <c r="N71" s="3">
        <v>113823</v>
      </c>
      <c r="O71" s="3"/>
      <c r="P71" s="3"/>
      <c r="Q71" s="3"/>
      <c r="R71" s="3"/>
      <c r="S71" s="3"/>
      <c r="T71" s="4"/>
      <c r="U71" s="309">
        <v>28954</v>
      </c>
      <c r="V71" s="310">
        <v>113823</v>
      </c>
      <c r="W71" s="3">
        <f>M71+U71</f>
        <v>377787</v>
      </c>
      <c r="X71" s="251">
        <f>W71/$G$74</f>
        <v>0.5852299484459426</v>
      </c>
      <c r="Y71" s="412"/>
    </row>
    <row r="72" spans="1:25" ht="12.75">
      <c r="A72" s="406"/>
      <c r="B72" s="406"/>
      <c r="C72" s="406"/>
      <c r="D72" s="409"/>
      <c r="E72" s="400"/>
      <c r="F72" s="416">
        <v>2013</v>
      </c>
      <c r="G72" s="415"/>
      <c r="H72" s="246" t="s">
        <v>163</v>
      </c>
      <c r="I72" s="247"/>
      <c r="J72" s="3"/>
      <c r="K72" s="249">
        <f t="shared" si="7"/>
        <v>0</v>
      </c>
      <c r="L72" s="4"/>
      <c r="M72" s="250"/>
      <c r="N72" s="3"/>
      <c r="O72" s="3"/>
      <c r="P72" s="3"/>
      <c r="Q72" s="3"/>
      <c r="R72" s="3"/>
      <c r="S72" s="3"/>
      <c r="T72" s="4"/>
      <c r="U72" s="309"/>
      <c r="V72" s="310"/>
      <c r="W72" s="3"/>
      <c r="X72" s="251"/>
      <c r="Y72" s="412"/>
    </row>
    <row r="73" spans="1:25" ht="12.75">
      <c r="A73" s="406"/>
      <c r="B73" s="406"/>
      <c r="C73" s="406"/>
      <c r="D73" s="409"/>
      <c r="E73" s="400"/>
      <c r="F73" s="403"/>
      <c r="G73" s="5" t="s">
        <v>17</v>
      </c>
      <c r="H73" s="246" t="s">
        <v>15</v>
      </c>
      <c r="I73" s="247"/>
      <c r="J73" s="3"/>
      <c r="K73" s="249">
        <f t="shared" si="7"/>
        <v>0</v>
      </c>
      <c r="L73" s="4"/>
      <c r="M73" s="250"/>
      <c r="N73" s="3"/>
      <c r="O73" s="3"/>
      <c r="P73" s="3"/>
      <c r="Q73" s="3"/>
      <c r="R73" s="3"/>
      <c r="S73" s="3"/>
      <c r="T73" s="4"/>
      <c r="U73" s="309"/>
      <c r="V73" s="310"/>
      <c r="W73" s="3"/>
      <c r="X73" s="251"/>
      <c r="Y73" s="412"/>
    </row>
    <row r="74" spans="1:25" ht="12.75">
      <c r="A74" s="406"/>
      <c r="B74" s="406"/>
      <c r="C74" s="406"/>
      <c r="D74" s="409"/>
      <c r="E74" s="400"/>
      <c r="F74" s="403"/>
      <c r="G74" s="414">
        <f>G68+G71</f>
        <v>645536</v>
      </c>
      <c r="H74" s="246" t="s">
        <v>16</v>
      </c>
      <c r="I74" s="247"/>
      <c r="J74" s="3"/>
      <c r="K74" s="249">
        <f t="shared" si="7"/>
        <v>0</v>
      </c>
      <c r="L74" s="4"/>
      <c r="M74" s="250"/>
      <c r="N74" s="3"/>
      <c r="O74" s="3"/>
      <c r="P74" s="3"/>
      <c r="Q74" s="3"/>
      <c r="R74" s="3"/>
      <c r="S74" s="3"/>
      <c r="T74" s="4"/>
      <c r="U74" s="309"/>
      <c r="V74" s="310"/>
      <c r="W74" s="3"/>
      <c r="X74" s="251"/>
      <c r="Y74" s="412"/>
    </row>
    <row r="75" spans="1:25" ht="12.75">
      <c r="A75" s="406"/>
      <c r="B75" s="406"/>
      <c r="C75" s="406"/>
      <c r="D75" s="409"/>
      <c r="E75" s="400"/>
      <c r="F75" s="403"/>
      <c r="G75" s="418"/>
      <c r="H75" s="246" t="s">
        <v>18</v>
      </c>
      <c r="I75" s="252">
        <f>I67+I69+I71+I73</f>
        <v>24134</v>
      </c>
      <c r="J75" s="7">
        <f>J67+J69+J71+J73</f>
        <v>131917</v>
      </c>
      <c r="K75" s="249">
        <f t="shared" si="7"/>
        <v>156051</v>
      </c>
      <c r="L75" s="123">
        <f>L67+L69+L71+L73</f>
        <v>330672</v>
      </c>
      <c r="M75" s="250">
        <f>K75+L75</f>
        <v>486723</v>
      </c>
      <c r="N75" s="7">
        <f aca="true" t="shared" si="10" ref="N75:T76">N67+N69+N71+N73</f>
        <v>158813</v>
      </c>
      <c r="O75" s="7">
        <f t="shared" si="10"/>
        <v>0</v>
      </c>
      <c r="P75" s="7">
        <f t="shared" si="10"/>
        <v>0</v>
      </c>
      <c r="Q75" s="7">
        <f t="shared" si="10"/>
        <v>0</v>
      </c>
      <c r="R75" s="7">
        <f t="shared" si="10"/>
        <v>0</v>
      </c>
      <c r="S75" s="7">
        <f t="shared" si="10"/>
        <v>0</v>
      </c>
      <c r="T75" s="123">
        <f t="shared" si="10"/>
        <v>0</v>
      </c>
      <c r="U75" s="311">
        <v>40399</v>
      </c>
      <c r="V75" s="314">
        <f>V67+V69+V71+V73</f>
        <v>158813</v>
      </c>
      <c r="W75" s="3">
        <f>M75+U75</f>
        <v>527122</v>
      </c>
      <c r="X75" s="251">
        <f>W75/$G$74</f>
        <v>0.8165648391414266</v>
      </c>
      <c r="Y75" s="412"/>
    </row>
    <row r="76" spans="1:25" ht="13.5" thickBot="1">
      <c r="A76" s="407"/>
      <c r="B76" s="407"/>
      <c r="C76" s="407"/>
      <c r="D76" s="410"/>
      <c r="E76" s="401"/>
      <c r="F76" s="417"/>
      <c r="G76" s="419"/>
      <c r="H76" s="253" t="s">
        <v>19</v>
      </c>
      <c r="I76" s="254">
        <f>I68+I70+I72+I74</f>
        <v>0</v>
      </c>
      <c r="J76" s="10">
        <f>J68+J70+J72+J74</f>
        <v>0</v>
      </c>
      <c r="K76" s="255">
        <f t="shared" si="7"/>
        <v>0</v>
      </c>
      <c r="L76" s="124">
        <f>L68+L70+L72+L74</f>
        <v>0</v>
      </c>
      <c r="M76" s="256">
        <f>K76+L76</f>
        <v>0</v>
      </c>
      <c r="N76" s="10">
        <f t="shared" si="10"/>
        <v>0</v>
      </c>
      <c r="O76" s="10">
        <f t="shared" si="10"/>
        <v>0</v>
      </c>
      <c r="P76" s="10">
        <f t="shared" si="10"/>
        <v>0</v>
      </c>
      <c r="Q76" s="10">
        <f t="shared" si="10"/>
        <v>0</v>
      </c>
      <c r="R76" s="10">
        <f t="shared" si="10"/>
        <v>0</v>
      </c>
      <c r="S76" s="10">
        <f t="shared" si="10"/>
        <v>0</v>
      </c>
      <c r="T76" s="124">
        <f t="shared" si="10"/>
        <v>0</v>
      </c>
      <c r="U76" s="312">
        <v>0</v>
      </c>
      <c r="V76" s="315">
        <v>0</v>
      </c>
      <c r="W76" s="76">
        <f>M76+U76</f>
        <v>0</v>
      </c>
      <c r="X76" s="258">
        <f>W76/$G$74</f>
        <v>0</v>
      </c>
      <c r="Y76" s="413"/>
    </row>
    <row r="77" spans="1:25" ht="12.75" customHeight="1">
      <c r="A77" s="405">
        <f>A67+1</f>
        <v>8</v>
      </c>
      <c r="B77" s="405">
        <v>600</v>
      </c>
      <c r="C77" s="405">
        <v>60095</v>
      </c>
      <c r="D77" s="451" t="s">
        <v>173</v>
      </c>
      <c r="E77" s="399" t="s">
        <v>172</v>
      </c>
      <c r="F77" s="402">
        <v>2013</v>
      </c>
      <c r="G77" s="1" t="s">
        <v>9</v>
      </c>
      <c r="H77" s="241" t="s">
        <v>10</v>
      </c>
      <c r="I77" s="242"/>
      <c r="J77" s="243"/>
      <c r="K77" s="243">
        <f t="shared" si="7"/>
        <v>0</v>
      </c>
      <c r="L77" s="243"/>
      <c r="M77" s="249">
        <v>0</v>
      </c>
      <c r="N77" s="249">
        <f>295520+117760</f>
        <v>413280</v>
      </c>
      <c r="O77" s="249">
        <f>352500+691800</f>
        <v>1044300</v>
      </c>
      <c r="P77" s="249">
        <f>425700+234600</f>
        <v>660300</v>
      </c>
      <c r="Q77" s="249">
        <f>60720+16560</f>
        <v>77280</v>
      </c>
      <c r="R77" s="249"/>
      <c r="S77" s="249"/>
      <c r="T77" s="11"/>
      <c r="U77" s="316">
        <v>931</v>
      </c>
      <c r="V77" s="317">
        <v>413280</v>
      </c>
      <c r="W77" s="249">
        <f>M77+U77</f>
        <v>931</v>
      </c>
      <c r="X77" s="265">
        <f>W77/$G$84</f>
        <v>0.0002796131667467564</v>
      </c>
      <c r="Y77" s="411">
        <f>N85+O85+P85+Q85+R85+S85+N86+O86+P86+Q86+R86+T85+T86+S86</f>
        <v>3329600</v>
      </c>
    </row>
    <row r="78" spans="1:25" ht="12.75">
      <c r="A78" s="406"/>
      <c r="B78" s="406"/>
      <c r="C78" s="406"/>
      <c r="D78" s="452"/>
      <c r="E78" s="400"/>
      <c r="F78" s="403"/>
      <c r="G78" s="414">
        <f>N85+O85+P85+Q85</f>
        <v>3329600</v>
      </c>
      <c r="H78" s="246" t="s">
        <v>11</v>
      </c>
      <c r="I78" s="247"/>
      <c r="J78" s="3"/>
      <c r="K78" s="249">
        <f t="shared" si="7"/>
        <v>0</v>
      </c>
      <c r="L78" s="3"/>
      <c r="M78" s="3"/>
      <c r="N78" s="3"/>
      <c r="O78" s="3"/>
      <c r="P78" s="3"/>
      <c r="Q78" s="3"/>
      <c r="R78" s="3"/>
      <c r="S78" s="3"/>
      <c r="T78" s="4"/>
      <c r="U78" s="309"/>
      <c r="V78" s="310"/>
      <c r="W78" s="3"/>
      <c r="X78" s="251"/>
      <c r="Y78" s="412"/>
    </row>
    <row r="79" spans="1:25" ht="12.75">
      <c r="A79" s="406"/>
      <c r="B79" s="406"/>
      <c r="C79" s="406"/>
      <c r="D79" s="452"/>
      <c r="E79" s="400"/>
      <c r="F79" s="403"/>
      <c r="G79" s="415"/>
      <c r="H79" s="246" t="s">
        <v>12</v>
      </c>
      <c r="I79" s="247"/>
      <c r="J79" s="3"/>
      <c r="K79" s="249">
        <f aca="true" t="shared" si="11" ref="K79:K110">I79+J79</f>
        <v>0</v>
      </c>
      <c r="L79" s="3"/>
      <c r="M79" s="3"/>
      <c r="N79" s="3"/>
      <c r="O79" s="3"/>
      <c r="P79" s="3"/>
      <c r="Q79" s="3"/>
      <c r="R79" s="3"/>
      <c r="S79" s="3"/>
      <c r="T79" s="4"/>
      <c r="U79" s="309"/>
      <c r="V79" s="310"/>
      <c r="W79" s="3"/>
      <c r="X79" s="251"/>
      <c r="Y79" s="412"/>
    </row>
    <row r="80" spans="1:25" ht="12.75">
      <c r="A80" s="406"/>
      <c r="B80" s="406"/>
      <c r="C80" s="406"/>
      <c r="D80" s="452"/>
      <c r="E80" s="400"/>
      <c r="F80" s="403"/>
      <c r="G80" s="5" t="s">
        <v>13</v>
      </c>
      <c r="H80" s="246" t="s">
        <v>14</v>
      </c>
      <c r="I80" s="247"/>
      <c r="J80" s="3"/>
      <c r="K80" s="249">
        <f t="shared" si="11"/>
        <v>0</v>
      </c>
      <c r="L80" s="3"/>
      <c r="M80" s="3"/>
      <c r="N80" s="3"/>
      <c r="O80" s="3"/>
      <c r="P80" s="3"/>
      <c r="Q80" s="3"/>
      <c r="R80" s="3"/>
      <c r="S80" s="3"/>
      <c r="T80" s="4"/>
      <c r="U80" s="309"/>
      <c r="V80" s="310"/>
      <c r="W80" s="3"/>
      <c r="X80" s="251"/>
      <c r="Y80" s="412"/>
    </row>
    <row r="81" spans="1:25" ht="12.75">
      <c r="A81" s="406"/>
      <c r="B81" s="406"/>
      <c r="C81" s="406"/>
      <c r="D81" s="452"/>
      <c r="E81" s="400"/>
      <c r="F81" s="404"/>
      <c r="G81" s="414">
        <f>SUM(K86:T86)</f>
        <v>0</v>
      </c>
      <c r="H81" s="246" t="s">
        <v>162</v>
      </c>
      <c r="I81" s="247"/>
      <c r="J81" s="3"/>
      <c r="K81" s="249">
        <f t="shared" si="11"/>
        <v>0</v>
      </c>
      <c r="L81" s="3"/>
      <c r="M81" s="3">
        <v>0</v>
      </c>
      <c r="N81" s="3">
        <v>295520</v>
      </c>
      <c r="O81" s="3">
        <v>352500</v>
      </c>
      <c r="P81" s="3">
        <v>425700</v>
      </c>
      <c r="Q81" s="3">
        <v>60720</v>
      </c>
      <c r="R81" s="3"/>
      <c r="S81" s="3"/>
      <c r="T81" s="4"/>
      <c r="U81" s="309">
        <v>931</v>
      </c>
      <c r="V81" s="310">
        <v>295520</v>
      </c>
      <c r="W81" s="3">
        <f>M81+U81</f>
        <v>931</v>
      </c>
      <c r="X81" s="251">
        <f>W81/$G$84</f>
        <v>0.0002796131667467564</v>
      </c>
      <c r="Y81" s="412"/>
    </row>
    <row r="82" spans="1:25" ht="12.75">
      <c r="A82" s="406"/>
      <c r="B82" s="406"/>
      <c r="C82" s="406"/>
      <c r="D82" s="452"/>
      <c r="E82" s="400"/>
      <c r="F82" s="416">
        <v>2016</v>
      </c>
      <c r="G82" s="415"/>
      <c r="H82" s="246" t="s">
        <v>163</v>
      </c>
      <c r="I82" s="247"/>
      <c r="J82" s="3"/>
      <c r="K82" s="249">
        <f t="shared" si="11"/>
        <v>0</v>
      </c>
      <c r="L82" s="3"/>
      <c r="M82" s="3"/>
      <c r="N82" s="3"/>
      <c r="O82" s="3"/>
      <c r="P82" s="3"/>
      <c r="Q82" s="3"/>
      <c r="R82" s="3"/>
      <c r="S82" s="3"/>
      <c r="T82" s="4"/>
      <c r="U82" s="309"/>
      <c r="V82" s="310"/>
      <c r="W82" s="3"/>
      <c r="X82" s="251"/>
      <c r="Y82" s="412"/>
    </row>
    <row r="83" spans="1:25" ht="12.75">
      <c r="A83" s="406"/>
      <c r="B83" s="406"/>
      <c r="C83" s="406"/>
      <c r="D83" s="452"/>
      <c r="E83" s="400"/>
      <c r="F83" s="403"/>
      <c r="G83" s="5" t="s">
        <v>17</v>
      </c>
      <c r="H83" s="246" t="s">
        <v>15</v>
      </c>
      <c r="I83" s="247"/>
      <c r="J83" s="3"/>
      <c r="K83" s="249">
        <f t="shared" si="11"/>
        <v>0</v>
      </c>
      <c r="L83" s="3"/>
      <c r="M83" s="3"/>
      <c r="N83" s="3"/>
      <c r="O83" s="3"/>
      <c r="P83" s="3"/>
      <c r="Q83" s="3"/>
      <c r="R83" s="3"/>
      <c r="S83" s="3"/>
      <c r="T83" s="4"/>
      <c r="U83" s="309"/>
      <c r="V83" s="310"/>
      <c r="W83" s="3"/>
      <c r="X83" s="251"/>
      <c r="Y83" s="412"/>
    </row>
    <row r="84" spans="1:25" ht="12.75">
      <c r="A84" s="406"/>
      <c r="B84" s="406"/>
      <c r="C84" s="406"/>
      <c r="D84" s="452"/>
      <c r="E84" s="400"/>
      <c r="F84" s="403"/>
      <c r="G84" s="414">
        <f>G78+G81</f>
        <v>3329600</v>
      </c>
      <c r="H84" s="246" t="s">
        <v>16</v>
      </c>
      <c r="I84" s="247"/>
      <c r="J84" s="3"/>
      <c r="K84" s="249">
        <f t="shared" si="11"/>
        <v>0</v>
      </c>
      <c r="L84" s="3"/>
      <c r="M84" s="3"/>
      <c r="N84" s="3"/>
      <c r="O84" s="3"/>
      <c r="P84" s="3"/>
      <c r="Q84" s="3"/>
      <c r="R84" s="3"/>
      <c r="S84" s="3"/>
      <c r="T84" s="4"/>
      <c r="U84" s="309"/>
      <c r="V84" s="310"/>
      <c r="W84" s="3"/>
      <c r="X84" s="251"/>
      <c r="Y84" s="412"/>
    </row>
    <row r="85" spans="1:25" ht="12.75">
      <c r="A85" s="406"/>
      <c r="B85" s="406"/>
      <c r="C85" s="406"/>
      <c r="D85" s="452"/>
      <c r="E85" s="400"/>
      <c r="F85" s="403"/>
      <c r="G85" s="418"/>
      <c r="H85" s="246" t="s">
        <v>18</v>
      </c>
      <c r="I85" s="252">
        <f>I77+I79+I81+I83</f>
        <v>0</v>
      </c>
      <c r="J85" s="7">
        <f>J77+J79+J81+J83</f>
        <v>0</v>
      </c>
      <c r="K85" s="249">
        <f t="shared" si="11"/>
        <v>0</v>
      </c>
      <c r="L85" s="7">
        <f>L77+L79+L81+L83</f>
        <v>0</v>
      </c>
      <c r="M85" s="3">
        <f>K85+L85</f>
        <v>0</v>
      </c>
      <c r="N85" s="7">
        <f aca="true" t="shared" si="12" ref="N85:T86">N77+N79+N81+N83</f>
        <v>708800</v>
      </c>
      <c r="O85" s="7">
        <f t="shared" si="12"/>
        <v>1396800</v>
      </c>
      <c r="P85" s="7">
        <f t="shared" si="12"/>
        <v>1086000</v>
      </c>
      <c r="Q85" s="7">
        <f t="shared" si="12"/>
        <v>138000</v>
      </c>
      <c r="R85" s="7">
        <f t="shared" si="12"/>
        <v>0</v>
      </c>
      <c r="S85" s="7">
        <f t="shared" si="12"/>
        <v>0</v>
      </c>
      <c r="T85" s="123">
        <f t="shared" si="12"/>
        <v>0</v>
      </c>
      <c r="U85" s="311">
        <v>1862</v>
      </c>
      <c r="V85" s="314">
        <v>708800</v>
      </c>
      <c r="W85" s="3">
        <f>M85+U85</f>
        <v>1862</v>
      </c>
      <c r="X85" s="251">
        <f>W85/$G$84</f>
        <v>0.0005592263334935128</v>
      </c>
      <c r="Y85" s="412"/>
    </row>
    <row r="86" spans="1:25" ht="13.5" thickBot="1">
      <c r="A86" s="407"/>
      <c r="B86" s="407"/>
      <c r="C86" s="407"/>
      <c r="D86" s="453"/>
      <c r="E86" s="401"/>
      <c r="F86" s="417"/>
      <c r="G86" s="419"/>
      <c r="H86" s="253" t="s">
        <v>19</v>
      </c>
      <c r="I86" s="254">
        <f>I78+I80+I82+I84</f>
        <v>0</v>
      </c>
      <c r="J86" s="10">
        <f>J78+J80+J82+J84</f>
        <v>0</v>
      </c>
      <c r="K86" s="255">
        <f t="shared" si="11"/>
        <v>0</v>
      </c>
      <c r="L86" s="10">
        <f>L78+L80+L82+L84</f>
        <v>0</v>
      </c>
      <c r="M86" s="76">
        <f>K86+L86</f>
        <v>0</v>
      </c>
      <c r="N86" s="10">
        <f t="shared" si="12"/>
        <v>0</v>
      </c>
      <c r="O86" s="10">
        <f t="shared" si="12"/>
        <v>0</v>
      </c>
      <c r="P86" s="10">
        <f t="shared" si="12"/>
        <v>0</v>
      </c>
      <c r="Q86" s="10">
        <f t="shared" si="12"/>
        <v>0</v>
      </c>
      <c r="R86" s="10">
        <f t="shared" si="12"/>
        <v>0</v>
      </c>
      <c r="S86" s="10">
        <f t="shared" si="12"/>
        <v>0</v>
      </c>
      <c r="T86" s="124">
        <f t="shared" si="12"/>
        <v>0</v>
      </c>
      <c r="U86" s="312">
        <v>0</v>
      </c>
      <c r="V86" s="315">
        <v>0</v>
      </c>
      <c r="W86" s="76">
        <f>M86+U86</f>
        <v>0</v>
      </c>
      <c r="X86" s="258">
        <f>W86/$G$84</f>
        <v>0</v>
      </c>
      <c r="Y86" s="413"/>
    </row>
    <row r="87" spans="1:25" ht="12.75" customHeight="1">
      <c r="A87" s="405">
        <f>A77+1</f>
        <v>9</v>
      </c>
      <c r="B87" s="405">
        <v>600</v>
      </c>
      <c r="C87" s="405">
        <v>60095</v>
      </c>
      <c r="D87" s="451" t="s">
        <v>174</v>
      </c>
      <c r="E87" s="399" t="s">
        <v>172</v>
      </c>
      <c r="F87" s="402">
        <v>2013</v>
      </c>
      <c r="G87" s="1" t="s">
        <v>9</v>
      </c>
      <c r="H87" s="241" t="s">
        <v>10</v>
      </c>
      <c r="I87" s="242"/>
      <c r="J87" s="243"/>
      <c r="K87" s="243">
        <f t="shared" si="11"/>
        <v>0</v>
      </c>
      <c r="L87" s="2"/>
      <c r="M87" s="244"/>
      <c r="N87" s="243">
        <f>8448+3450</f>
        <v>11898</v>
      </c>
      <c r="O87" s="243">
        <f>6099+3450</f>
        <v>9549</v>
      </c>
      <c r="P87" s="243">
        <f>6099+3450</f>
        <v>9549</v>
      </c>
      <c r="Q87" s="243">
        <f>9354+3450</f>
        <v>12804</v>
      </c>
      <c r="R87" s="243"/>
      <c r="S87" s="243"/>
      <c r="T87" s="2"/>
      <c r="U87" s="307">
        <v>1881</v>
      </c>
      <c r="V87" s="308">
        <v>11898</v>
      </c>
      <c r="W87" s="243">
        <f>M87+U87</f>
        <v>1881</v>
      </c>
      <c r="X87" s="260">
        <f>W87/$G$94</f>
        <v>0.01405829596412556</v>
      </c>
      <c r="Y87" s="411">
        <f>N95+O95+P95+Q95+R95+S95+N96+O96+P96+Q96+R96+T95+T96+S96</f>
        <v>133800</v>
      </c>
    </row>
    <row r="88" spans="1:25" ht="12.75">
      <c r="A88" s="406"/>
      <c r="B88" s="406"/>
      <c r="C88" s="406"/>
      <c r="D88" s="452"/>
      <c r="E88" s="400"/>
      <c r="F88" s="403"/>
      <c r="G88" s="414">
        <f>N95+O95+P95+Q95</f>
        <v>133800</v>
      </c>
      <c r="H88" s="246" t="s">
        <v>11</v>
      </c>
      <c r="I88" s="247"/>
      <c r="J88" s="3"/>
      <c r="K88" s="249">
        <f t="shared" si="11"/>
        <v>0</v>
      </c>
      <c r="L88" s="4"/>
      <c r="M88" s="250"/>
      <c r="N88" s="3"/>
      <c r="O88" s="3"/>
      <c r="P88" s="3"/>
      <c r="Q88" s="3"/>
      <c r="R88" s="3"/>
      <c r="S88" s="3"/>
      <c r="T88" s="4"/>
      <c r="U88" s="309"/>
      <c r="V88" s="310"/>
      <c r="W88" s="3"/>
      <c r="X88" s="251"/>
      <c r="Y88" s="412"/>
    </row>
    <row r="89" spans="1:25" ht="12.75">
      <c r="A89" s="406"/>
      <c r="B89" s="406"/>
      <c r="C89" s="406"/>
      <c r="D89" s="452"/>
      <c r="E89" s="400"/>
      <c r="F89" s="403"/>
      <c r="G89" s="415"/>
      <c r="H89" s="246" t="s">
        <v>12</v>
      </c>
      <c r="I89" s="247"/>
      <c r="J89" s="3"/>
      <c r="K89" s="249">
        <f t="shared" si="11"/>
        <v>0</v>
      </c>
      <c r="L89" s="4"/>
      <c r="M89" s="250"/>
      <c r="N89" s="3"/>
      <c r="O89" s="3"/>
      <c r="P89" s="3"/>
      <c r="Q89" s="3"/>
      <c r="R89" s="3"/>
      <c r="S89" s="3"/>
      <c r="T89" s="4"/>
      <c r="U89" s="309"/>
      <c r="V89" s="310"/>
      <c r="W89" s="3"/>
      <c r="X89" s="251"/>
      <c r="Y89" s="412"/>
    </row>
    <row r="90" spans="1:25" ht="12.75">
      <c r="A90" s="406"/>
      <c r="B90" s="406"/>
      <c r="C90" s="406"/>
      <c r="D90" s="452"/>
      <c r="E90" s="400"/>
      <c r="F90" s="403"/>
      <c r="G90" s="5" t="s">
        <v>13</v>
      </c>
      <c r="H90" s="246" t="s">
        <v>14</v>
      </c>
      <c r="I90" s="247"/>
      <c r="J90" s="3"/>
      <c r="K90" s="249">
        <f t="shared" si="11"/>
        <v>0</v>
      </c>
      <c r="L90" s="4"/>
      <c r="M90" s="250"/>
      <c r="N90" s="3"/>
      <c r="O90" s="3"/>
      <c r="P90" s="3"/>
      <c r="Q90" s="3"/>
      <c r="R90" s="3"/>
      <c r="S90" s="3"/>
      <c r="T90" s="4"/>
      <c r="U90" s="309"/>
      <c r="V90" s="310"/>
      <c r="W90" s="3"/>
      <c r="X90" s="251"/>
      <c r="Y90" s="412"/>
    </row>
    <row r="91" spans="1:25" ht="12.75">
      <c r="A91" s="406"/>
      <c r="B91" s="406"/>
      <c r="C91" s="406"/>
      <c r="D91" s="452"/>
      <c r="E91" s="400"/>
      <c r="F91" s="404"/>
      <c r="G91" s="414">
        <f>SUM(K96:T96)</f>
        <v>0</v>
      </c>
      <c r="H91" s="246" t="s">
        <v>162</v>
      </c>
      <c r="I91" s="247"/>
      <c r="J91" s="3"/>
      <c r="K91" s="249">
        <f t="shared" si="11"/>
        <v>0</v>
      </c>
      <c r="L91" s="4"/>
      <c r="M91" s="250"/>
      <c r="N91" s="3">
        <v>25344</v>
      </c>
      <c r="O91" s="3">
        <v>18297</v>
      </c>
      <c r="P91" s="3">
        <v>18297</v>
      </c>
      <c r="Q91" s="3">
        <v>28062</v>
      </c>
      <c r="R91" s="3"/>
      <c r="S91" s="3"/>
      <c r="T91" s="4"/>
      <c r="U91" s="309">
        <v>5641</v>
      </c>
      <c r="V91" s="310">
        <v>25344</v>
      </c>
      <c r="W91" s="3">
        <f>M91+U91</f>
        <v>5641</v>
      </c>
      <c r="X91" s="251">
        <f>W91/$G$94</f>
        <v>0.04215994020926756</v>
      </c>
      <c r="Y91" s="412"/>
    </row>
    <row r="92" spans="1:25" ht="12.75">
      <c r="A92" s="406"/>
      <c r="B92" s="406"/>
      <c r="C92" s="406"/>
      <c r="D92" s="452"/>
      <c r="E92" s="400"/>
      <c r="F92" s="416">
        <v>2016</v>
      </c>
      <c r="G92" s="415"/>
      <c r="H92" s="246" t="s">
        <v>163</v>
      </c>
      <c r="I92" s="247"/>
      <c r="J92" s="3"/>
      <c r="K92" s="249">
        <f t="shared" si="11"/>
        <v>0</v>
      </c>
      <c r="L92" s="4"/>
      <c r="M92" s="250"/>
      <c r="N92" s="3"/>
      <c r="O92" s="3"/>
      <c r="P92" s="3"/>
      <c r="Q92" s="3"/>
      <c r="R92" s="3"/>
      <c r="S92" s="3"/>
      <c r="T92" s="4"/>
      <c r="U92" s="309"/>
      <c r="V92" s="310"/>
      <c r="W92" s="3"/>
      <c r="X92" s="251"/>
      <c r="Y92" s="412"/>
    </row>
    <row r="93" spans="1:25" ht="12.75">
      <c r="A93" s="406"/>
      <c r="B93" s="406"/>
      <c r="C93" s="406"/>
      <c r="D93" s="452"/>
      <c r="E93" s="400"/>
      <c r="F93" s="403"/>
      <c r="G93" s="5" t="s">
        <v>17</v>
      </c>
      <c r="H93" s="246" t="s">
        <v>15</v>
      </c>
      <c r="I93" s="247"/>
      <c r="J93" s="3"/>
      <c r="K93" s="249">
        <f t="shared" si="11"/>
        <v>0</v>
      </c>
      <c r="L93" s="4"/>
      <c r="M93" s="250"/>
      <c r="N93" s="3"/>
      <c r="O93" s="3"/>
      <c r="P93" s="3"/>
      <c r="Q93" s="3"/>
      <c r="R93" s="3"/>
      <c r="S93" s="3"/>
      <c r="T93" s="4"/>
      <c r="U93" s="309"/>
      <c r="V93" s="310"/>
      <c r="W93" s="3"/>
      <c r="X93" s="251"/>
      <c r="Y93" s="412"/>
    </row>
    <row r="94" spans="1:25" ht="12.75">
      <c r="A94" s="406"/>
      <c r="B94" s="406"/>
      <c r="C94" s="406"/>
      <c r="D94" s="452"/>
      <c r="E94" s="400"/>
      <c r="F94" s="403"/>
      <c r="G94" s="414">
        <f>G88+G91</f>
        <v>133800</v>
      </c>
      <c r="H94" s="246" t="s">
        <v>16</v>
      </c>
      <c r="I94" s="247"/>
      <c r="J94" s="3"/>
      <c r="K94" s="249">
        <f t="shared" si="11"/>
        <v>0</v>
      </c>
      <c r="L94" s="4"/>
      <c r="M94" s="250"/>
      <c r="N94" s="3"/>
      <c r="O94" s="3"/>
      <c r="P94" s="3"/>
      <c r="Q94" s="3"/>
      <c r="R94" s="3"/>
      <c r="S94" s="3"/>
      <c r="T94" s="4"/>
      <c r="U94" s="309"/>
      <c r="V94" s="310"/>
      <c r="W94" s="3"/>
      <c r="X94" s="251"/>
      <c r="Y94" s="412"/>
    </row>
    <row r="95" spans="1:25" ht="12.75">
      <c r="A95" s="406"/>
      <c r="B95" s="406"/>
      <c r="C95" s="406"/>
      <c r="D95" s="452"/>
      <c r="E95" s="400"/>
      <c r="F95" s="403"/>
      <c r="G95" s="418"/>
      <c r="H95" s="246" t="s">
        <v>18</v>
      </c>
      <c r="I95" s="252">
        <f>I87+I89+I91+I93</f>
        <v>0</v>
      </c>
      <c r="J95" s="7">
        <f>J87+J89+J91+J93</f>
        <v>0</v>
      </c>
      <c r="K95" s="249">
        <f t="shared" si="11"/>
        <v>0</v>
      </c>
      <c r="L95" s="123">
        <f>L87+L89+L91+L93</f>
        <v>0</v>
      </c>
      <c r="M95" s="250">
        <f>K95+L95</f>
        <v>0</v>
      </c>
      <c r="N95" s="7">
        <f aca="true" t="shared" si="13" ref="N95:T96">N87+N89+N91+N93</f>
        <v>37242</v>
      </c>
      <c r="O95" s="7">
        <f t="shared" si="13"/>
        <v>27846</v>
      </c>
      <c r="P95" s="7">
        <f t="shared" si="13"/>
        <v>27846</v>
      </c>
      <c r="Q95" s="7">
        <f t="shared" si="13"/>
        <v>40866</v>
      </c>
      <c r="R95" s="7">
        <f t="shared" si="13"/>
        <v>0</v>
      </c>
      <c r="S95" s="7">
        <f t="shared" si="13"/>
        <v>0</v>
      </c>
      <c r="T95" s="123">
        <f t="shared" si="13"/>
        <v>0</v>
      </c>
      <c r="U95" s="311">
        <v>7522</v>
      </c>
      <c r="V95" s="314">
        <v>37242</v>
      </c>
      <c r="W95" s="3">
        <f>M95+U95</f>
        <v>7522</v>
      </c>
      <c r="X95" s="251">
        <f>W95/$G$94</f>
        <v>0.056218236173393124</v>
      </c>
      <c r="Y95" s="412"/>
    </row>
    <row r="96" spans="1:25" ht="18.75" customHeight="1" thickBot="1">
      <c r="A96" s="407"/>
      <c r="B96" s="407"/>
      <c r="C96" s="407"/>
      <c r="D96" s="453"/>
      <c r="E96" s="401"/>
      <c r="F96" s="417"/>
      <c r="G96" s="419"/>
      <c r="H96" s="253" t="s">
        <v>19</v>
      </c>
      <c r="I96" s="254">
        <f>I88+I90+I92+I94</f>
        <v>0</v>
      </c>
      <c r="J96" s="10">
        <f>J88+J90+J92+J94</f>
        <v>0</v>
      </c>
      <c r="K96" s="255">
        <f t="shared" si="11"/>
        <v>0</v>
      </c>
      <c r="L96" s="124">
        <f>L88+L90+L92+L94</f>
        <v>0</v>
      </c>
      <c r="M96" s="256">
        <f>K96+L96</f>
        <v>0</v>
      </c>
      <c r="N96" s="10">
        <f t="shared" si="13"/>
        <v>0</v>
      </c>
      <c r="O96" s="10">
        <f t="shared" si="13"/>
        <v>0</v>
      </c>
      <c r="P96" s="10">
        <f t="shared" si="13"/>
        <v>0</v>
      </c>
      <c r="Q96" s="10">
        <f t="shared" si="13"/>
        <v>0</v>
      </c>
      <c r="R96" s="10">
        <f t="shared" si="13"/>
        <v>0</v>
      </c>
      <c r="S96" s="10">
        <f t="shared" si="13"/>
        <v>0</v>
      </c>
      <c r="T96" s="124">
        <f t="shared" si="13"/>
        <v>0</v>
      </c>
      <c r="U96" s="312">
        <v>0</v>
      </c>
      <c r="V96" s="315">
        <v>0</v>
      </c>
      <c r="W96" s="76">
        <f>M96+U96</f>
        <v>0</v>
      </c>
      <c r="X96" s="258">
        <f>W96/$G$94</f>
        <v>0</v>
      </c>
      <c r="Y96" s="413"/>
    </row>
    <row r="97" spans="1:25" ht="12.75" customHeight="1">
      <c r="A97" s="405">
        <f>A87+1</f>
        <v>10</v>
      </c>
      <c r="B97" s="405">
        <v>600</v>
      </c>
      <c r="C97" s="405">
        <v>60095</v>
      </c>
      <c r="D97" s="451" t="s">
        <v>175</v>
      </c>
      <c r="E97" s="399" t="s">
        <v>172</v>
      </c>
      <c r="F97" s="402">
        <v>2013</v>
      </c>
      <c r="G97" s="1" t="s">
        <v>9</v>
      </c>
      <c r="H97" s="241" t="s">
        <v>10</v>
      </c>
      <c r="I97" s="242"/>
      <c r="J97" s="243"/>
      <c r="K97" s="243">
        <f t="shared" si="11"/>
        <v>0</v>
      </c>
      <c r="L97" s="243"/>
      <c r="M97" s="249">
        <v>0</v>
      </c>
      <c r="N97" s="249">
        <v>2100</v>
      </c>
      <c r="O97" s="249">
        <v>2300</v>
      </c>
      <c r="P97" s="249">
        <v>2300</v>
      </c>
      <c r="Q97" s="249">
        <v>5300</v>
      </c>
      <c r="R97" s="249"/>
      <c r="S97" s="249"/>
      <c r="T97" s="11"/>
      <c r="U97" s="316">
        <v>354</v>
      </c>
      <c r="V97" s="317">
        <v>2100</v>
      </c>
      <c r="W97" s="249">
        <f>M97+U97</f>
        <v>354</v>
      </c>
      <c r="X97" s="265">
        <f>W97/$G$104</f>
        <v>0.0011903160726294553</v>
      </c>
      <c r="Y97" s="411">
        <f>N105+O105+P105+Q105+R105+S105+N106+O106+P106+Q106+R106+T105+T106+S106</f>
        <v>297400</v>
      </c>
    </row>
    <row r="98" spans="1:25" ht="12.75">
      <c r="A98" s="406"/>
      <c r="B98" s="406"/>
      <c r="C98" s="406"/>
      <c r="D98" s="452"/>
      <c r="E98" s="400"/>
      <c r="F98" s="403"/>
      <c r="G98" s="414">
        <f>N105+O105+P105+Q105</f>
        <v>297400</v>
      </c>
      <c r="H98" s="246" t="s">
        <v>11</v>
      </c>
      <c r="I98" s="247"/>
      <c r="J98" s="3"/>
      <c r="K98" s="249">
        <f t="shared" si="11"/>
        <v>0</v>
      </c>
      <c r="L98" s="3"/>
      <c r="M98" s="3"/>
      <c r="N98" s="3"/>
      <c r="O98" s="3"/>
      <c r="P98" s="3"/>
      <c r="Q98" s="3"/>
      <c r="R98" s="3"/>
      <c r="S98" s="3"/>
      <c r="T98" s="4"/>
      <c r="U98" s="309"/>
      <c r="V98" s="310"/>
      <c r="W98" s="3"/>
      <c r="X98" s="251"/>
      <c r="Y98" s="412"/>
    </row>
    <row r="99" spans="1:25" ht="12.75">
      <c r="A99" s="406"/>
      <c r="B99" s="406"/>
      <c r="C99" s="406"/>
      <c r="D99" s="452"/>
      <c r="E99" s="400"/>
      <c r="F99" s="403"/>
      <c r="G99" s="415"/>
      <c r="H99" s="246" t="s">
        <v>12</v>
      </c>
      <c r="I99" s="247"/>
      <c r="J99" s="3"/>
      <c r="K99" s="249">
        <f t="shared" si="11"/>
        <v>0</v>
      </c>
      <c r="L99" s="3"/>
      <c r="M99" s="3"/>
      <c r="N99" s="3"/>
      <c r="O99" s="3"/>
      <c r="P99" s="3"/>
      <c r="Q99" s="3"/>
      <c r="R99" s="3"/>
      <c r="S99" s="3"/>
      <c r="T99" s="4"/>
      <c r="U99" s="309"/>
      <c r="V99" s="310"/>
      <c r="W99" s="3"/>
      <c r="X99" s="251"/>
      <c r="Y99" s="412"/>
    </row>
    <row r="100" spans="1:25" ht="12.75">
      <c r="A100" s="406"/>
      <c r="B100" s="406"/>
      <c r="C100" s="406"/>
      <c r="D100" s="452"/>
      <c r="E100" s="400"/>
      <c r="F100" s="403"/>
      <c r="G100" s="5" t="s">
        <v>13</v>
      </c>
      <c r="H100" s="246" t="s">
        <v>14</v>
      </c>
      <c r="I100" s="247"/>
      <c r="J100" s="3"/>
      <c r="K100" s="249">
        <f t="shared" si="11"/>
        <v>0</v>
      </c>
      <c r="L100" s="3"/>
      <c r="M100" s="3"/>
      <c r="N100" s="3"/>
      <c r="O100" s="3"/>
      <c r="P100" s="3"/>
      <c r="Q100" s="3"/>
      <c r="R100" s="3"/>
      <c r="S100" s="3"/>
      <c r="T100" s="4"/>
      <c r="U100" s="309"/>
      <c r="V100" s="310"/>
      <c r="W100" s="3"/>
      <c r="X100" s="251"/>
      <c r="Y100" s="412"/>
    </row>
    <row r="101" spans="1:25" ht="12.75">
      <c r="A101" s="406"/>
      <c r="B101" s="406"/>
      <c r="C101" s="406"/>
      <c r="D101" s="452"/>
      <c r="E101" s="400"/>
      <c r="F101" s="404"/>
      <c r="G101" s="414">
        <f>SUM(K106:T106)</f>
        <v>0</v>
      </c>
      <c r="H101" s="246" t="s">
        <v>162</v>
      </c>
      <c r="I101" s="247"/>
      <c r="J101" s="3"/>
      <c r="K101" s="249">
        <f t="shared" si="11"/>
        <v>0</v>
      </c>
      <c r="L101" s="3"/>
      <c r="M101" s="3">
        <v>0</v>
      </c>
      <c r="N101" s="3">
        <v>60268</v>
      </c>
      <c r="O101" s="3">
        <v>69548</v>
      </c>
      <c r="P101" s="3">
        <v>69550</v>
      </c>
      <c r="Q101" s="3">
        <v>86034</v>
      </c>
      <c r="R101" s="3"/>
      <c r="S101" s="3"/>
      <c r="T101" s="4"/>
      <c r="U101" s="309">
        <v>28798</v>
      </c>
      <c r="V101" s="310">
        <v>60268</v>
      </c>
      <c r="W101" s="3">
        <f>M101+U101</f>
        <v>28798</v>
      </c>
      <c r="X101" s="251">
        <f>W101/$G$104</f>
        <v>0.09683254875588433</v>
      </c>
      <c r="Y101" s="412"/>
    </row>
    <row r="102" spans="1:25" ht="12.75">
      <c r="A102" s="406"/>
      <c r="B102" s="406"/>
      <c r="C102" s="406"/>
      <c r="D102" s="452"/>
      <c r="E102" s="400"/>
      <c r="F102" s="416">
        <v>2016</v>
      </c>
      <c r="G102" s="415"/>
      <c r="H102" s="246" t="s">
        <v>163</v>
      </c>
      <c r="I102" s="247"/>
      <c r="J102" s="3"/>
      <c r="K102" s="249">
        <f t="shared" si="11"/>
        <v>0</v>
      </c>
      <c r="L102" s="3"/>
      <c r="M102" s="3"/>
      <c r="N102" s="3"/>
      <c r="O102" s="3"/>
      <c r="P102" s="3"/>
      <c r="Q102" s="3"/>
      <c r="R102" s="3"/>
      <c r="S102" s="3"/>
      <c r="T102" s="4"/>
      <c r="U102" s="309"/>
      <c r="V102" s="310"/>
      <c r="W102" s="3"/>
      <c r="X102" s="251"/>
      <c r="Y102" s="412"/>
    </row>
    <row r="103" spans="1:25" ht="12.75">
      <c r="A103" s="406"/>
      <c r="B103" s="406"/>
      <c r="C103" s="406"/>
      <c r="D103" s="452"/>
      <c r="E103" s="400"/>
      <c r="F103" s="403"/>
      <c r="G103" s="5" t="s">
        <v>17</v>
      </c>
      <c r="H103" s="246" t="s">
        <v>15</v>
      </c>
      <c r="I103" s="247"/>
      <c r="J103" s="3"/>
      <c r="K103" s="249">
        <f t="shared" si="11"/>
        <v>0</v>
      </c>
      <c r="L103" s="3"/>
      <c r="M103" s="3"/>
      <c r="N103" s="3"/>
      <c r="O103" s="3"/>
      <c r="P103" s="3"/>
      <c r="Q103" s="3"/>
      <c r="R103" s="3"/>
      <c r="S103" s="3"/>
      <c r="T103" s="4"/>
      <c r="U103" s="309"/>
      <c r="V103" s="310"/>
      <c r="W103" s="3"/>
      <c r="X103" s="251"/>
      <c r="Y103" s="412"/>
    </row>
    <row r="104" spans="1:25" ht="12.75">
      <c r="A104" s="406"/>
      <c r="B104" s="406"/>
      <c r="C104" s="406"/>
      <c r="D104" s="452"/>
      <c r="E104" s="400"/>
      <c r="F104" s="403"/>
      <c r="G104" s="414">
        <f>G98+G101</f>
        <v>297400</v>
      </c>
      <c r="H104" s="246" t="s">
        <v>16</v>
      </c>
      <c r="I104" s="247"/>
      <c r="J104" s="3"/>
      <c r="K104" s="249">
        <f t="shared" si="11"/>
        <v>0</v>
      </c>
      <c r="L104" s="3"/>
      <c r="M104" s="3"/>
      <c r="N104" s="3"/>
      <c r="O104" s="3"/>
      <c r="P104" s="3"/>
      <c r="Q104" s="3"/>
      <c r="R104" s="3"/>
      <c r="S104" s="3"/>
      <c r="T104" s="4"/>
      <c r="U104" s="309"/>
      <c r="V104" s="310"/>
      <c r="W104" s="3"/>
      <c r="X104" s="251"/>
      <c r="Y104" s="412"/>
    </row>
    <row r="105" spans="1:25" ht="12.75">
      <c r="A105" s="406"/>
      <c r="B105" s="406"/>
      <c r="C105" s="406"/>
      <c r="D105" s="452"/>
      <c r="E105" s="400"/>
      <c r="F105" s="403"/>
      <c r="G105" s="418"/>
      <c r="H105" s="246" t="s">
        <v>18</v>
      </c>
      <c r="I105" s="252">
        <f>I97+I99+I101+I103</f>
        <v>0</v>
      </c>
      <c r="J105" s="7">
        <f>J97+J99+J101+J103</f>
        <v>0</v>
      </c>
      <c r="K105" s="249">
        <f t="shared" si="11"/>
        <v>0</v>
      </c>
      <c r="L105" s="7">
        <f>L97+L99+L101+L103</f>
        <v>0</v>
      </c>
      <c r="M105" s="3">
        <f>K105+L105</f>
        <v>0</v>
      </c>
      <c r="N105" s="7">
        <f aca="true" t="shared" si="14" ref="N105:T106">N97+N99+N101+N103</f>
        <v>62368</v>
      </c>
      <c r="O105" s="7">
        <f t="shared" si="14"/>
        <v>71848</v>
      </c>
      <c r="P105" s="7">
        <f t="shared" si="14"/>
        <v>71850</v>
      </c>
      <c r="Q105" s="7">
        <f t="shared" si="14"/>
        <v>91334</v>
      </c>
      <c r="R105" s="7">
        <f t="shared" si="14"/>
        <v>0</v>
      </c>
      <c r="S105" s="7">
        <f t="shared" si="14"/>
        <v>0</v>
      </c>
      <c r="T105" s="123">
        <f t="shared" si="14"/>
        <v>0</v>
      </c>
      <c r="U105" s="311">
        <v>29152</v>
      </c>
      <c r="V105" s="314">
        <v>62368</v>
      </c>
      <c r="W105" s="3">
        <f>M105+U105</f>
        <v>29152</v>
      </c>
      <c r="X105" s="251">
        <f>W105/$G$104</f>
        <v>0.09802286482851379</v>
      </c>
      <c r="Y105" s="412"/>
    </row>
    <row r="106" spans="1:25" ht="13.5" thickBot="1">
      <c r="A106" s="407"/>
      <c r="B106" s="407"/>
      <c r="C106" s="407"/>
      <c r="D106" s="453"/>
      <c r="E106" s="401"/>
      <c r="F106" s="417"/>
      <c r="G106" s="419"/>
      <c r="H106" s="253" t="s">
        <v>19</v>
      </c>
      <c r="I106" s="254">
        <f>I98+I100+I102+I104</f>
        <v>0</v>
      </c>
      <c r="J106" s="10">
        <f>J98+J100+J102+J104</f>
        <v>0</v>
      </c>
      <c r="K106" s="255">
        <f t="shared" si="11"/>
        <v>0</v>
      </c>
      <c r="L106" s="10">
        <f>L98+L100+L102+L104</f>
        <v>0</v>
      </c>
      <c r="M106" s="264">
        <f>K106+L106</f>
        <v>0</v>
      </c>
      <c r="N106" s="12">
        <f t="shared" si="14"/>
        <v>0</v>
      </c>
      <c r="O106" s="12">
        <f t="shared" si="14"/>
        <v>0</v>
      </c>
      <c r="P106" s="12">
        <f t="shared" si="14"/>
        <v>0</v>
      </c>
      <c r="Q106" s="12">
        <f t="shared" si="14"/>
        <v>0</v>
      </c>
      <c r="R106" s="12">
        <f t="shared" si="14"/>
        <v>0</v>
      </c>
      <c r="S106" s="12">
        <f t="shared" si="14"/>
        <v>0</v>
      </c>
      <c r="T106" s="144">
        <f t="shared" si="14"/>
        <v>0</v>
      </c>
      <c r="U106" s="318">
        <v>0</v>
      </c>
      <c r="V106" s="319">
        <v>0</v>
      </c>
      <c r="W106" s="264">
        <f>M106+U106</f>
        <v>0</v>
      </c>
      <c r="X106" s="266">
        <f>W106/$G$104</f>
        <v>0</v>
      </c>
      <c r="Y106" s="413"/>
    </row>
    <row r="107" spans="1:25" ht="12.75" customHeight="1">
      <c r="A107" s="405">
        <f>A97+1</f>
        <v>11</v>
      </c>
      <c r="B107" s="405">
        <v>600</v>
      </c>
      <c r="C107" s="405">
        <v>60095</v>
      </c>
      <c r="D107" s="451" t="s">
        <v>176</v>
      </c>
      <c r="E107" s="399" t="s">
        <v>172</v>
      </c>
      <c r="F107" s="402">
        <v>2013</v>
      </c>
      <c r="G107" s="1" t="s">
        <v>9</v>
      </c>
      <c r="H107" s="241" t="s">
        <v>10</v>
      </c>
      <c r="I107" s="242"/>
      <c r="J107" s="243"/>
      <c r="K107" s="243">
        <f t="shared" si="11"/>
        <v>0</v>
      </c>
      <c r="L107" s="2"/>
      <c r="M107" s="244">
        <v>0</v>
      </c>
      <c r="N107" s="243">
        <v>20204</v>
      </c>
      <c r="O107" s="243">
        <v>9240</v>
      </c>
      <c r="P107" s="243">
        <v>3140</v>
      </c>
      <c r="Q107" s="243"/>
      <c r="R107" s="243"/>
      <c r="S107" s="243"/>
      <c r="T107" s="2"/>
      <c r="U107" s="307">
        <v>862</v>
      </c>
      <c r="V107" s="308">
        <v>20204</v>
      </c>
      <c r="W107" s="243">
        <f>M107+U107</f>
        <v>862</v>
      </c>
      <c r="X107" s="260">
        <f>W107/$G$114</f>
        <v>0.005290940338816597</v>
      </c>
      <c r="Y107" s="411">
        <f>N115+O115+P115+Q115+R115+S115+N116+O116+P116+Q116+R116+T115+T116+S116</f>
        <v>162920</v>
      </c>
    </row>
    <row r="108" spans="1:25" ht="12.75">
      <c r="A108" s="406"/>
      <c r="B108" s="406"/>
      <c r="C108" s="406"/>
      <c r="D108" s="452"/>
      <c r="E108" s="400"/>
      <c r="F108" s="403"/>
      <c r="G108" s="414">
        <f>N115+O115+P115</f>
        <v>162920</v>
      </c>
      <c r="H108" s="246" t="s">
        <v>11</v>
      </c>
      <c r="I108" s="247"/>
      <c r="J108" s="3"/>
      <c r="K108" s="249">
        <f t="shared" si="11"/>
        <v>0</v>
      </c>
      <c r="L108" s="4"/>
      <c r="M108" s="250"/>
      <c r="N108" s="3"/>
      <c r="O108" s="3"/>
      <c r="P108" s="3"/>
      <c r="Q108" s="3"/>
      <c r="R108" s="3"/>
      <c r="S108" s="3"/>
      <c r="T108" s="4"/>
      <c r="U108" s="309"/>
      <c r="V108" s="310"/>
      <c r="W108" s="3"/>
      <c r="X108" s="251"/>
      <c r="Y108" s="412"/>
    </row>
    <row r="109" spans="1:25" ht="12.75">
      <c r="A109" s="406"/>
      <c r="B109" s="406"/>
      <c r="C109" s="406"/>
      <c r="D109" s="452"/>
      <c r="E109" s="400"/>
      <c r="F109" s="403"/>
      <c r="G109" s="415"/>
      <c r="H109" s="246" t="s">
        <v>12</v>
      </c>
      <c r="I109" s="247"/>
      <c r="J109" s="3"/>
      <c r="K109" s="249">
        <f t="shared" si="11"/>
        <v>0</v>
      </c>
      <c r="L109" s="4"/>
      <c r="M109" s="250"/>
      <c r="N109" s="3"/>
      <c r="O109" s="3"/>
      <c r="P109" s="3"/>
      <c r="Q109" s="3"/>
      <c r="R109" s="3"/>
      <c r="S109" s="3"/>
      <c r="T109" s="4"/>
      <c r="U109" s="309"/>
      <c r="V109" s="310"/>
      <c r="W109" s="3"/>
      <c r="X109" s="251"/>
      <c r="Y109" s="412"/>
    </row>
    <row r="110" spans="1:25" ht="12.75">
      <c r="A110" s="406"/>
      <c r="B110" s="406"/>
      <c r="C110" s="406"/>
      <c r="D110" s="452"/>
      <c r="E110" s="400"/>
      <c r="F110" s="403"/>
      <c r="G110" s="5" t="s">
        <v>13</v>
      </c>
      <c r="H110" s="246" t="s">
        <v>14</v>
      </c>
      <c r="I110" s="247"/>
      <c r="J110" s="3"/>
      <c r="K110" s="249">
        <f t="shared" si="11"/>
        <v>0</v>
      </c>
      <c r="L110" s="4"/>
      <c r="M110" s="250"/>
      <c r="N110" s="3"/>
      <c r="O110" s="3"/>
      <c r="P110" s="3"/>
      <c r="Q110" s="3"/>
      <c r="R110" s="3"/>
      <c r="S110" s="3"/>
      <c r="T110" s="4"/>
      <c r="U110" s="309"/>
      <c r="V110" s="310"/>
      <c r="W110" s="3"/>
      <c r="X110" s="251"/>
      <c r="Y110" s="412"/>
    </row>
    <row r="111" spans="1:25" ht="12.75">
      <c r="A111" s="406"/>
      <c r="B111" s="406"/>
      <c r="C111" s="406"/>
      <c r="D111" s="452"/>
      <c r="E111" s="400"/>
      <c r="F111" s="404"/>
      <c r="G111" s="414">
        <f>SUM(K116:T116)</f>
        <v>0</v>
      </c>
      <c r="H111" s="246" t="s">
        <v>162</v>
      </c>
      <c r="I111" s="247"/>
      <c r="J111" s="3"/>
      <c r="K111" s="249">
        <f aca="true" t="shared" si="15" ref="K111:K142">I111+J111</f>
        <v>0</v>
      </c>
      <c r="L111" s="4"/>
      <c r="M111" s="250">
        <v>0</v>
      </c>
      <c r="N111" s="3">
        <v>80816</v>
      </c>
      <c r="O111" s="3">
        <v>36960</v>
      </c>
      <c r="P111" s="3">
        <v>12560</v>
      </c>
      <c r="Q111" s="3"/>
      <c r="R111" s="3"/>
      <c r="S111" s="3"/>
      <c r="T111" s="4"/>
      <c r="U111" s="309">
        <v>3447</v>
      </c>
      <c r="V111" s="310">
        <v>80816</v>
      </c>
      <c r="W111" s="3">
        <f>M111+U111</f>
        <v>3447</v>
      </c>
      <c r="X111" s="251">
        <f>W111/$G$114</f>
        <v>0.021157623373434815</v>
      </c>
      <c r="Y111" s="412"/>
    </row>
    <row r="112" spans="1:25" ht="12.75">
      <c r="A112" s="406"/>
      <c r="B112" s="406"/>
      <c r="C112" s="406"/>
      <c r="D112" s="452"/>
      <c r="E112" s="400"/>
      <c r="F112" s="416">
        <v>2015</v>
      </c>
      <c r="G112" s="415"/>
      <c r="H112" s="246" t="s">
        <v>163</v>
      </c>
      <c r="I112" s="247"/>
      <c r="J112" s="3"/>
      <c r="K112" s="249">
        <f t="shared" si="15"/>
        <v>0</v>
      </c>
      <c r="L112" s="4"/>
      <c r="M112" s="250"/>
      <c r="N112" s="3"/>
      <c r="O112" s="3"/>
      <c r="P112" s="3"/>
      <c r="Q112" s="3"/>
      <c r="R112" s="3"/>
      <c r="S112" s="3"/>
      <c r="T112" s="4"/>
      <c r="U112" s="309"/>
      <c r="V112" s="310"/>
      <c r="W112" s="3"/>
      <c r="X112" s="251"/>
      <c r="Y112" s="412"/>
    </row>
    <row r="113" spans="1:25" ht="12.75">
      <c r="A113" s="406"/>
      <c r="B113" s="406"/>
      <c r="C113" s="406"/>
      <c r="D113" s="452"/>
      <c r="E113" s="400"/>
      <c r="F113" s="403"/>
      <c r="G113" s="5" t="s">
        <v>17</v>
      </c>
      <c r="H113" s="246" t="s">
        <v>15</v>
      </c>
      <c r="I113" s="247"/>
      <c r="J113" s="3"/>
      <c r="K113" s="249">
        <f t="shared" si="15"/>
        <v>0</v>
      </c>
      <c r="L113" s="4"/>
      <c r="M113" s="250"/>
      <c r="N113" s="3"/>
      <c r="O113" s="3"/>
      <c r="P113" s="3"/>
      <c r="Q113" s="3"/>
      <c r="R113" s="3"/>
      <c r="S113" s="3"/>
      <c r="T113" s="4"/>
      <c r="U113" s="309"/>
      <c r="V113" s="310"/>
      <c r="W113" s="3"/>
      <c r="X113" s="251"/>
      <c r="Y113" s="412"/>
    </row>
    <row r="114" spans="1:25" ht="12.75">
      <c r="A114" s="406"/>
      <c r="B114" s="406"/>
      <c r="C114" s="406"/>
      <c r="D114" s="452"/>
      <c r="E114" s="400"/>
      <c r="F114" s="403"/>
      <c r="G114" s="414">
        <f>G108+G111</f>
        <v>162920</v>
      </c>
      <c r="H114" s="246" t="s">
        <v>16</v>
      </c>
      <c r="I114" s="247"/>
      <c r="J114" s="3"/>
      <c r="K114" s="249">
        <f t="shared" si="15"/>
        <v>0</v>
      </c>
      <c r="L114" s="4"/>
      <c r="M114" s="250"/>
      <c r="N114" s="3"/>
      <c r="O114" s="3"/>
      <c r="P114" s="3"/>
      <c r="Q114" s="3"/>
      <c r="R114" s="3"/>
      <c r="S114" s="3"/>
      <c r="T114" s="4"/>
      <c r="U114" s="309"/>
      <c r="V114" s="310"/>
      <c r="W114" s="3"/>
      <c r="X114" s="251"/>
      <c r="Y114" s="412"/>
    </row>
    <row r="115" spans="1:25" ht="12.75">
      <c r="A115" s="406"/>
      <c r="B115" s="406"/>
      <c r="C115" s="406"/>
      <c r="D115" s="452"/>
      <c r="E115" s="400"/>
      <c r="F115" s="403"/>
      <c r="G115" s="418"/>
      <c r="H115" s="246" t="s">
        <v>18</v>
      </c>
      <c r="I115" s="252">
        <f>I107+I109+I111+I113</f>
        <v>0</v>
      </c>
      <c r="J115" s="7">
        <f>J107+J109+J111+J113</f>
        <v>0</v>
      </c>
      <c r="K115" s="249">
        <f t="shared" si="15"/>
        <v>0</v>
      </c>
      <c r="L115" s="123">
        <f>L107+L109+L111+L113</f>
        <v>0</v>
      </c>
      <c r="M115" s="250">
        <f>K115+L115</f>
        <v>0</v>
      </c>
      <c r="N115" s="7">
        <f aca="true" t="shared" si="16" ref="N115:U115">N107+N109+N111+N113</f>
        <v>101020</v>
      </c>
      <c r="O115" s="7">
        <f t="shared" si="16"/>
        <v>46200</v>
      </c>
      <c r="P115" s="7">
        <f t="shared" si="16"/>
        <v>15700</v>
      </c>
      <c r="Q115" s="7">
        <f t="shared" si="16"/>
        <v>0</v>
      </c>
      <c r="R115" s="7">
        <f t="shared" si="16"/>
        <v>0</v>
      </c>
      <c r="S115" s="7">
        <f t="shared" si="16"/>
        <v>0</v>
      </c>
      <c r="T115" s="123">
        <f t="shared" si="16"/>
        <v>0</v>
      </c>
      <c r="U115" s="311">
        <f t="shared" si="16"/>
        <v>4309</v>
      </c>
      <c r="V115" s="314">
        <v>101020</v>
      </c>
      <c r="W115" s="3">
        <f>M115+U115</f>
        <v>4309</v>
      </c>
      <c r="X115" s="251">
        <f>W115/$G$114</f>
        <v>0.026448563712251412</v>
      </c>
      <c r="Y115" s="412"/>
    </row>
    <row r="116" spans="1:25" ht="13.5" thickBot="1">
      <c r="A116" s="407"/>
      <c r="B116" s="407"/>
      <c r="C116" s="407"/>
      <c r="D116" s="453"/>
      <c r="E116" s="401"/>
      <c r="F116" s="417"/>
      <c r="G116" s="419"/>
      <c r="H116" s="253" t="s">
        <v>19</v>
      </c>
      <c r="I116" s="254">
        <f>I108+I110+I112+I114</f>
        <v>0</v>
      </c>
      <c r="J116" s="10">
        <f>J108+J110+J112+J114</f>
        <v>0</v>
      </c>
      <c r="K116" s="255">
        <f t="shared" si="15"/>
        <v>0</v>
      </c>
      <c r="L116" s="124">
        <f>L108+L110+L112+L114</f>
        <v>0</v>
      </c>
      <c r="M116" s="256">
        <f>K116+L116</f>
        <v>0</v>
      </c>
      <c r="N116" s="10">
        <f aca="true" t="shared" si="17" ref="N116:T116">N108+N110+N112+N114</f>
        <v>0</v>
      </c>
      <c r="O116" s="10">
        <f t="shared" si="17"/>
        <v>0</v>
      </c>
      <c r="P116" s="10">
        <f t="shared" si="17"/>
        <v>0</v>
      </c>
      <c r="Q116" s="10">
        <f t="shared" si="17"/>
        <v>0</v>
      </c>
      <c r="R116" s="10">
        <f t="shared" si="17"/>
        <v>0</v>
      </c>
      <c r="S116" s="10">
        <f t="shared" si="17"/>
        <v>0</v>
      </c>
      <c r="T116" s="124">
        <f t="shared" si="17"/>
        <v>0</v>
      </c>
      <c r="U116" s="312">
        <v>0</v>
      </c>
      <c r="V116" s="315">
        <v>0</v>
      </c>
      <c r="W116" s="76">
        <f>M116+U116</f>
        <v>0</v>
      </c>
      <c r="X116" s="258">
        <f>W116/$G$114</f>
        <v>0</v>
      </c>
      <c r="Y116" s="413"/>
    </row>
    <row r="117" spans="1:25" ht="12.75" customHeight="1">
      <c r="A117" s="405">
        <f>A107+1</f>
        <v>12</v>
      </c>
      <c r="B117" s="405">
        <v>710</v>
      </c>
      <c r="C117" s="405">
        <v>71003</v>
      </c>
      <c r="D117" s="451" t="s">
        <v>177</v>
      </c>
      <c r="E117" s="399" t="s">
        <v>178</v>
      </c>
      <c r="F117" s="402">
        <v>2011</v>
      </c>
      <c r="G117" s="1" t="s">
        <v>9</v>
      </c>
      <c r="H117" s="241" t="s">
        <v>10</v>
      </c>
      <c r="I117" s="242"/>
      <c r="J117" s="243"/>
      <c r="K117" s="243">
        <f t="shared" si="15"/>
        <v>0</v>
      </c>
      <c r="L117" s="2"/>
      <c r="M117" s="244"/>
      <c r="N117" s="267"/>
      <c r="O117" s="127"/>
      <c r="P117" s="243"/>
      <c r="Q117" s="243"/>
      <c r="R117" s="243"/>
      <c r="S117" s="243"/>
      <c r="T117" s="2"/>
      <c r="U117" s="308"/>
      <c r="V117" s="308"/>
      <c r="W117" s="243"/>
      <c r="X117" s="260"/>
      <c r="Y117" s="411">
        <f>N125+O125+P125+Q125+R125+S125+N126+O126+P126+Q126+R126+T125+T126+S126</f>
        <v>10000</v>
      </c>
    </row>
    <row r="118" spans="1:25" ht="12.75">
      <c r="A118" s="406"/>
      <c r="B118" s="406"/>
      <c r="C118" s="406"/>
      <c r="D118" s="452"/>
      <c r="E118" s="400"/>
      <c r="F118" s="403"/>
      <c r="G118" s="414">
        <f>N125</f>
        <v>10000</v>
      </c>
      <c r="H118" s="246" t="s">
        <v>11</v>
      </c>
      <c r="I118" s="247"/>
      <c r="J118" s="3"/>
      <c r="K118" s="249">
        <f t="shared" si="15"/>
        <v>0</v>
      </c>
      <c r="L118" s="4"/>
      <c r="M118" s="250"/>
      <c r="N118" s="268"/>
      <c r="O118" s="128"/>
      <c r="P118" s="3"/>
      <c r="Q118" s="3"/>
      <c r="R118" s="3"/>
      <c r="S118" s="3"/>
      <c r="T118" s="4"/>
      <c r="U118" s="310"/>
      <c r="V118" s="310"/>
      <c r="W118" s="3"/>
      <c r="X118" s="251"/>
      <c r="Y118" s="412"/>
    </row>
    <row r="119" spans="1:25" ht="12.75">
      <c r="A119" s="406"/>
      <c r="B119" s="406"/>
      <c r="C119" s="406"/>
      <c r="D119" s="452"/>
      <c r="E119" s="400"/>
      <c r="F119" s="403"/>
      <c r="G119" s="415"/>
      <c r="H119" s="246" t="s">
        <v>12</v>
      </c>
      <c r="I119" s="247"/>
      <c r="J119" s="3"/>
      <c r="K119" s="249">
        <f t="shared" si="15"/>
        <v>0</v>
      </c>
      <c r="L119" s="4"/>
      <c r="M119" s="250"/>
      <c r="N119" s="268"/>
      <c r="O119" s="128"/>
      <c r="P119" s="3"/>
      <c r="Q119" s="3"/>
      <c r="R119" s="3"/>
      <c r="S119" s="3"/>
      <c r="T119" s="4"/>
      <c r="U119" s="310"/>
      <c r="V119" s="310"/>
      <c r="W119" s="3"/>
      <c r="X119" s="251"/>
      <c r="Y119" s="412"/>
    </row>
    <row r="120" spans="1:25" ht="12.75">
      <c r="A120" s="406"/>
      <c r="B120" s="406"/>
      <c r="C120" s="406"/>
      <c r="D120" s="452"/>
      <c r="E120" s="400"/>
      <c r="F120" s="403"/>
      <c r="G120" s="5" t="s">
        <v>13</v>
      </c>
      <c r="H120" s="246" t="s">
        <v>14</v>
      </c>
      <c r="I120" s="247"/>
      <c r="J120" s="3"/>
      <c r="K120" s="249">
        <f t="shared" si="15"/>
        <v>0</v>
      </c>
      <c r="L120" s="4"/>
      <c r="M120" s="250"/>
      <c r="N120" s="268"/>
      <c r="O120" s="128"/>
      <c r="P120" s="3"/>
      <c r="Q120" s="3"/>
      <c r="R120" s="3"/>
      <c r="S120" s="3"/>
      <c r="T120" s="4"/>
      <c r="U120" s="310"/>
      <c r="V120" s="310"/>
      <c r="W120" s="3"/>
      <c r="X120" s="251"/>
      <c r="Y120" s="412"/>
    </row>
    <row r="121" spans="1:25" ht="12.75">
      <c r="A121" s="406"/>
      <c r="B121" s="406"/>
      <c r="C121" s="406"/>
      <c r="D121" s="452"/>
      <c r="E121" s="400"/>
      <c r="F121" s="404"/>
      <c r="G121" s="414">
        <f>SUM(K126:T126)</f>
        <v>0</v>
      </c>
      <c r="H121" s="246" t="s">
        <v>162</v>
      </c>
      <c r="I121" s="247"/>
      <c r="J121" s="3"/>
      <c r="K121" s="249">
        <f t="shared" si="15"/>
        <v>0</v>
      </c>
      <c r="L121" s="4"/>
      <c r="M121" s="250">
        <v>0</v>
      </c>
      <c r="N121" s="268">
        <v>10000</v>
      </c>
      <c r="O121" s="128"/>
      <c r="P121" s="3"/>
      <c r="Q121" s="3"/>
      <c r="R121" s="3"/>
      <c r="S121" s="3"/>
      <c r="T121" s="4"/>
      <c r="U121" s="310">
        <v>5466</v>
      </c>
      <c r="V121" s="310">
        <v>10000</v>
      </c>
      <c r="W121" s="3">
        <f>M121+U121</f>
        <v>5466</v>
      </c>
      <c r="X121" s="251">
        <f>W121/$G$124</f>
        <v>0.5466</v>
      </c>
      <c r="Y121" s="412"/>
    </row>
    <row r="122" spans="1:25" ht="12.75">
      <c r="A122" s="406"/>
      <c r="B122" s="406"/>
      <c r="C122" s="406"/>
      <c r="D122" s="452"/>
      <c r="E122" s="400"/>
      <c r="F122" s="416">
        <v>2014</v>
      </c>
      <c r="G122" s="415"/>
      <c r="H122" s="246" t="s">
        <v>163</v>
      </c>
      <c r="I122" s="247"/>
      <c r="J122" s="3"/>
      <c r="K122" s="249">
        <f t="shared" si="15"/>
        <v>0</v>
      </c>
      <c r="L122" s="4"/>
      <c r="M122" s="250"/>
      <c r="N122" s="268"/>
      <c r="O122" s="128"/>
      <c r="P122" s="3"/>
      <c r="Q122" s="3"/>
      <c r="R122" s="3"/>
      <c r="S122" s="3"/>
      <c r="T122" s="4"/>
      <c r="U122" s="310"/>
      <c r="V122" s="310"/>
      <c r="W122" s="3"/>
      <c r="X122" s="251"/>
      <c r="Y122" s="412"/>
    </row>
    <row r="123" spans="1:25" ht="12.75">
      <c r="A123" s="406"/>
      <c r="B123" s="406"/>
      <c r="C123" s="406"/>
      <c r="D123" s="452"/>
      <c r="E123" s="400"/>
      <c r="F123" s="403"/>
      <c r="G123" s="5" t="s">
        <v>17</v>
      </c>
      <c r="H123" s="246" t="s">
        <v>15</v>
      </c>
      <c r="I123" s="247"/>
      <c r="J123" s="3"/>
      <c r="K123" s="249">
        <f t="shared" si="15"/>
        <v>0</v>
      </c>
      <c r="L123" s="4"/>
      <c r="M123" s="250"/>
      <c r="N123" s="268"/>
      <c r="O123" s="128"/>
      <c r="P123" s="3"/>
      <c r="Q123" s="3"/>
      <c r="R123" s="3"/>
      <c r="S123" s="3"/>
      <c r="T123" s="4"/>
      <c r="U123" s="310"/>
      <c r="V123" s="310"/>
      <c r="W123" s="3"/>
      <c r="X123" s="251"/>
      <c r="Y123" s="412"/>
    </row>
    <row r="124" spans="1:25" ht="12.75">
      <c r="A124" s="406"/>
      <c r="B124" s="406"/>
      <c r="C124" s="406"/>
      <c r="D124" s="452"/>
      <c r="E124" s="400"/>
      <c r="F124" s="403"/>
      <c r="G124" s="414">
        <f>G118+G121</f>
        <v>10000</v>
      </c>
      <c r="H124" s="246" t="s">
        <v>16</v>
      </c>
      <c r="I124" s="247"/>
      <c r="J124" s="3"/>
      <c r="K124" s="249">
        <f t="shared" si="15"/>
        <v>0</v>
      </c>
      <c r="L124" s="4"/>
      <c r="M124" s="250"/>
      <c r="N124" s="268"/>
      <c r="O124" s="128"/>
      <c r="P124" s="3"/>
      <c r="Q124" s="3"/>
      <c r="R124" s="3"/>
      <c r="S124" s="3"/>
      <c r="T124" s="4"/>
      <c r="U124" s="310"/>
      <c r="V124" s="310"/>
      <c r="W124" s="3"/>
      <c r="X124" s="251"/>
      <c r="Y124" s="412"/>
    </row>
    <row r="125" spans="1:25" ht="12.75">
      <c r="A125" s="406"/>
      <c r="B125" s="406"/>
      <c r="C125" s="406"/>
      <c r="D125" s="452"/>
      <c r="E125" s="400"/>
      <c r="F125" s="403"/>
      <c r="G125" s="418"/>
      <c r="H125" s="246" t="s">
        <v>18</v>
      </c>
      <c r="I125" s="252">
        <f>I117+I119+I121+I123</f>
        <v>0</v>
      </c>
      <c r="J125" s="7">
        <f>J117+J119+J121+J123</f>
        <v>0</v>
      </c>
      <c r="K125" s="249">
        <f t="shared" si="15"/>
        <v>0</v>
      </c>
      <c r="L125" s="123">
        <f>L117+L119+L121+L123</f>
        <v>0</v>
      </c>
      <c r="M125" s="250">
        <f>K125+L125</f>
        <v>0</v>
      </c>
      <c r="N125" s="269">
        <f aca="true" t="shared" si="18" ref="N125:U126">N117+N119+N121+N123</f>
        <v>10000</v>
      </c>
      <c r="O125" s="129">
        <f t="shared" si="18"/>
        <v>0</v>
      </c>
      <c r="P125" s="7">
        <f t="shared" si="18"/>
        <v>0</v>
      </c>
      <c r="Q125" s="7">
        <f t="shared" si="18"/>
        <v>0</v>
      </c>
      <c r="R125" s="7">
        <f t="shared" si="18"/>
        <v>0</v>
      </c>
      <c r="S125" s="7">
        <f t="shared" si="18"/>
        <v>0</v>
      </c>
      <c r="T125" s="123">
        <f t="shared" si="18"/>
        <v>0</v>
      </c>
      <c r="U125" s="314">
        <f t="shared" si="18"/>
        <v>5466</v>
      </c>
      <c r="V125" s="314">
        <v>10000</v>
      </c>
      <c r="W125" s="3">
        <f>M125+U125</f>
        <v>5466</v>
      </c>
      <c r="X125" s="251">
        <f>W125/$G$124</f>
        <v>0.5466</v>
      </c>
      <c r="Y125" s="412"/>
    </row>
    <row r="126" spans="1:25" ht="13.5" thickBot="1">
      <c r="A126" s="407"/>
      <c r="B126" s="407"/>
      <c r="C126" s="407"/>
      <c r="D126" s="453"/>
      <c r="E126" s="401"/>
      <c r="F126" s="417"/>
      <c r="G126" s="419"/>
      <c r="H126" s="253" t="s">
        <v>19</v>
      </c>
      <c r="I126" s="254">
        <f>I118+I120+I122+I124</f>
        <v>0</v>
      </c>
      <c r="J126" s="10">
        <f>J118+J120+J122+J124</f>
        <v>0</v>
      </c>
      <c r="K126" s="255">
        <f t="shared" si="15"/>
        <v>0</v>
      </c>
      <c r="L126" s="124">
        <f>L118+L120+L122+L124</f>
        <v>0</v>
      </c>
      <c r="M126" s="256">
        <f>K126+L126</f>
        <v>0</v>
      </c>
      <c r="N126" s="270">
        <f t="shared" si="18"/>
        <v>0</v>
      </c>
      <c r="O126" s="130">
        <f t="shared" si="18"/>
        <v>0</v>
      </c>
      <c r="P126" s="10">
        <f t="shared" si="18"/>
        <v>0</v>
      </c>
      <c r="Q126" s="10">
        <f t="shared" si="18"/>
        <v>0</v>
      </c>
      <c r="R126" s="10">
        <f t="shared" si="18"/>
        <v>0</v>
      </c>
      <c r="S126" s="10">
        <f t="shared" si="18"/>
        <v>0</v>
      </c>
      <c r="T126" s="124">
        <f t="shared" si="18"/>
        <v>0</v>
      </c>
      <c r="U126" s="315">
        <f t="shared" si="18"/>
        <v>0</v>
      </c>
      <c r="V126" s="315">
        <f>N126-U126</f>
        <v>0</v>
      </c>
      <c r="W126" s="76">
        <f>M126+U126</f>
        <v>0</v>
      </c>
      <c r="X126" s="258">
        <f>W126/$G$124</f>
        <v>0</v>
      </c>
      <c r="Y126" s="413"/>
    </row>
    <row r="127" spans="1:25" ht="12.75" customHeight="1">
      <c r="A127" s="405">
        <f>A117+1</f>
        <v>13</v>
      </c>
      <c r="B127" s="405">
        <v>710</v>
      </c>
      <c r="C127" s="405">
        <v>71095</v>
      </c>
      <c r="D127" s="408" t="s">
        <v>179</v>
      </c>
      <c r="E127" s="399" t="s">
        <v>180</v>
      </c>
      <c r="F127" s="402">
        <v>2008</v>
      </c>
      <c r="G127" s="1" t="s">
        <v>9</v>
      </c>
      <c r="H127" s="241" t="s">
        <v>10</v>
      </c>
      <c r="I127" s="242">
        <f>1262252+6214</f>
        <v>1268466</v>
      </c>
      <c r="J127" s="243">
        <v>1319059</v>
      </c>
      <c r="K127" s="243">
        <f t="shared" si="15"/>
        <v>2587525</v>
      </c>
      <c r="L127" s="243">
        <f>8067+5209+4347653</f>
        <v>4360929</v>
      </c>
      <c r="M127" s="243">
        <f>K127+L127</f>
        <v>6948454</v>
      </c>
      <c r="N127" s="243">
        <v>4256595</v>
      </c>
      <c r="O127" s="243"/>
      <c r="P127" s="243">
        <v>230000</v>
      </c>
      <c r="Q127" s="243"/>
      <c r="R127" s="243"/>
      <c r="S127" s="243"/>
      <c r="T127" s="2"/>
      <c r="U127" s="307">
        <v>1960602</v>
      </c>
      <c r="V127" s="308">
        <v>4256595</v>
      </c>
      <c r="W127" s="243">
        <f>M127+U127</f>
        <v>8909056</v>
      </c>
      <c r="X127" s="260">
        <f>W127/$G$134</f>
        <v>0.07674570221169748</v>
      </c>
      <c r="Y127" s="411">
        <f>N135+O135+P135+Q135+R135+S135+N136+O136+P136+Q136+R136+T135+T136+S136</f>
        <v>24874922</v>
      </c>
    </row>
    <row r="128" spans="1:25" ht="12.75">
      <c r="A128" s="406"/>
      <c r="B128" s="406"/>
      <c r="C128" s="406"/>
      <c r="D128" s="409"/>
      <c r="E128" s="400"/>
      <c r="F128" s="403"/>
      <c r="G128" s="414">
        <f>M135+N135+O135+P135</f>
        <v>11435049</v>
      </c>
      <c r="H128" s="246" t="s">
        <v>11</v>
      </c>
      <c r="I128" s="247">
        <v>1463633</v>
      </c>
      <c r="J128" s="3">
        <v>40484</v>
      </c>
      <c r="K128" s="249">
        <f t="shared" si="15"/>
        <v>1504117</v>
      </c>
      <c r="L128" s="3">
        <f>115555+1015001</f>
        <v>1130556</v>
      </c>
      <c r="M128" s="3">
        <f>K128+L128</f>
        <v>2634673</v>
      </c>
      <c r="N128" s="3">
        <f>1030685+14134999</f>
        <v>15165684</v>
      </c>
      <c r="O128" s="3"/>
      <c r="P128" s="3">
        <v>1000000</v>
      </c>
      <c r="Q128" s="3"/>
      <c r="R128" s="3"/>
      <c r="S128" s="3"/>
      <c r="T128" s="4"/>
      <c r="U128" s="309">
        <v>6567112</v>
      </c>
      <c r="V128" s="310">
        <v>15165684</v>
      </c>
      <c r="W128" s="3">
        <f>M128+U128</f>
        <v>9201785</v>
      </c>
      <c r="X128" s="251">
        <f>W128/$G$134</f>
        <v>0.07926737147303425</v>
      </c>
      <c r="Y128" s="412"/>
    </row>
    <row r="129" spans="1:25" ht="12.75">
      <c r="A129" s="406"/>
      <c r="B129" s="406"/>
      <c r="C129" s="406"/>
      <c r="D129" s="409"/>
      <c r="E129" s="400"/>
      <c r="F129" s="403"/>
      <c r="G129" s="415"/>
      <c r="H129" s="246" t="s">
        <v>12</v>
      </c>
      <c r="I129" s="247"/>
      <c r="J129" s="3"/>
      <c r="K129" s="249">
        <f t="shared" si="15"/>
        <v>0</v>
      </c>
      <c r="L129" s="3"/>
      <c r="M129" s="3"/>
      <c r="N129" s="3"/>
      <c r="O129" s="3"/>
      <c r="P129" s="3"/>
      <c r="Q129" s="3"/>
      <c r="R129" s="3"/>
      <c r="S129" s="3"/>
      <c r="T129" s="4"/>
      <c r="U129" s="309"/>
      <c r="V129" s="310"/>
      <c r="W129" s="3"/>
      <c r="X129" s="251"/>
      <c r="Y129" s="412"/>
    </row>
    <row r="130" spans="1:25" ht="12.75">
      <c r="A130" s="406"/>
      <c r="B130" s="406"/>
      <c r="C130" s="406"/>
      <c r="D130" s="409"/>
      <c r="E130" s="400"/>
      <c r="F130" s="403"/>
      <c r="G130" s="5" t="s">
        <v>13</v>
      </c>
      <c r="H130" s="246" t="s">
        <v>14</v>
      </c>
      <c r="I130" s="247">
        <v>1308097</v>
      </c>
      <c r="J130" s="3">
        <v>2838929</v>
      </c>
      <c r="K130" s="249">
        <f t="shared" si="15"/>
        <v>4147026</v>
      </c>
      <c r="L130" s="3">
        <v>8097080</v>
      </c>
      <c r="M130" s="3">
        <f>K130+L130</f>
        <v>12244106</v>
      </c>
      <c r="N130" s="3">
        <v>633394</v>
      </c>
      <c r="O130" s="3"/>
      <c r="P130" s="3"/>
      <c r="Q130" s="3"/>
      <c r="R130" s="3"/>
      <c r="S130" s="3"/>
      <c r="T130" s="4"/>
      <c r="U130" s="309">
        <v>291382</v>
      </c>
      <c r="V130" s="310">
        <v>633394</v>
      </c>
      <c r="W130" s="3">
        <f>M130+U130</f>
        <v>12535488</v>
      </c>
      <c r="X130" s="251">
        <f>W130/$G$134</f>
        <v>0.10798504680252399</v>
      </c>
      <c r="Y130" s="412"/>
    </row>
    <row r="131" spans="1:25" ht="12.75">
      <c r="A131" s="406"/>
      <c r="B131" s="406"/>
      <c r="C131" s="406"/>
      <c r="D131" s="409"/>
      <c r="E131" s="400"/>
      <c r="F131" s="404"/>
      <c r="G131" s="414">
        <f>M136+N136+O136+P136</f>
        <v>104650357</v>
      </c>
      <c r="H131" s="246" t="s">
        <v>162</v>
      </c>
      <c r="I131" s="247"/>
      <c r="J131" s="3"/>
      <c r="K131" s="249">
        <f t="shared" si="15"/>
        <v>0</v>
      </c>
      <c r="L131" s="3"/>
      <c r="M131" s="3"/>
      <c r="N131" s="3"/>
      <c r="O131" s="3"/>
      <c r="P131" s="3"/>
      <c r="Q131" s="3"/>
      <c r="R131" s="3"/>
      <c r="S131" s="3"/>
      <c r="T131" s="4"/>
      <c r="U131" s="309"/>
      <c r="V131" s="310"/>
      <c r="W131" s="3"/>
      <c r="X131" s="251"/>
      <c r="Y131" s="412"/>
    </row>
    <row r="132" spans="1:25" ht="12.75">
      <c r="A132" s="406"/>
      <c r="B132" s="406"/>
      <c r="C132" s="406"/>
      <c r="D132" s="409"/>
      <c r="E132" s="400"/>
      <c r="F132" s="416">
        <v>2013</v>
      </c>
      <c r="G132" s="415"/>
      <c r="H132" s="246" t="s">
        <v>163</v>
      </c>
      <c r="I132" s="247">
        <v>7412545</v>
      </c>
      <c r="J132" s="3">
        <v>16087259</v>
      </c>
      <c r="K132" s="249">
        <f t="shared" si="15"/>
        <v>23499804</v>
      </c>
      <c r="L132" s="3">
        <v>45883447</v>
      </c>
      <c r="M132" s="3">
        <f>K132+L132</f>
        <v>69383251</v>
      </c>
      <c r="N132" s="3">
        <v>3589249</v>
      </c>
      <c r="O132" s="3"/>
      <c r="P132" s="3"/>
      <c r="Q132" s="3"/>
      <c r="R132" s="3"/>
      <c r="S132" s="3"/>
      <c r="T132" s="4"/>
      <c r="U132" s="309">
        <v>1651167</v>
      </c>
      <c r="V132" s="310">
        <v>3589249</v>
      </c>
      <c r="W132" s="3">
        <f>M132+U132</f>
        <v>71034418</v>
      </c>
      <c r="X132" s="251">
        <f>W132/$G$134</f>
        <v>0.6119151446134409</v>
      </c>
      <c r="Y132" s="412"/>
    </row>
    <row r="133" spans="1:25" ht="12.75">
      <c r="A133" s="406"/>
      <c r="B133" s="406"/>
      <c r="C133" s="406"/>
      <c r="D133" s="409"/>
      <c r="E133" s="400"/>
      <c r="F133" s="403"/>
      <c r="G133" s="5" t="s">
        <v>17</v>
      </c>
      <c r="H133" s="246" t="s">
        <v>15</v>
      </c>
      <c r="I133" s="247"/>
      <c r="J133" s="3"/>
      <c r="K133" s="249">
        <f t="shared" si="15"/>
        <v>0</v>
      </c>
      <c r="L133" s="3"/>
      <c r="M133" s="3"/>
      <c r="N133" s="3"/>
      <c r="O133" s="3"/>
      <c r="P133" s="3"/>
      <c r="Q133" s="3"/>
      <c r="R133" s="3"/>
      <c r="S133" s="3"/>
      <c r="T133" s="4"/>
      <c r="U133" s="309"/>
      <c r="V133" s="310"/>
      <c r="W133" s="3"/>
      <c r="X133" s="251"/>
      <c r="Y133" s="412"/>
    </row>
    <row r="134" spans="1:25" ht="12.75">
      <c r="A134" s="406"/>
      <c r="B134" s="406"/>
      <c r="C134" s="406"/>
      <c r="D134" s="409"/>
      <c r="E134" s="400"/>
      <c r="F134" s="403"/>
      <c r="G134" s="414">
        <f>G128+G131</f>
        <v>116085406</v>
      </c>
      <c r="H134" s="246" t="s">
        <v>16</v>
      </c>
      <c r="I134" s="247"/>
      <c r="J134" s="3"/>
      <c r="K134" s="249">
        <f t="shared" si="15"/>
        <v>0</v>
      </c>
      <c r="L134" s="3"/>
      <c r="M134" s="3"/>
      <c r="N134" s="3"/>
      <c r="O134" s="3"/>
      <c r="P134" s="3"/>
      <c r="Q134" s="3"/>
      <c r="R134" s="3"/>
      <c r="S134" s="3"/>
      <c r="T134" s="4"/>
      <c r="U134" s="309"/>
      <c r="V134" s="310"/>
      <c r="W134" s="3"/>
      <c r="X134" s="251"/>
      <c r="Y134" s="412"/>
    </row>
    <row r="135" spans="1:25" ht="12.75">
      <c r="A135" s="406"/>
      <c r="B135" s="406"/>
      <c r="C135" s="406"/>
      <c r="D135" s="409"/>
      <c r="E135" s="400"/>
      <c r="F135" s="403"/>
      <c r="G135" s="418"/>
      <c r="H135" s="246" t="s">
        <v>18</v>
      </c>
      <c r="I135" s="252">
        <f>I127+I129+I131+I133</f>
        <v>1268466</v>
      </c>
      <c r="J135" s="7">
        <f>J127+J129+J131+J133</f>
        <v>1319059</v>
      </c>
      <c r="K135" s="249">
        <f t="shared" si="15"/>
        <v>2587525</v>
      </c>
      <c r="L135" s="7">
        <f>L127+L129+L131+L133</f>
        <v>4360929</v>
      </c>
      <c r="M135" s="3">
        <f>K135+L135</f>
        <v>6948454</v>
      </c>
      <c r="N135" s="7">
        <f aca="true" t="shared" si="19" ref="N135:U136">N127+N129+N131+N133</f>
        <v>4256595</v>
      </c>
      <c r="O135" s="7">
        <f t="shared" si="19"/>
        <v>0</v>
      </c>
      <c r="P135" s="7">
        <f t="shared" si="19"/>
        <v>230000</v>
      </c>
      <c r="Q135" s="7">
        <f t="shared" si="19"/>
        <v>0</v>
      </c>
      <c r="R135" s="7">
        <f t="shared" si="19"/>
        <v>0</v>
      </c>
      <c r="S135" s="7">
        <f t="shared" si="19"/>
        <v>0</v>
      </c>
      <c r="T135" s="123">
        <f t="shared" si="19"/>
        <v>0</v>
      </c>
      <c r="U135" s="311">
        <f t="shared" si="19"/>
        <v>1960602</v>
      </c>
      <c r="V135" s="314">
        <v>4256595</v>
      </c>
      <c r="W135" s="3">
        <f>M135+U135</f>
        <v>8909056</v>
      </c>
      <c r="X135" s="251">
        <f>W135/$G$134</f>
        <v>0.07674570221169748</v>
      </c>
      <c r="Y135" s="412"/>
    </row>
    <row r="136" spans="1:25" ht="13.5" thickBot="1">
      <c r="A136" s="407"/>
      <c r="B136" s="407"/>
      <c r="C136" s="407"/>
      <c r="D136" s="410"/>
      <c r="E136" s="401"/>
      <c r="F136" s="417"/>
      <c r="G136" s="419"/>
      <c r="H136" s="253" t="s">
        <v>19</v>
      </c>
      <c r="I136" s="254">
        <f>I128+I130+I132+I134</f>
        <v>10184275</v>
      </c>
      <c r="J136" s="10">
        <f>J128+J130+J132+J134</f>
        <v>18966672</v>
      </c>
      <c r="K136" s="255">
        <f t="shared" si="15"/>
        <v>29150947</v>
      </c>
      <c r="L136" s="10">
        <f>L128+L130+L132+L134</f>
        <v>55111083</v>
      </c>
      <c r="M136" s="76">
        <f>K136+L136</f>
        <v>84262030</v>
      </c>
      <c r="N136" s="10">
        <f t="shared" si="19"/>
        <v>19388327</v>
      </c>
      <c r="O136" s="10">
        <f t="shared" si="19"/>
        <v>0</v>
      </c>
      <c r="P136" s="10">
        <f t="shared" si="19"/>
        <v>1000000</v>
      </c>
      <c r="Q136" s="10">
        <f t="shared" si="19"/>
        <v>0</v>
      </c>
      <c r="R136" s="10">
        <f t="shared" si="19"/>
        <v>0</v>
      </c>
      <c r="S136" s="10">
        <f t="shared" si="19"/>
        <v>0</v>
      </c>
      <c r="T136" s="124">
        <f t="shared" si="19"/>
        <v>0</v>
      </c>
      <c r="U136" s="312">
        <f t="shared" si="19"/>
        <v>8509661</v>
      </c>
      <c r="V136" s="315">
        <v>19388327</v>
      </c>
      <c r="W136" s="76">
        <f>M136+U136</f>
        <v>92771691</v>
      </c>
      <c r="X136" s="258">
        <f>W136/$G$134</f>
        <v>0.7991675628889992</v>
      </c>
      <c r="Y136" s="413"/>
    </row>
    <row r="137" spans="1:25" ht="15" customHeight="1">
      <c r="A137" s="405">
        <f>A127+1</f>
        <v>14</v>
      </c>
      <c r="B137" s="405">
        <v>710</v>
      </c>
      <c r="C137" s="405">
        <v>71095</v>
      </c>
      <c r="D137" s="408" t="s">
        <v>181</v>
      </c>
      <c r="E137" s="399" t="s">
        <v>180</v>
      </c>
      <c r="F137" s="402">
        <v>2008</v>
      </c>
      <c r="G137" s="1" t="s">
        <v>9</v>
      </c>
      <c r="H137" s="241" t="s">
        <v>10</v>
      </c>
      <c r="I137" s="242">
        <f>767419+6214</f>
        <v>773633</v>
      </c>
      <c r="J137" s="243">
        <v>722583</v>
      </c>
      <c r="K137" s="243">
        <f t="shared" si="15"/>
        <v>1496216</v>
      </c>
      <c r="L137" s="2">
        <f>8067+5209+2845264</f>
        <v>2858540</v>
      </c>
      <c r="M137" s="244">
        <f>K137+L137</f>
        <v>4354756</v>
      </c>
      <c r="N137" s="243">
        <v>4498370</v>
      </c>
      <c r="O137" s="243"/>
      <c r="P137" s="243"/>
      <c r="Q137" s="243"/>
      <c r="R137" s="243"/>
      <c r="S137" s="243"/>
      <c r="T137" s="2"/>
      <c r="U137" s="307">
        <v>1614829</v>
      </c>
      <c r="V137" s="308">
        <v>4498370</v>
      </c>
      <c r="W137" s="243">
        <f>M137+U137</f>
        <v>5969585</v>
      </c>
      <c r="X137" s="260">
        <f>W137/$G$144</f>
        <v>0.0750557163987182</v>
      </c>
      <c r="Y137" s="411">
        <f>N145+O145+P145+Q145+R145+S145+N146+O146+P146+Q146+R146+T145+T146+S146</f>
        <v>27309658</v>
      </c>
    </row>
    <row r="138" spans="1:25" ht="12.75">
      <c r="A138" s="406"/>
      <c r="B138" s="406"/>
      <c r="C138" s="406"/>
      <c r="D138" s="409"/>
      <c r="E138" s="400"/>
      <c r="F138" s="403"/>
      <c r="G138" s="414">
        <f>M145+N145</f>
        <v>8853126</v>
      </c>
      <c r="H138" s="246" t="s">
        <v>11</v>
      </c>
      <c r="I138" s="247">
        <f>1236708+1196984</f>
        <v>2433692</v>
      </c>
      <c r="J138" s="3">
        <f>2558473+570047</f>
        <v>3128520</v>
      </c>
      <c r="K138" s="249">
        <f t="shared" si="15"/>
        <v>5562212</v>
      </c>
      <c r="L138" s="4">
        <f>538027+7596295</f>
        <v>8134322</v>
      </c>
      <c r="M138" s="250">
        <f>K138+L138</f>
        <v>13696534</v>
      </c>
      <c r="N138" s="3">
        <f>1028650+5445661</f>
        <v>6474311</v>
      </c>
      <c r="O138" s="3"/>
      <c r="P138" s="3"/>
      <c r="Q138" s="3"/>
      <c r="R138" s="3"/>
      <c r="S138" s="3"/>
      <c r="T138" s="4"/>
      <c r="U138" s="309">
        <v>2759798</v>
      </c>
      <c r="V138" s="310">
        <v>6474311</v>
      </c>
      <c r="W138" s="3">
        <f>M138+U138</f>
        <v>16456332</v>
      </c>
      <c r="X138" s="251">
        <f>W138/$G$144</f>
        <v>0.2069058046003451</v>
      </c>
      <c r="Y138" s="412"/>
    </row>
    <row r="139" spans="1:25" ht="14.25" customHeight="1">
      <c r="A139" s="406"/>
      <c r="B139" s="406"/>
      <c r="C139" s="406"/>
      <c r="D139" s="409"/>
      <c r="E139" s="400"/>
      <c r="F139" s="403"/>
      <c r="G139" s="415"/>
      <c r="H139" s="246" t="s">
        <v>12</v>
      </c>
      <c r="I139" s="247"/>
      <c r="J139" s="3"/>
      <c r="K139" s="249">
        <f t="shared" si="15"/>
        <v>0</v>
      </c>
      <c r="L139" s="4"/>
      <c r="M139" s="250"/>
      <c r="N139" s="3"/>
      <c r="O139" s="3"/>
      <c r="P139" s="3"/>
      <c r="Q139" s="3"/>
      <c r="R139" s="3"/>
      <c r="S139" s="3"/>
      <c r="T139" s="4"/>
      <c r="U139" s="309"/>
      <c r="V139" s="310"/>
      <c r="W139" s="3"/>
      <c r="X139" s="251"/>
      <c r="Y139" s="412"/>
    </row>
    <row r="140" spans="1:25" ht="13.5" customHeight="1">
      <c r="A140" s="406"/>
      <c r="B140" s="406"/>
      <c r="C140" s="406"/>
      <c r="D140" s="409"/>
      <c r="E140" s="400"/>
      <c r="F140" s="403"/>
      <c r="G140" s="5" t="s">
        <v>13</v>
      </c>
      <c r="H140" s="246" t="s">
        <v>14</v>
      </c>
      <c r="I140" s="247"/>
      <c r="J140" s="3"/>
      <c r="K140" s="249">
        <f t="shared" si="15"/>
        <v>0</v>
      </c>
      <c r="L140" s="4"/>
      <c r="M140" s="250"/>
      <c r="N140" s="3"/>
      <c r="O140" s="3"/>
      <c r="P140" s="3"/>
      <c r="Q140" s="3"/>
      <c r="R140" s="3"/>
      <c r="S140" s="3"/>
      <c r="T140" s="4"/>
      <c r="U140" s="309"/>
      <c r="V140" s="310"/>
      <c r="W140" s="3"/>
      <c r="X140" s="251"/>
      <c r="Y140" s="412"/>
    </row>
    <row r="141" spans="1:25" ht="12.75">
      <c r="A141" s="406"/>
      <c r="B141" s="406"/>
      <c r="C141" s="406"/>
      <c r="D141" s="409"/>
      <c r="E141" s="400"/>
      <c r="F141" s="404"/>
      <c r="G141" s="414">
        <f>M146+N146</f>
        <v>70682255</v>
      </c>
      <c r="H141" s="246" t="s">
        <v>162</v>
      </c>
      <c r="I141" s="247"/>
      <c r="J141" s="3"/>
      <c r="K141" s="249">
        <f t="shared" si="15"/>
        <v>0</v>
      </c>
      <c r="L141" s="4"/>
      <c r="M141" s="250"/>
      <c r="N141" s="3"/>
      <c r="O141" s="3"/>
      <c r="P141" s="3"/>
      <c r="Q141" s="3"/>
      <c r="R141" s="3"/>
      <c r="S141" s="3"/>
      <c r="T141" s="4"/>
      <c r="U141" s="309"/>
      <c r="V141" s="310"/>
      <c r="W141" s="3"/>
      <c r="X141" s="251"/>
      <c r="Y141" s="412"/>
    </row>
    <row r="142" spans="1:25" ht="12.75">
      <c r="A142" s="406"/>
      <c r="B142" s="406"/>
      <c r="C142" s="406"/>
      <c r="D142" s="409"/>
      <c r="E142" s="400"/>
      <c r="F142" s="416">
        <v>2013</v>
      </c>
      <c r="G142" s="415"/>
      <c r="H142" s="246" t="s">
        <v>163</v>
      </c>
      <c r="I142" s="247">
        <v>3710137</v>
      </c>
      <c r="J142" s="3">
        <v>7675415</v>
      </c>
      <c r="K142" s="249">
        <f t="shared" si="15"/>
        <v>11385552</v>
      </c>
      <c r="L142" s="4">
        <v>22788881</v>
      </c>
      <c r="M142" s="250">
        <f>K142+L142</f>
        <v>34174433</v>
      </c>
      <c r="N142" s="3">
        <v>16336977</v>
      </c>
      <c r="O142" s="3"/>
      <c r="P142" s="3"/>
      <c r="Q142" s="3"/>
      <c r="R142" s="3"/>
      <c r="S142" s="3"/>
      <c r="T142" s="4"/>
      <c r="U142" s="309">
        <v>7118931</v>
      </c>
      <c r="V142" s="310">
        <v>16336977</v>
      </c>
      <c r="W142" s="3">
        <f>M142+U142</f>
        <v>41293364</v>
      </c>
      <c r="X142" s="251">
        <f>W142/$G$144</f>
        <v>0.5191823246562433</v>
      </c>
      <c r="Y142" s="412"/>
    </row>
    <row r="143" spans="1:25" ht="12.75">
      <c r="A143" s="406"/>
      <c r="B143" s="406"/>
      <c r="C143" s="406"/>
      <c r="D143" s="409"/>
      <c r="E143" s="400"/>
      <c r="F143" s="403"/>
      <c r="G143" s="5" t="s">
        <v>17</v>
      </c>
      <c r="H143" s="246" t="s">
        <v>15</v>
      </c>
      <c r="I143" s="247"/>
      <c r="J143" s="3"/>
      <c r="K143" s="249">
        <f aca="true" t="shared" si="20" ref="K143:K166">I143+J143</f>
        <v>0</v>
      </c>
      <c r="L143" s="4"/>
      <c r="M143" s="250"/>
      <c r="N143" s="3"/>
      <c r="O143" s="3"/>
      <c r="P143" s="3"/>
      <c r="Q143" s="3"/>
      <c r="R143" s="3"/>
      <c r="S143" s="3"/>
      <c r="T143" s="4"/>
      <c r="U143" s="309"/>
      <c r="V143" s="310"/>
      <c r="W143" s="3"/>
      <c r="X143" s="251"/>
      <c r="Y143" s="412"/>
    </row>
    <row r="144" spans="1:25" ht="12.75">
      <c r="A144" s="406"/>
      <c r="B144" s="406"/>
      <c r="C144" s="406"/>
      <c r="D144" s="409"/>
      <c r="E144" s="400"/>
      <c r="F144" s="403"/>
      <c r="G144" s="414">
        <f>G138+G141</f>
        <v>79535381</v>
      </c>
      <c r="H144" s="246" t="s">
        <v>16</v>
      </c>
      <c r="I144" s="247"/>
      <c r="J144" s="3"/>
      <c r="K144" s="249">
        <f t="shared" si="20"/>
        <v>0</v>
      </c>
      <c r="L144" s="4"/>
      <c r="M144" s="250"/>
      <c r="N144" s="3"/>
      <c r="O144" s="3"/>
      <c r="P144" s="3"/>
      <c r="Q144" s="3"/>
      <c r="R144" s="3"/>
      <c r="S144" s="3"/>
      <c r="T144" s="4"/>
      <c r="U144" s="309"/>
      <c r="V144" s="310"/>
      <c r="W144" s="3"/>
      <c r="X144" s="251"/>
      <c r="Y144" s="412"/>
    </row>
    <row r="145" spans="1:25" ht="12.75">
      <c r="A145" s="406"/>
      <c r="B145" s="406"/>
      <c r="C145" s="406"/>
      <c r="D145" s="409"/>
      <c r="E145" s="400"/>
      <c r="F145" s="403"/>
      <c r="G145" s="418"/>
      <c r="H145" s="246" t="s">
        <v>18</v>
      </c>
      <c r="I145" s="252">
        <f>I137+I139+I141+I143</f>
        <v>773633</v>
      </c>
      <c r="J145" s="7">
        <f>J137+J139+J141+J143</f>
        <v>722583</v>
      </c>
      <c r="K145" s="249">
        <f t="shared" si="20"/>
        <v>1496216</v>
      </c>
      <c r="L145" s="123">
        <f>L137+L139+L141+L143</f>
        <v>2858540</v>
      </c>
      <c r="M145" s="250">
        <f>K145+L145</f>
        <v>4354756</v>
      </c>
      <c r="N145" s="7">
        <f aca="true" t="shared" si="21" ref="N145:U146">N137+N139+N141+N143</f>
        <v>4498370</v>
      </c>
      <c r="O145" s="7">
        <f t="shared" si="21"/>
        <v>0</v>
      </c>
      <c r="P145" s="7">
        <f t="shared" si="21"/>
        <v>0</v>
      </c>
      <c r="Q145" s="7">
        <f t="shared" si="21"/>
        <v>0</v>
      </c>
      <c r="R145" s="7">
        <f t="shared" si="21"/>
        <v>0</v>
      </c>
      <c r="S145" s="7">
        <f t="shared" si="21"/>
        <v>0</v>
      </c>
      <c r="T145" s="123">
        <f t="shared" si="21"/>
        <v>0</v>
      </c>
      <c r="U145" s="311">
        <f t="shared" si="21"/>
        <v>1614829</v>
      </c>
      <c r="V145" s="314">
        <v>4498370</v>
      </c>
      <c r="W145" s="3">
        <f>M145+U145</f>
        <v>5969585</v>
      </c>
      <c r="X145" s="251">
        <f>W145/$G$144</f>
        <v>0.0750557163987182</v>
      </c>
      <c r="Y145" s="412"/>
    </row>
    <row r="146" spans="1:25" ht="13.5" thickBot="1">
      <c r="A146" s="407"/>
      <c r="B146" s="407"/>
      <c r="C146" s="407"/>
      <c r="D146" s="410"/>
      <c r="E146" s="401"/>
      <c r="F146" s="417"/>
      <c r="G146" s="419"/>
      <c r="H146" s="253" t="s">
        <v>19</v>
      </c>
      <c r="I146" s="254">
        <f>I138+I140+I142+I144</f>
        <v>6143829</v>
      </c>
      <c r="J146" s="10">
        <f>J138+J140+J142+J144</f>
        <v>10803935</v>
      </c>
      <c r="K146" s="255">
        <f t="shared" si="20"/>
        <v>16947764</v>
      </c>
      <c r="L146" s="124">
        <f>L138+L140+L142+L144</f>
        <v>30923203</v>
      </c>
      <c r="M146" s="256">
        <f>K146+L146</f>
        <v>47870967</v>
      </c>
      <c r="N146" s="10">
        <f t="shared" si="21"/>
        <v>22811288</v>
      </c>
      <c r="O146" s="10">
        <f t="shared" si="21"/>
        <v>0</v>
      </c>
      <c r="P146" s="10">
        <f t="shared" si="21"/>
        <v>0</v>
      </c>
      <c r="Q146" s="10">
        <f t="shared" si="21"/>
        <v>0</v>
      </c>
      <c r="R146" s="10">
        <f t="shared" si="21"/>
        <v>0</v>
      </c>
      <c r="S146" s="10">
        <f t="shared" si="21"/>
        <v>0</v>
      </c>
      <c r="T146" s="124">
        <f t="shared" si="21"/>
        <v>0</v>
      </c>
      <c r="U146" s="312">
        <f t="shared" si="21"/>
        <v>9878729</v>
      </c>
      <c r="V146" s="315">
        <v>22811288</v>
      </c>
      <c r="W146" s="76">
        <f>M146+U146</f>
        <v>57749696</v>
      </c>
      <c r="X146" s="258">
        <f>W146/$G$144</f>
        <v>0.7260881292565884</v>
      </c>
      <c r="Y146" s="413"/>
    </row>
    <row r="147" spans="1:25" ht="12.75" customHeight="1">
      <c r="A147" s="405">
        <f>A137+1</f>
        <v>15</v>
      </c>
      <c r="B147" s="405">
        <v>710</v>
      </c>
      <c r="C147" s="405">
        <v>71095</v>
      </c>
      <c r="D147" s="408" t="s">
        <v>182</v>
      </c>
      <c r="E147" s="399" t="s">
        <v>180</v>
      </c>
      <c r="F147" s="402">
        <v>2011</v>
      </c>
      <c r="G147" s="1" t="s">
        <v>9</v>
      </c>
      <c r="H147" s="241" t="s">
        <v>10</v>
      </c>
      <c r="I147" s="242"/>
      <c r="J147" s="243">
        <f>9221+1363</f>
        <v>10584</v>
      </c>
      <c r="K147" s="243">
        <f t="shared" si="20"/>
        <v>10584</v>
      </c>
      <c r="L147" s="243">
        <f>24597+55</f>
        <v>24652</v>
      </c>
      <c r="M147" s="249">
        <f>K147+L147</f>
        <v>35236</v>
      </c>
      <c r="N147" s="249">
        <f>106044+111755-4220</f>
        <v>213579</v>
      </c>
      <c r="O147" s="249"/>
      <c r="P147" s="249"/>
      <c r="Q147" s="249"/>
      <c r="R147" s="249"/>
      <c r="S147" s="249"/>
      <c r="T147" s="11"/>
      <c r="U147" s="316">
        <v>17392</v>
      </c>
      <c r="V147" s="317">
        <v>213579</v>
      </c>
      <c r="W147" s="249">
        <f>M147+U147</f>
        <v>52628</v>
      </c>
      <c r="X147" s="260">
        <f>W147/$G$154</f>
        <v>0.05033705973723879</v>
      </c>
      <c r="Y147" s="411">
        <f>N155+O155+P155+Q155+R155+S155+N156+O156+P156+Q156+R156+T155+T156+S156</f>
        <v>818722</v>
      </c>
    </row>
    <row r="148" spans="1:25" ht="12.75">
      <c r="A148" s="406"/>
      <c r="B148" s="406"/>
      <c r="C148" s="406"/>
      <c r="D148" s="409"/>
      <c r="E148" s="400"/>
      <c r="F148" s="403"/>
      <c r="G148" s="414">
        <f>M155+N155</f>
        <v>1041292</v>
      </c>
      <c r="H148" s="246" t="s">
        <v>11</v>
      </c>
      <c r="I148" s="247"/>
      <c r="J148" s="3"/>
      <c r="K148" s="249">
        <f t="shared" si="20"/>
        <v>0</v>
      </c>
      <c r="L148" s="3"/>
      <c r="M148" s="3"/>
      <c r="N148" s="3">
        <v>4220</v>
      </c>
      <c r="O148" s="3"/>
      <c r="P148" s="3"/>
      <c r="Q148" s="3"/>
      <c r="R148" s="3"/>
      <c r="S148" s="3"/>
      <c r="T148" s="4"/>
      <c r="U148" s="309">
        <v>4219</v>
      </c>
      <c r="V148" s="310">
        <v>4220</v>
      </c>
      <c r="W148" s="3">
        <f>M148+U148</f>
        <v>4219</v>
      </c>
      <c r="X148" s="251">
        <f>W148/$G$154</f>
        <v>0.004035343448951327</v>
      </c>
      <c r="Y148" s="412"/>
    </row>
    <row r="149" spans="1:25" ht="12.75">
      <c r="A149" s="406"/>
      <c r="B149" s="406"/>
      <c r="C149" s="406"/>
      <c r="D149" s="409"/>
      <c r="E149" s="400"/>
      <c r="F149" s="403"/>
      <c r="G149" s="415"/>
      <c r="H149" s="246" t="s">
        <v>12</v>
      </c>
      <c r="I149" s="247"/>
      <c r="J149" s="3"/>
      <c r="K149" s="249">
        <f t="shared" si="20"/>
        <v>0</v>
      </c>
      <c r="L149" s="3"/>
      <c r="M149" s="3"/>
      <c r="N149" s="3"/>
      <c r="O149" s="3"/>
      <c r="P149" s="3"/>
      <c r="Q149" s="3"/>
      <c r="R149" s="3"/>
      <c r="S149" s="3"/>
      <c r="T149" s="4"/>
      <c r="U149" s="309"/>
      <c r="V149" s="310"/>
      <c r="W149" s="3"/>
      <c r="X149" s="251"/>
      <c r="Y149" s="412"/>
    </row>
    <row r="150" spans="1:25" ht="12.75">
      <c r="A150" s="406"/>
      <c r="B150" s="406"/>
      <c r="C150" s="406"/>
      <c r="D150" s="409"/>
      <c r="E150" s="400"/>
      <c r="F150" s="403"/>
      <c r="G150" s="5" t="s">
        <v>13</v>
      </c>
      <c r="H150" s="246" t="s">
        <v>14</v>
      </c>
      <c r="I150" s="247"/>
      <c r="J150" s="3"/>
      <c r="K150" s="249">
        <f t="shared" si="20"/>
        <v>0</v>
      </c>
      <c r="L150" s="3"/>
      <c r="M150" s="3"/>
      <c r="N150" s="3"/>
      <c r="O150" s="3"/>
      <c r="P150" s="3"/>
      <c r="Q150" s="3"/>
      <c r="R150" s="3"/>
      <c r="S150" s="3"/>
      <c r="T150" s="4"/>
      <c r="U150" s="309"/>
      <c r="V150" s="310"/>
      <c r="W150" s="3"/>
      <c r="X150" s="251"/>
      <c r="Y150" s="412"/>
    </row>
    <row r="151" spans="1:25" ht="12.75">
      <c r="A151" s="406"/>
      <c r="B151" s="406"/>
      <c r="C151" s="406"/>
      <c r="D151" s="409"/>
      <c r="E151" s="400"/>
      <c r="F151" s="404"/>
      <c r="G151" s="414">
        <f>SUM(K156:T156)</f>
        <v>4220</v>
      </c>
      <c r="H151" s="246" t="s">
        <v>162</v>
      </c>
      <c r="I151" s="247"/>
      <c r="J151" s="3">
        <v>52184</v>
      </c>
      <c r="K151" s="249">
        <f t="shared" si="20"/>
        <v>52184</v>
      </c>
      <c r="L151" s="3">
        <f>139370</f>
        <v>139370</v>
      </c>
      <c r="M151" s="3">
        <f>K151+L151</f>
        <v>191554</v>
      </c>
      <c r="N151" s="3">
        <v>600923</v>
      </c>
      <c r="O151" s="3"/>
      <c r="P151" s="3"/>
      <c r="Q151" s="3"/>
      <c r="R151" s="3"/>
      <c r="S151" s="3"/>
      <c r="T151" s="4"/>
      <c r="U151" s="309">
        <v>98076</v>
      </c>
      <c r="V151" s="310">
        <v>600923</v>
      </c>
      <c r="W151" s="3">
        <f>M151+U151</f>
        <v>289630</v>
      </c>
      <c r="X151" s="251">
        <f>W151/$G$154</f>
        <v>0.27702216712959776</v>
      </c>
      <c r="Y151" s="412"/>
    </row>
    <row r="152" spans="1:25" ht="12.75">
      <c r="A152" s="406"/>
      <c r="B152" s="406"/>
      <c r="C152" s="406"/>
      <c r="D152" s="409"/>
      <c r="E152" s="400"/>
      <c r="F152" s="416">
        <v>2013</v>
      </c>
      <c r="G152" s="415"/>
      <c r="H152" s="246" t="s">
        <v>163</v>
      </c>
      <c r="I152" s="247"/>
      <c r="J152" s="3"/>
      <c r="K152" s="249">
        <f t="shared" si="20"/>
        <v>0</v>
      </c>
      <c r="L152" s="3"/>
      <c r="M152" s="3"/>
      <c r="N152" s="3"/>
      <c r="O152" s="3"/>
      <c r="P152" s="3"/>
      <c r="Q152" s="3"/>
      <c r="R152" s="3"/>
      <c r="S152" s="3"/>
      <c r="T152" s="4"/>
      <c r="U152" s="309"/>
      <c r="V152" s="310"/>
      <c r="W152" s="3"/>
      <c r="X152" s="251"/>
      <c r="Y152" s="412"/>
    </row>
    <row r="153" spans="1:25" ht="12.75">
      <c r="A153" s="406"/>
      <c r="B153" s="406"/>
      <c r="C153" s="406"/>
      <c r="D153" s="409"/>
      <c r="E153" s="400"/>
      <c r="F153" s="403"/>
      <c r="G153" s="5" t="s">
        <v>17</v>
      </c>
      <c r="H153" s="246" t="s">
        <v>15</v>
      </c>
      <c r="I153" s="247"/>
      <c r="J153" s="3"/>
      <c r="K153" s="249">
        <f t="shared" si="20"/>
        <v>0</v>
      </c>
      <c r="L153" s="3"/>
      <c r="M153" s="3"/>
      <c r="N153" s="3"/>
      <c r="O153" s="3"/>
      <c r="P153" s="3"/>
      <c r="Q153" s="3"/>
      <c r="R153" s="3"/>
      <c r="S153" s="3"/>
      <c r="T153" s="4"/>
      <c r="U153" s="309"/>
      <c r="V153" s="310"/>
      <c r="W153" s="3"/>
      <c r="X153" s="251"/>
      <c r="Y153" s="412"/>
    </row>
    <row r="154" spans="1:25" ht="12.75">
      <c r="A154" s="406"/>
      <c r="B154" s="406"/>
      <c r="C154" s="406"/>
      <c r="D154" s="409"/>
      <c r="E154" s="400"/>
      <c r="F154" s="403"/>
      <c r="G154" s="414">
        <f>G148+G151</f>
        <v>1045512</v>
      </c>
      <c r="H154" s="246" t="s">
        <v>16</v>
      </c>
      <c r="I154" s="247"/>
      <c r="J154" s="3"/>
      <c r="K154" s="249">
        <f t="shared" si="20"/>
        <v>0</v>
      </c>
      <c r="L154" s="3"/>
      <c r="M154" s="3"/>
      <c r="N154" s="3"/>
      <c r="O154" s="3"/>
      <c r="P154" s="3"/>
      <c r="Q154" s="3"/>
      <c r="R154" s="3"/>
      <c r="S154" s="3"/>
      <c r="T154" s="4"/>
      <c r="U154" s="309"/>
      <c r="V154" s="310"/>
      <c r="W154" s="3"/>
      <c r="X154" s="251"/>
      <c r="Y154" s="412"/>
    </row>
    <row r="155" spans="1:25" ht="12.75">
      <c r="A155" s="406"/>
      <c r="B155" s="406"/>
      <c r="C155" s="406"/>
      <c r="D155" s="409"/>
      <c r="E155" s="400"/>
      <c r="F155" s="403"/>
      <c r="G155" s="418"/>
      <c r="H155" s="246" t="s">
        <v>18</v>
      </c>
      <c r="I155" s="252">
        <f>I147+I149+I151+I153</f>
        <v>0</v>
      </c>
      <c r="J155" s="7">
        <f>J147+J149+J151+J153</f>
        <v>62768</v>
      </c>
      <c r="K155" s="249">
        <f t="shared" si="20"/>
        <v>62768</v>
      </c>
      <c r="L155" s="7">
        <f>L147+L149+L151+L153</f>
        <v>164022</v>
      </c>
      <c r="M155" s="3">
        <f>K155+L155</f>
        <v>226790</v>
      </c>
      <c r="N155" s="7">
        <f aca="true" t="shared" si="22" ref="N155:P156">N147+N149+N151+N153</f>
        <v>814502</v>
      </c>
      <c r="O155" s="7">
        <f t="shared" si="22"/>
        <v>0</v>
      </c>
      <c r="P155" s="7">
        <f t="shared" si="22"/>
        <v>0</v>
      </c>
      <c r="Q155" s="7"/>
      <c r="R155" s="7">
        <f aca="true" t="shared" si="23" ref="R155:U156">R147+R149+R151+R153</f>
        <v>0</v>
      </c>
      <c r="S155" s="7">
        <f t="shared" si="23"/>
        <v>0</v>
      </c>
      <c r="T155" s="123">
        <f t="shared" si="23"/>
        <v>0</v>
      </c>
      <c r="U155" s="311">
        <f t="shared" si="23"/>
        <v>115468</v>
      </c>
      <c r="V155" s="314">
        <v>814502</v>
      </c>
      <c r="W155" s="3">
        <f>M155+U155</f>
        <v>342258</v>
      </c>
      <c r="X155" s="251">
        <f>W155/$G$154</f>
        <v>0.32735922686683655</v>
      </c>
      <c r="Y155" s="412"/>
    </row>
    <row r="156" spans="1:25" ht="13.5" thickBot="1">
      <c r="A156" s="407"/>
      <c r="B156" s="407"/>
      <c r="C156" s="407"/>
      <c r="D156" s="410"/>
      <c r="E156" s="401"/>
      <c r="F156" s="417"/>
      <c r="G156" s="419"/>
      <c r="H156" s="253" t="s">
        <v>19</v>
      </c>
      <c r="I156" s="254">
        <f>I148+I150+I152+I154</f>
        <v>0</v>
      </c>
      <c r="J156" s="10">
        <f>J148+J150+J152+J154</f>
        <v>0</v>
      </c>
      <c r="K156" s="255">
        <f t="shared" si="20"/>
        <v>0</v>
      </c>
      <c r="L156" s="10">
        <f>L148+L150+L152+L154</f>
        <v>0</v>
      </c>
      <c r="M156" s="264">
        <f>K156+L156</f>
        <v>0</v>
      </c>
      <c r="N156" s="12">
        <f t="shared" si="22"/>
        <v>4220</v>
      </c>
      <c r="O156" s="12">
        <f t="shared" si="22"/>
        <v>0</v>
      </c>
      <c r="P156" s="12">
        <f t="shared" si="22"/>
        <v>0</v>
      </c>
      <c r="Q156" s="12">
        <f>Q148+Q150+Q152+Q154</f>
        <v>0</v>
      </c>
      <c r="R156" s="12">
        <f t="shared" si="23"/>
        <v>0</v>
      </c>
      <c r="S156" s="12">
        <f t="shared" si="23"/>
        <v>0</v>
      </c>
      <c r="T156" s="144">
        <f t="shared" si="23"/>
        <v>0</v>
      </c>
      <c r="U156" s="318">
        <f t="shared" si="23"/>
        <v>4219</v>
      </c>
      <c r="V156" s="319">
        <v>4220</v>
      </c>
      <c r="W156" s="264">
        <f>M156+U156</f>
        <v>4219</v>
      </c>
      <c r="X156" s="258">
        <f>W156/$G$154</f>
        <v>0.004035343448951327</v>
      </c>
      <c r="Y156" s="413"/>
    </row>
    <row r="157" spans="1:25" ht="12.75" customHeight="1">
      <c r="A157" s="405">
        <f>A147+1</f>
        <v>16</v>
      </c>
      <c r="B157" s="405">
        <v>710</v>
      </c>
      <c r="C157" s="405">
        <v>71095</v>
      </c>
      <c r="D157" s="408" t="s">
        <v>183</v>
      </c>
      <c r="E157" s="399" t="s">
        <v>180</v>
      </c>
      <c r="F157" s="402">
        <v>2011</v>
      </c>
      <c r="G157" s="1" t="s">
        <v>9</v>
      </c>
      <c r="H157" s="241" t="s">
        <v>10</v>
      </c>
      <c r="I157" s="242"/>
      <c r="J157" s="243">
        <f>13069+1383</f>
        <v>14452</v>
      </c>
      <c r="K157" s="243">
        <f t="shared" si="20"/>
        <v>14452</v>
      </c>
      <c r="L157" s="2">
        <f>56766+27898</f>
        <v>84664</v>
      </c>
      <c r="M157" s="244">
        <f>K157+L157</f>
        <v>99116</v>
      </c>
      <c r="N157" s="243">
        <f>137893+184030</f>
        <v>321923</v>
      </c>
      <c r="O157" s="243">
        <f>31355+34405</f>
        <v>65760</v>
      </c>
      <c r="P157" s="243"/>
      <c r="Q157" s="243"/>
      <c r="R157" s="243"/>
      <c r="S157" s="243"/>
      <c r="T157" s="2"/>
      <c r="U157" s="307">
        <v>46734</v>
      </c>
      <c r="V157" s="308">
        <v>321923</v>
      </c>
      <c r="W157" s="243">
        <f>M157+U157</f>
        <v>145850</v>
      </c>
      <c r="X157" s="260">
        <f>W157/$G$164</f>
        <v>0.07888474227919304</v>
      </c>
      <c r="Y157" s="411">
        <f>N165+O165+P165+Q165+R165+S165+N166+O166+P166+Q166+R166+T165+T166+S166</f>
        <v>1294938</v>
      </c>
    </row>
    <row r="158" spans="1:25" ht="12.75">
      <c r="A158" s="406"/>
      <c r="B158" s="406"/>
      <c r="C158" s="406"/>
      <c r="D158" s="409"/>
      <c r="E158" s="400"/>
      <c r="F158" s="403"/>
      <c r="G158" s="414">
        <f>M165+N165+O165</f>
        <v>1789773</v>
      </c>
      <c r="H158" s="246" t="s">
        <v>11</v>
      </c>
      <c r="I158" s="247"/>
      <c r="J158" s="3"/>
      <c r="K158" s="249">
        <f t="shared" si="20"/>
        <v>0</v>
      </c>
      <c r="L158" s="4">
        <v>8869</v>
      </c>
      <c r="M158" s="250">
        <f>K158+L158</f>
        <v>8869</v>
      </c>
      <c r="N158" s="3"/>
      <c r="O158" s="3"/>
      <c r="P158" s="3"/>
      <c r="Q158" s="3"/>
      <c r="R158" s="3"/>
      <c r="S158" s="3"/>
      <c r="T158" s="4"/>
      <c r="U158" s="309"/>
      <c r="V158" s="310"/>
      <c r="W158" s="3">
        <f>M158+U158</f>
        <v>8869</v>
      </c>
      <c r="X158" s="251">
        <f>W158/$G$164</f>
        <v>0.004796906268592136</v>
      </c>
      <c r="Y158" s="412"/>
    </row>
    <row r="159" spans="1:25" ht="12.75">
      <c r="A159" s="406"/>
      <c r="B159" s="406"/>
      <c r="C159" s="406"/>
      <c r="D159" s="409"/>
      <c r="E159" s="400"/>
      <c r="F159" s="403"/>
      <c r="G159" s="415"/>
      <c r="H159" s="246" t="s">
        <v>12</v>
      </c>
      <c r="I159" s="247"/>
      <c r="J159" s="3"/>
      <c r="K159" s="249">
        <f t="shared" si="20"/>
        <v>0</v>
      </c>
      <c r="L159" s="4"/>
      <c r="M159" s="250"/>
      <c r="N159" s="3"/>
      <c r="O159" s="3"/>
      <c r="P159" s="3"/>
      <c r="Q159" s="3"/>
      <c r="R159" s="3"/>
      <c r="S159" s="3"/>
      <c r="T159" s="4"/>
      <c r="U159" s="309"/>
      <c r="V159" s="310"/>
      <c r="W159" s="3"/>
      <c r="X159" s="251"/>
      <c r="Y159" s="412"/>
    </row>
    <row r="160" spans="1:25" ht="12.75">
      <c r="A160" s="406"/>
      <c r="B160" s="406"/>
      <c r="C160" s="406"/>
      <c r="D160" s="409"/>
      <c r="E160" s="400"/>
      <c r="F160" s="403"/>
      <c r="G160" s="5" t="s">
        <v>13</v>
      </c>
      <c r="H160" s="246" t="s">
        <v>14</v>
      </c>
      <c r="I160" s="247"/>
      <c r="J160" s="3"/>
      <c r="K160" s="249">
        <f t="shared" si="20"/>
        <v>0</v>
      </c>
      <c r="L160" s="4"/>
      <c r="M160" s="250"/>
      <c r="N160" s="3"/>
      <c r="O160" s="3"/>
      <c r="P160" s="3"/>
      <c r="Q160" s="3"/>
      <c r="R160" s="3"/>
      <c r="S160" s="3"/>
      <c r="T160" s="4"/>
      <c r="U160" s="309"/>
      <c r="V160" s="310"/>
      <c r="W160" s="3"/>
      <c r="X160" s="251"/>
      <c r="Y160" s="412"/>
    </row>
    <row r="161" spans="1:25" ht="12.75">
      <c r="A161" s="406"/>
      <c r="B161" s="406"/>
      <c r="C161" s="406"/>
      <c r="D161" s="409"/>
      <c r="E161" s="400"/>
      <c r="F161" s="404"/>
      <c r="G161" s="414">
        <f>M166</f>
        <v>59127</v>
      </c>
      <c r="H161" s="246" t="s">
        <v>162</v>
      </c>
      <c r="I161" s="247"/>
      <c r="J161" s="3">
        <v>74057</v>
      </c>
      <c r="K161" s="249">
        <f t="shared" si="20"/>
        <v>74057</v>
      </c>
      <c r="L161" s="4">
        <v>321662</v>
      </c>
      <c r="M161" s="250">
        <f>K161+L161</f>
        <v>395719</v>
      </c>
      <c r="N161" s="3">
        <v>729576</v>
      </c>
      <c r="O161" s="3">
        <v>177679</v>
      </c>
      <c r="P161" s="3"/>
      <c r="Q161" s="3"/>
      <c r="R161" s="3"/>
      <c r="S161" s="3"/>
      <c r="T161" s="4"/>
      <c r="U161" s="309">
        <v>138717</v>
      </c>
      <c r="V161" s="310">
        <v>729576</v>
      </c>
      <c r="W161" s="3">
        <f>M161+U161</f>
        <v>534436</v>
      </c>
      <c r="X161" s="251">
        <f>W161/$G$164</f>
        <v>0.28905619557574774</v>
      </c>
      <c r="Y161" s="412"/>
    </row>
    <row r="162" spans="1:25" ht="12.75">
      <c r="A162" s="406"/>
      <c r="B162" s="406"/>
      <c r="C162" s="406"/>
      <c r="D162" s="409"/>
      <c r="E162" s="400"/>
      <c r="F162" s="416">
        <v>2014</v>
      </c>
      <c r="G162" s="415"/>
      <c r="H162" s="246" t="s">
        <v>163</v>
      </c>
      <c r="I162" s="247"/>
      <c r="J162" s="3"/>
      <c r="K162" s="249">
        <f t="shared" si="20"/>
        <v>0</v>
      </c>
      <c r="L162" s="4">
        <v>50258</v>
      </c>
      <c r="M162" s="250">
        <f>K162+L162</f>
        <v>50258</v>
      </c>
      <c r="N162" s="3"/>
      <c r="O162" s="3"/>
      <c r="P162" s="3"/>
      <c r="Q162" s="3"/>
      <c r="R162" s="3"/>
      <c r="S162" s="3"/>
      <c r="T162" s="4"/>
      <c r="U162" s="309"/>
      <c r="V162" s="310"/>
      <c r="W162" s="3">
        <f>M162+U162</f>
        <v>50258</v>
      </c>
      <c r="X162" s="251">
        <f>W162/$G$164</f>
        <v>0.027182649142733516</v>
      </c>
      <c r="Y162" s="412"/>
    </row>
    <row r="163" spans="1:25" ht="12.75">
      <c r="A163" s="406"/>
      <c r="B163" s="406"/>
      <c r="C163" s="406"/>
      <c r="D163" s="409"/>
      <c r="E163" s="400"/>
      <c r="F163" s="403"/>
      <c r="G163" s="5" t="s">
        <v>17</v>
      </c>
      <c r="H163" s="246" t="s">
        <v>15</v>
      </c>
      <c r="I163" s="247"/>
      <c r="J163" s="3"/>
      <c r="K163" s="249">
        <f t="shared" si="20"/>
        <v>0</v>
      </c>
      <c r="L163" s="4"/>
      <c r="M163" s="250"/>
      <c r="N163" s="3"/>
      <c r="O163" s="3"/>
      <c r="P163" s="3"/>
      <c r="Q163" s="3"/>
      <c r="R163" s="3"/>
      <c r="S163" s="3"/>
      <c r="T163" s="4"/>
      <c r="U163" s="309"/>
      <c r="V163" s="310"/>
      <c r="W163" s="3"/>
      <c r="X163" s="251"/>
      <c r="Y163" s="412"/>
    </row>
    <row r="164" spans="1:25" ht="12.75">
      <c r="A164" s="406"/>
      <c r="B164" s="406"/>
      <c r="C164" s="406"/>
      <c r="D164" s="409"/>
      <c r="E164" s="400"/>
      <c r="F164" s="403"/>
      <c r="G164" s="414">
        <f>G158+G161</f>
        <v>1848900</v>
      </c>
      <c r="H164" s="246" t="s">
        <v>16</v>
      </c>
      <c r="I164" s="247"/>
      <c r="J164" s="3"/>
      <c r="K164" s="249">
        <f t="shared" si="20"/>
        <v>0</v>
      </c>
      <c r="L164" s="4"/>
      <c r="M164" s="250"/>
      <c r="N164" s="3"/>
      <c r="O164" s="3"/>
      <c r="P164" s="3"/>
      <c r="Q164" s="3"/>
      <c r="R164" s="3"/>
      <c r="S164" s="3"/>
      <c r="T164" s="4"/>
      <c r="U164" s="309"/>
      <c r="V164" s="310"/>
      <c r="W164" s="3"/>
      <c r="X164" s="251"/>
      <c r="Y164" s="412"/>
    </row>
    <row r="165" spans="1:25" ht="12.75">
      <c r="A165" s="406"/>
      <c r="B165" s="406"/>
      <c r="C165" s="406"/>
      <c r="D165" s="409"/>
      <c r="E165" s="400"/>
      <c r="F165" s="403"/>
      <c r="G165" s="418"/>
      <c r="H165" s="246" t="s">
        <v>18</v>
      </c>
      <c r="I165" s="252">
        <f>I157+I159+I161+I163</f>
        <v>0</v>
      </c>
      <c r="J165" s="7">
        <f>J157+J159+J161+J163</f>
        <v>88509</v>
      </c>
      <c r="K165" s="249">
        <f t="shared" si="20"/>
        <v>88509</v>
      </c>
      <c r="L165" s="123">
        <f>L157+L159+L161+L163</f>
        <v>406326</v>
      </c>
      <c r="M165" s="250">
        <f>K165+L165</f>
        <v>494835</v>
      </c>
      <c r="N165" s="7">
        <f aca="true" t="shared" si="24" ref="N165:U166">N157+N159+N161+N163</f>
        <v>1051499</v>
      </c>
      <c r="O165" s="7">
        <f t="shared" si="24"/>
        <v>243439</v>
      </c>
      <c r="P165" s="7">
        <f t="shared" si="24"/>
        <v>0</v>
      </c>
      <c r="Q165" s="7">
        <f t="shared" si="24"/>
        <v>0</v>
      </c>
      <c r="R165" s="7">
        <f t="shared" si="24"/>
        <v>0</v>
      </c>
      <c r="S165" s="7">
        <f t="shared" si="24"/>
        <v>0</v>
      </c>
      <c r="T165" s="123">
        <f t="shared" si="24"/>
        <v>0</v>
      </c>
      <c r="U165" s="311">
        <f t="shared" si="24"/>
        <v>185451</v>
      </c>
      <c r="V165" s="314">
        <v>1051499</v>
      </c>
      <c r="W165" s="3">
        <f>M165+U165</f>
        <v>680286</v>
      </c>
      <c r="X165" s="251">
        <f>W165/$G$164</f>
        <v>0.36794093785494075</v>
      </c>
      <c r="Y165" s="412"/>
    </row>
    <row r="166" spans="1:25" ht="13.5" thickBot="1">
      <c r="A166" s="407"/>
      <c r="B166" s="407"/>
      <c r="C166" s="407"/>
      <c r="D166" s="410"/>
      <c r="E166" s="401"/>
      <c r="F166" s="417"/>
      <c r="G166" s="419"/>
      <c r="H166" s="253" t="s">
        <v>19</v>
      </c>
      <c r="I166" s="254">
        <f>I158+I160+I162+I164</f>
        <v>0</v>
      </c>
      <c r="J166" s="10">
        <f>J158+J160+J162+J164</f>
        <v>0</v>
      </c>
      <c r="K166" s="255">
        <f t="shared" si="20"/>
        <v>0</v>
      </c>
      <c r="L166" s="124">
        <f>L158+L160+L162+L164</f>
        <v>59127</v>
      </c>
      <c r="M166" s="256">
        <f>K166+L166</f>
        <v>59127</v>
      </c>
      <c r="N166" s="10">
        <f t="shared" si="24"/>
        <v>0</v>
      </c>
      <c r="O166" s="10">
        <f t="shared" si="24"/>
        <v>0</v>
      </c>
      <c r="P166" s="10">
        <f t="shared" si="24"/>
        <v>0</v>
      </c>
      <c r="Q166" s="10">
        <f t="shared" si="24"/>
        <v>0</v>
      </c>
      <c r="R166" s="10">
        <f t="shared" si="24"/>
        <v>0</v>
      </c>
      <c r="S166" s="10">
        <f t="shared" si="24"/>
        <v>0</v>
      </c>
      <c r="T166" s="124">
        <f t="shared" si="24"/>
        <v>0</v>
      </c>
      <c r="U166" s="312">
        <f t="shared" si="24"/>
        <v>0</v>
      </c>
      <c r="V166" s="315">
        <f>N166-U166</f>
        <v>0</v>
      </c>
      <c r="W166" s="76">
        <f>M166+U166</f>
        <v>59127</v>
      </c>
      <c r="X166" s="258">
        <f>W166/$G$164</f>
        <v>0.031979555411325654</v>
      </c>
      <c r="Y166" s="413"/>
    </row>
    <row r="167" spans="1:25" ht="13.5" customHeight="1">
      <c r="A167" s="405">
        <f>A157+1</f>
        <v>17</v>
      </c>
      <c r="B167" s="405">
        <v>710</v>
      </c>
      <c r="C167" s="405">
        <v>71095</v>
      </c>
      <c r="D167" s="408" t="s">
        <v>184</v>
      </c>
      <c r="E167" s="399" t="s">
        <v>180</v>
      </c>
      <c r="F167" s="402">
        <v>2013</v>
      </c>
      <c r="G167" s="1" t="s">
        <v>9</v>
      </c>
      <c r="H167" s="241" t="s">
        <v>10</v>
      </c>
      <c r="I167" s="242"/>
      <c r="J167" s="243">
        <f>13069+1383</f>
        <v>14452</v>
      </c>
      <c r="K167" s="243"/>
      <c r="L167" s="243"/>
      <c r="M167" s="243">
        <v>0</v>
      </c>
      <c r="N167" s="243">
        <v>51854</v>
      </c>
      <c r="O167" s="243">
        <v>35934</v>
      </c>
      <c r="P167" s="243"/>
      <c r="Q167" s="243"/>
      <c r="R167" s="243"/>
      <c r="S167" s="243"/>
      <c r="T167" s="2"/>
      <c r="U167" s="307">
        <v>0</v>
      </c>
      <c r="V167" s="308">
        <v>51854</v>
      </c>
      <c r="W167" s="243">
        <f>M167+U167</f>
        <v>0</v>
      </c>
      <c r="X167" s="260">
        <f>W167/$G$174</f>
        <v>0</v>
      </c>
      <c r="Y167" s="411">
        <f>N175+O175+P175+Q175+R175+S175+N176+O176+P176+Q176+R176+T175+T176+S176</f>
        <v>877788</v>
      </c>
    </row>
    <row r="168" spans="1:25" ht="12.75">
      <c r="A168" s="406"/>
      <c r="B168" s="406"/>
      <c r="C168" s="406"/>
      <c r="D168" s="409"/>
      <c r="E168" s="400"/>
      <c r="F168" s="403"/>
      <c r="G168" s="414">
        <f>N175+O175</f>
        <v>877788</v>
      </c>
      <c r="H168" s="246" t="s">
        <v>11</v>
      </c>
      <c r="I168" s="247"/>
      <c r="J168" s="3"/>
      <c r="K168" s="249">
        <f>I168+J168</f>
        <v>0</v>
      </c>
      <c r="L168" s="3"/>
      <c r="M168" s="3"/>
      <c r="N168" s="3"/>
      <c r="O168" s="3"/>
      <c r="P168" s="3"/>
      <c r="Q168" s="3"/>
      <c r="R168" s="3"/>
      <c r="S168" s="3"/>
      <c r="T168" s="4"/>
      <c r="U168" s="309"/>
      <c r="V168" s="310"/>
      <c r="W168" s="3"/>
      <c r="X168" s="251"/>
      <c r="Y168" s="412"/>
    </row>
    <row r="169" spans="1:25" ht="12.75">
      <c r="A169" s="406"/>
      <c r="B169" s="406"/>
      <c r="C169" s="406"/>
      <c r="D169" s="409"/>
      <c r="E169" s="400"/>
      <c r="F169" s="403"/>
      <c r="G169" s="415"/>
      <c r="H169" s="246" t="s">
        <v>12</v>
      </c>
      <c r="I169" s="247"/>
      <c r="J169" s="3"/>
      <c r="K169" s="249">
        <f>I169+J169</f>
        <v>0</v>
      </c>
      <c r="L169" s="3"/>
      <c r="M169" s="3"/>
      <c r="N169" s="3"/>
      <c r="O169" s="3"/>
      <c r="P169" s="3"/>
      <c r="Q169" s="3"/>
      <c r="R169" s="3"/>
      <c r="S169" s="3"/>
      <c r="T169" s="4"/>
      <c r="U169" s="309"/>
      <c r="V169" s="310"/>
      <c r="W169" s="3"/>
      <c r="X169" s="251"/>
      <c r="Y169" s="412"/>
    </row>
    <row r="170" spans="1:25" ht="12.75">
      <c r="A170" s="406"/>
      <c r="B170" s="406"/>
      <c r="C170" s="406"/>
      <c r="D170" s="409"/>
      <c r="E170" s="400"/>
      <c r="F170" s="403"/>
      <c r="G170" s="5" t="s">
        <v>13</v>
      </c>
      <c r="H170" s="246" t="s">
        <v>14</v>
      </c>
      <c r="I170" s="247"/>
      <c r="J170" s="3"/>
      <c r="K170" s="249">
        <f>I170+J170</f>
        <v>0</v>
      </c>
      <c r="L170" s="3"/>
      <c r="M170" s="3"/>
      <c r="N170" s="3"/>
      <c r="O170" s="3"/>
      <c r="P170" s="3"/>
      <c r="Q170" s="3"/>
      <c r="R170" s="3"/>
      <c r="S170" s="3"/>
      <c r="T170" s="4"/>
      <c r="U170" s="309"/>
      <c r="V170" s="310"/>
      <c r="W170" s="3"/>
      <c r="X170" s="251"/>
      <c r="Y170" s="412"/>
    </row>
    <row r="171" spans="1:25" ht="12.75">
      <c r="A171" s="406"/>
      <c r="B171" s="406"/>
      <c r="C171" s="406"/>
      <c r="D171" s="409"/>
      <c r="E171" s="400"/>
      <c r="F171" s="404"/>
      <c r="G171" s="414">
        <f>SUM(K176:T176)</f>
        <v>0</v>
      </c>
      <c r="H171" s="246" t="s">
        <v>162</v>
      </c>
      <c r="I171" s="247"/>
      <c r="J171" s="3">
        <v>74057</v>
      </c>
      <c r="K171" s="249"/>
      <c r="L171" s="3"/>
      <c r="M171" s="3">
        <v>0</v>
      </c>
      <c r="N171" s="3">
        <v>505926</v>
      </c>
      <c r="O171" s="3">
        <v>284074</v>
      </c>
      <c r="P171" s="3"/>
      <c r="Q171" s="3"/>
      <c r="R171" s="3"/>
      <c r="S171" s="3"/>
      <c r="T171" s="4"/>
      <c r="U171" s="309">
        <v>26524</v>
      </c>
      <c r="V171" s="310">
        <v>505926</v>
      </c>
      <c r="W171" s="3">
        <f>M171+U171</f>
        <v>26524</v>
      </c>
      <c r="X171" s="251">
        <f>W171/$G$174</f>
        <v>0.030216863297288184</v>
      </c>
      <c r="Y171" s="412"/>
    </row>
    <row r="172" spans="1:25" ht="12.75">
      <c r="A172" s="406"/>
      <c r="B172" s="406"/>
      <c r="C172" s="406"/>
      <c r="D172" s="409"/>
      <c r="E172" s="400"/>
      <c r="F172" s="416">
        <v>2014</v>
      </c>
      <c r="G172" s="415"/>
      <c r="H172" s="246" t="s">
        <v>163</v>
      </c>
      <c r="I172" s="247"/>
      <c r="J172" s="3"/>
      <c r="K172" s="249">
        <f>I172+J172</f>
        <v>0</v>
      </c>
      <c r="L172" s="3"/>
      <c r="M172" s="3"/>
      <c r="N172" s="3"/>
      <c r="O172" s="3"/>
      <c r="P172" s="3"/>
      <c r="Q172" s="3"/>
      <c r="R172" s="3"/>
      <c r="S172" s="3"/>
      <c r="T172" s="4"/>
      <c r="U172" s="309"/>
      <c r="V172" s="310"/>
      <c r="W172" s="3"/>
      <c r="X172" s="251"/>
      <c r="Y172" s="412"/>
    </row>
    <row r="173" spans="1:25" ht="12.75">
      <c r="A173" s="406"/>
      <c r="B173" s="406"/>
      <c r="C173" s="406"/>
      <c r="D173" s="409"/>
      <c r="E173" s="400"/>
      <c r="F173" s="403"/>
      <c r="G173" s="5" t="s">
        <v>17</v>
      </c>
      <c r="H173" s="246" t="s">
        <v>15</v>
      </c>
      <c r="I173" s="247"/>
      <c r="J173" s="3"/>
      <c r="K173" s="249">
        <f>I173+J173</f>
        <v>0</v>
      </c>
      <c r="L173" s="3"/>
      <c r="M173" s="3"/>
      <c r="N173" s="3"/>
      <c r="O173" s="3"/>
      <c r="P173" s="3"/>
      <c r="Q173" s="3"/>
      <c r="R173" s="3"/>
      <c r="S173" s="3"/>
      <c r="T173" s="4"/>
      <c r="U173" s="309"/>
      <c r="V173" s="310"/>
      <c r="W173" s="3"/>
      <c r="X173" s="251"/>
      <c r="Y173" s="412"/>
    </row>
    <row r="174" spans="1:25" ht="12.75">
      <c r="A174" s="406"/>
      <c r="B174" s="406"/>
      <c r="C174" s="406"/>
      <c r="D174" s="409"/>
      <c r="E174" s="400"/>
      <c r="F174" s="403"/>
      <c r="G174" s="414">
        <f>G168+G171</f>
        <v>877788</v>
      </c>
      <c r="H174" s="246" t="s">
        <v>16</v>
      </c>
      <c r="I174" s="247"/>
      <c r="J174" s="3"/>
      <c r="K174" s="249">
        <f>I174+J174</f>
        <v>0</v>
      </c>
      <c r="L174" s="3"/>
      <c r="M174" s="3"/>
      <c r="N174" s="3"/>
      <c r="O174" s="3"/>
      <c r="P174" s="3"/>
      <c r="Q174" s="3"/>
      <c r="R174" s="3"/>
      <c r="S174" s="3"/>
      <c r="T174" s="4"/>
      <c r="U174" s="309"/>
      <c r="V174" s="310"/>
      <c r="W174" s="3"/>
      <c r="X174" s="251"/>
      <c r="Y174" s="412"/>
    </row>
    <row r="175" spans="1:25" ht="12.75">
      <c r="A175" s="406"/>
      <c r="B175" s="406"/>
      <c r="C175" s="406"/>
      <c r="D175" s="409"/>
      <c r="E175" s="400"/>
      <c r="F175" s="403"/>
      <c r="G175" s="418"/>
      <c r="H175" s="246" t="s">
        <v>18</v>
      </c>
      <c r="I175" s="252">
        <f>I167+I169+I171+I173</f>
        <v>0</v>
      </c>
      <c r="J175" s="7">
        <f>J167+J169+J171+J173</f>
        <v>88509</v>
      </c>
      <c r="K175" s="249"/>
      <c r="L175" s="7">
        <f>L167+L169+L171+L173</f>
        <v>0</v>
      </c>
      <c r="M175" s="3">
        <f>K175+L175</f>
        <v>0</v>
      </c>
      <c r="N175" s="7">
        <f aca="true" t="shared" si="25" ref="N175:T176">N167+N169+N171+N173</f>
        <v>557780</v>
      </c>
      <c r="O175" s="7">
        <f t="shared" si="25"/>
        <v>320008</v>
      </c>
      <c r="P175" s="7">
        <f t="shared" si="25"/>
        <v>0</v>
      </c>
      <c r="Q175" s="7">
        <f t="shared" si="25"/>
        <v>0</v>
      </c>
      <c r="R175" s="7">
        <f t="shared" si="25"/>
        <v>0</v>
      </c>
      <c r="S175" s="7">
        <f t="shared" si="25"/>
        <v>0</v>
      </c>
      <c r="T175" s="123">
        <f t="shared" si="25"/>
        <v>0</v>
      </c>
      <c r="U175" s="311">
        <v>26524</v>
      </c>
      <c r="V175" s="314">
        <v>557780</v>
      </c>
      <c r="W175" s="3">
        <f>M175+U175</f>
        <v>26524</v>
      </c>
      <c r="X175" s="251">
        <f>W175/$G$174</f>
        <v>0.030216863297288184</v>
      </c>
      <c r="Y175" s="412"/>
    </row>
    <row r="176" spans="1:25" ht="13.5" thickBot="1">
      <c r="A176" s="407"/>
      <c r="B176" s="407"/>
      <c r="C176" s="407"/>
      <c r="D176" s="410"/>
      <c r="E176" s="401"/>
      <c r="F176" s="417"/>
      <c r="G176" s="419"/>
      <c r="H176" s="253" t="s">
        <v>19</v>
      </c>
      <c r="I176" s="254">
        <f>I168+I170+I172+I174</f>
        <v>0</v>
      </c>
      <c r="J176" s="10">
        <f>J168+J170+J172+J174</f>
        <v>0</v>
      </c>
      <c r="K176" s="255">
        <f>I176+J176</f>
        <v>0</v>
      </c>
      <c r="L176" s="10">
        <f>L168+L170+L172+L174</f>
        <v>0</v>
      </c>
      <c r="M176" s="76">
        <f>K176+L176</f>
        <v>0</v>
      </c>
      <c r="N176" s="10">
        <f t="shared" si="25"/>
        <v>0</v>
      </c>
      <c r="O176" s="10">
        <f t="shared" si="25"/>
        <v>0</v>
      </c>
      <c r="P176" s="10">
        <f t="shared" si="25"/>
        <v>0</v>
      </c>
      <c r="Q176" s="10">
        <f t="shared" si="25"/>
        <v>0</v>
      </c>
      <c r="R176" s="10">
        <f t="shared" si="25"/>
        <v>0</v>
      </c>
      <c r="S176" s="10">
        <f t="shared" si="25"/>
        <v>0</v>
      </c>
      <c r="T176" s="124">
        <f t="shared" si="25"/>
        <v>0</v>
      </c>
      <c r="U176" s="312">
        <v>0</v>
      </c>
      <c r="V176" s="315">
        <v>0</v>
      </c>
      <c r="W176" s="76">
        <f>M176+U176</f>
        <v>0</v>
      </c>
      <c r="X176" s="258">
        <f>W176/$G$174</f>
        <v>0</v>
      </c>
      <c r="Y176" s="413"/>
    </row>
    <row r="177" spans="1:25" ht="13.5" customHeight="1">
      <c r="A177" s="405">
        <f>A167+1</f>
        <v>18</v>
      </c>
      <c r="B177" s="405">
        <v>710</v>
      </c>
      <c r="C177" s="405">
        <v>71095</v>
      </c>
      <c r="D177" s="408" t="s">
        <v>185</v>
      </c>
      <c r="E177" s="399" t="s">
        <v>180</v>
      </c>
      <c r="F177" s="402">
        <v>2013</v>
      </c>
      <c r="G177" s="1" t="s">
        <v>9</v>
      </c>
      <c r="H177" s="241" t="s">
        <v>10</v>
      </c>
      <c r="I177" s="242"/>
      <c r="J177" s="243">
        <f>13069+1383</f>
        <v>14452</v>
      </c>
      <c r="K177" s="243"/>
      <c r="L177" s="2"/>
      <c r="M177" s="244"/>
      <c r="N177" s="243">
        <v>0</v>
      </c>
      <c r="O177" s="243">
        <v>0</v>
      </c>
      <c r="P177" s="243"/>
      <c r="Q177" s="243"/>
      <c r="R177" s="243"/>
      <c r="S177" s="243"/>
      <c r="T177" s="2"/>
      <c r="U177" s="307">
        <v>0</v>
      </c>
      <c r="V177" s="308">
        <v>0</v>
      </c>
      <c r="W177" s="243">
        <f>M177+U177</f>
        <v>0</v>
      </c>
      <c r="X177" s="260">
        <f>W177/$G$184</f>
        <v>0</v>
      </c>
      <c r="Y177" s="411">
        <f>N185+O185+P185+Q185+R185+S185+N186+O186+P186+Q186+R186+T185+T186+S186</f>
        <v>67400</v>
      </c>
    </row>
    <row r="178" spans="1:25" ht="12.75">
      <c r="A178" s="406"/>
      <c r="B178" s="406"/>
      <c r="C178" s="406"/>
      <c r="D178" s="409"/>
      <c r="E178" s="400"/>
      <c r="F178" s="403"/>
      <c r="G178" s="414">
        <f>N185+O185</f>
        <v>67400</v>
      </c>
      <c r="H178" s="246" t="s">
        <v>11</v>
      </c>
      <c r="I178" s="247"/>
      <c r="J178" s="3"/>
      <c r="K178" s="249">
        <f>I178+J178</f>
        <v>0</v>
      </c>
      <c r="L178" s="4"/>
      <c r="M178" s="250"/>
      <c r="N178" s="3"/>
      <c r="O178" s="3"/>
      <c r="P178" s="3"/>
      <c r="Q178" s="3"/>
      <c r="R178" s="3"/>
      <c r="S178" s="3"/>
      <c r="T178" s="4"/>
      <c r="U178" s="309"/>
      <c r="V178" s="310"/>
      <c r="W178" s="3"/>
      <c r="X178" s="251"/>
      <c r="Y178" s="412"/>
    </row>
    <row r="179" spans="1:25" ht="12.75">
      <c r="A179" s="406"/>
      <c r="B179" s="406"/>
      <c r="C179" s="406"/>
      <c r="D179" s="409"/>
      <c r="E179" s="400"/>
      <c r="F179" s="403"/>
      <c r="G179" s="415"/>
      <c r="H179" s="246" t="s">
        <v>12</v>
      </c>
      <c r="I179" s="247"/>
      <c r="J179" s="3"/>
      <c r="K179" s="249">
        <f>I179+J179</f>
        <v>0</v>
      </c>
      <c r="L179" s="4"/>
      <c r="M179" s="250"/>
      <c r="N179" s="3"/>
      <c r="O179" s="3"/>
      <c r="P179" s="3"/>
      <c r="Q179" s="3"/>
      <c r="R179" s="3"/>
      <c r="S179" s="3"/>
      <c r="T179" s="4"/>
      <c r="U179" s="309"/>
      <c r="V179" s="310"/>
      <c r="W179" s="3"/>
      <c r="X179" s="251"/>
      <c r="Y179" s="412"/>
    </row>
    <row r="180" spans="1:25" ht="12.75">
      <c r="A180" s="406"/>
      <c r="B180" s="406"/>
      <c r="C180" s="406"/>
      <c r="D180" s="409"/>
      <c r="E180" s="400"/>
      <c r="F180" s="403"/>
      <c r="G180" s="5" t="s">
        <v>13</v>
      </c>
      <c r="H180" s="246" t="s">
        <v>14</v>
      </c>
      <c r="I180" s="247"/>
      <c r="J180" s="3"/>
      <c r="K180" s="249">
        <f>I180+J180</f>
        <v>0</v>
      </c>
      <c r="L180" s="4"/>
      <c r="M180" s="250"/>
      <c r="N180" s="3"/>
      <c r="O180" s="3"/>
      <c r="P180" s="3"/>
      <c r="Q180" s="3"/>
      <c r="R180" s="3"/>
      <c r="S180" s="3"/>
      <c r="T180" s="4"/>
      <c r="U180" s="309"/>
      <c r="V180" s="310"/>
      <c r="W180" s="3"/>
      <c r="X180" s="251"/>
      <c r="Y180" s="412"/>
    </row>
    <row r="181" spans="1:25" ht="12.75">
      <c r="A181" s="406"/>
      <c r="B181" s="406"/>
      <c r="C181" s="406"/>
      <c r="D181" s="409"/>
      <c r="E181" s="400"/>
      <c r="F181" s="404"/>
      <c r="G181" s="414">
        <f>SUM(K186:T186)</f>
        <v>0</v>
      </c>
      <c r="H181" s="246" t="s">
        <v>162</v>
      </c>
      <c r="I181" s="247"/>
      <c r="J181" s="3">
        <v>74057</v>
      </c>
      <c r="K181" s="249"/>
      <c r="L181" s="4"/>
      <c r="M181" s="250"/>
      <c r="N181" s="3">
        <v>31000</v>
      </c>
      <c r="O181" s="3">
        <v>36400</v>
      </c>
      <c r="P181" s="3"/>
      <c r="Q181" s="3"/>
      <c r="R181" s="3"/>
      <c r="S181" s="3"/>
      <c r="T181" s="4"/>
      <c r="U181" s="309">
        <v>0</v>
      </c>
      <c r="V181" s="310">
        <v>31000</v>
      </c>
      <c r="W181" s="3">
        <f>M181+U181</f>
        <v>0</v>
      </c>
      <c r="X181" s="251">
        <f>W181/$G$184</f>
        <v>0</v>
      </c>
      <c r="Y181" s="412"/>
    </row>
    <row r="182" spans="1:25" ht="12.75">
      <c r="A182" s="406"/>
      <c r="B182" s="406"/>
      <c r="C182" s="406"/>
      <c r="D182" s="409"/>
      <c r="E182" s="400"/>
      <c r="F182" s="416">
        <v>2014</v>
      </c>
      <c r="G182" s="415"/>
      <c r="H182" s="246" t="s">
        <v>163</v>
      </c>
      <c r="I182" s="247"/>
      <c r="J182" s="3"/>
      <c r="K182" s="249">
        <f>I182+J182</f>
        <v>0</v>
      </c>
      <c r="L182" s="4"/>
      <c r="M182" s="250"/>
      <c r="N182" s="3"/>
      <c r="O182" s="3"/>
      <c r="P182" s="3"/>
      <c r="Q182" s="3"/>
      <c r="R182" s="3"/>
      <c r="S182" s="3"/>
      <c r="T182" s="4"/>
      <c r="U182" s="309"/>
      <c r="V182" s="310"/>
      <c r="W182" s="3"/>
      <c r="X182" s="251"/>
      <c r="Y182" s="412"/>
    </row>
    <row r="183" spans="1:25" ht="12.75">
      <c r="A183" s="406"/>
      <c r="B183" s="406"/>
      <c r="C183" s="406"/>
      <c r="D183" s="409"/>
      <c r="E183" s="400"/>
      <c r="F183" s="403"/>
      <c r="G183" s="5" t="s">
        <v>17</v>
      </c>
      <c r="H183" s="246" t="s">
        <v>15</v>
      </c>
      <c r="I183" s="247"/>
      <c r="J183" s="3"/>
      <c r="K183" s="249">
        <f>I183+J183</f>
        <v>0</v>
      </c>
      <c r="L183" s="4"/>
      <c r="M183" s="250"/>
      <c r="N183" s="3"/>
      <c r="O183" s="3"/>
      <c r="P183" s="3"/>
      <c r="Q183" s="3"/>
      <c r="R183" s="3"/>
      <c r="S183" s="3"/>
      <c r="T183" s="4"/>
      <c r="U183" s="309"/>
      <c r="V183" s="310"/>
      <c r="W183" s="3"/>
      <c r="X183" s="251"/>
      <c r="Y183" s="412"/>
    </row>
    <row r="184" spans="1:25" ht="12.75">
      <c r="A184" s="406"/>
      <c r="B184" s="406"/>
      <c r="C184" s="406"/>
      <c r="D184" s="409"/>
      <c r="E184" s="400"/>
      <c r="F184" s="403"/>
      <c r="G184" s="414">
        <f>G178+G181</f>
        <v>67400</v>
      </c>
      <c r="H184" s="246" t="s">
        <v>16</v>
      </c>
      <c r="I184" s="247"/>
      <c r="J184" s="3"/>
      <c r="K184" s="249">
        <f>I184+J184</f>
        <v>0</v>
      </c>
      <c r="L184" s="4"/>
      <c r="M184" s="250"/>
      <c r="N184" s="3"/>
      <c r="O184" s="3"/>
      <c r="P184" s="3"/>
      <c r="Q184" s="3"/>
      <c r="R184" s="3"/>
      <c r="S184" s="3"/>
      <c r="T184" s="4"/>
      <c r="U184" s="309"/>
      <c r="V184" s="310"/>
      <c r="W184" s="3"/>
      <c r="X184" s="251"/>
      <c r="Y184" s="412"/>
    </row>
    <row r="185" spans="1:25" ht="12.75">
      <c r="A185" s="406"/>
      <c r="B185" s="406"/>
      <c r="C185" s="406"/>
      <c r="D185" s="409"/>
      <c r="E185" s="400"/>
      <c r="F185" s="403"/>
      <c r="G185" s="418"/>
      <c r="H185" s="246" t="s">
        <v>18</v>
      </c>
      <c r="I185" s="252">
        <f>I177+I179+I181+I183</f>
        <v>0</v>
      </c>
      <c r="J185" s="7">
        <f>J177+J179+J181+J183</f>
        <v>88509</v>
      </c>
      <c r="K185" s="249"/>
      <c r="L185" s="123">
        <f>L177+L179+L181+L183</f>
        <v>0</v>
      </c>
      <c r="M185" s="250">
        <f>K185+L185</f>
        <v>0</v>
      </c>
      <c r="N185" s="7">
        <f aca="true" t="shared" si="26" ref="N185:T186">N177+N179+N181+N183</f>
        <v>31000</v>
      </c>
      <c r="O185" s="7">
        <f t="shared" si="26"/>
        <v>36400</v>
      </c>
      <c r="P185" s="7">
        <f t="shared" si="26"/>
        <v>0</v>
      </c>
      <c r="Q185" s="7">
        <f t="shared" si="26"/>
        <v>0</v>
      </c>
      <c r="R185" s="7">
        <f t="shared" si="26"/>
        <v>0</v>
      </c>
      <c r="S185" s="7">
        <f t="shared" si="26"/>
        <v>0</v>
      </c>
      <c r="T185" s="123">
        <f t="shared" si="26"/>
        <v>0</v>
      </c>
      <c r="U185" s="311">
        <v>0</v>
      </c>
      <c r="V185" s="314">
        <v>31000</v>
      </c>
      <c r="W185" s="3">
        <f>M185+U185</f>
        <v>0</v>
      </c>
      <c r="X185" s="251">
        <f>W185/$G$184</f>
        <v>0</v>
      </c>
      <c r="Y185" s="412"/>
    </row>
    <row r="186" spans="1:25" ht="13.5" thickBot="1">
      <c r="A186" s="407"/>
      <c r="B186" s="407"/>
      <c r="C186" s="407"/>
      <c r="D186" s="410"/>
      <c r="E186" s="401"/>
      <c r="F186" s="417"/>
      <c r="G186" s="419"/>
      <c r="H186" s="253" t="s">
        <v>19</v>
      </c>
      <c r="I186" s="254">
        <f>I178+I180+I182+I184</f>
        <v>0</v>
      </c>
      <c r="J186" s="10">
        <f>J178+J180+J182+J184</f>
        <v>0</v>
      </c>
      <c r="K186" s="255">
        <f aca="true" t="shared" si="27" ref="K186:K220">I186+J186</f>
        <v>0</v>
      </c>
      <c r="L186" s="124">
        <f>L178+L180+L182+L184</f>
        <v>0</v>
      </c>
      <c r="M186" s="256">
        <f>K186+L186</f>
        <v>0</v>
      </c>
      <c r="N186" s="10">
        <f t="shared" si="26"/>
        <v>0</v>
      </c>
      <c r="O186" s="10">
        <f t="shared" si="26"/>
        <v>0</v>
      </c>
      <c r="P186" s="10">
        <f t="shared" si="26"/>
        <v>0</v>
      </c>
      <c r="Q186" s="10">
        <f t="shared" si="26"/>
        <v>0</v>
      </c>
      <c r="R186" s="10">
        <f t="shared" si="26"/>
        <v>0</v>
      </c>
      <c r="S186" s="10">
        <f t="shared" si="26"/>
        <v>0</v>
      </c>
      <c r="T186" s="124">
        <f t="shared" si="26"/>
        <v>0</v>
      </c>
      <c r="U186" s="312">
        <v>0</v>
      </c>
      <c r="V186" s="315">
        <v>0</v>
      </c>
      <c r="W186" s="76">
        <f>M186+U186</f>
        <v>0</v>
      </c>
      <c r="X186" s="258">
        <f>W186/$G$184</f>
        <v>0</v>
      </c>
      <c r="Y186" s="413"/>
    </row>
    <row r="187" spans="1:25" ht="12.75" customHeight="1">
      <c r="A187" s="405">
        <f>A177+1</f>
        <v>19</v>
      </c>
      <c r="B187" s="405">
        <v>710</v>
      </c>
      <c r="C187" s="405">
        <v>71095</v>
      </c>
      <c r="D187" s="420" t="s">
        <v>186</v>
      </c>
      <c r="E187" s="399" t="s">
        <v>187</v>
      </c>
      <c r="F187" s="402">
        <v>2012</v>
      </c>
      <c r="G187" s="1" t="s">
        <v>9</v>
      </c>
      <c r="H187" s="241" t="s">
        <v>10</v>
      </c>
      <c r="I187" s="243"/>
      <c r="J187" s="243"/>
      <c r="K187" s="243">
        <f t="shared" si="27"/>
        <v>0</v>
      </c>
      <c r="L187" s="243">
        <v>7196</v>
      </c>
      <c r="M187" s="243">
        <f>K187+L187</f>
        <v>7196</v>
      </c>
      <c r="N187" s="243">
        <v>36556</v>
      </c>
      <c r="O187" s="243">
        <v>22154</v>
      </c>
      <c r="P187" s="243"/>
      <c r="Q187" s="243"/>
      <c r="R187" s="243"/>
      <c r="S187" s="243"/>
      <c r="T187" s="2"/>
      <c r="U187" s="307">
        <v>18697</v>
      </c>
      <c r="V187" s="308">
        <v>36556</v>
      </c>
      <c r="W187" s="243">
        <f>M187+U187</f>
        <v>25893</v>
      </c>
      <c r="X187" s="260">
        <f>W187/$G$194</f>
        <v>0.05893224146446381</v>
      </c>
      <c r="Y187" s="411">
        <f>N195+O195+P195+Q195+R195+S195+N196+O196+P196+Q196+R196+T195+T196+S196</f>
        <v>391396</v>
      </c>
    </row>
    <row r="188" spans="1:25" ht="12.75">
      <c r="A188" s="406"/>
      <c r="B188" s="406"/>
      <c r="C188" s="406"/>
      <c r="D188" s="421"/>
      <c r="E188" s="400"/>
      <c r="F188" s="403"/>
      <c r="G188" s="414">
        <f>M195+N195+O195</f>
        <v>439369</v>
      </c>
      <c r="H188" s="246" t="s">
        <v>11</v>
      </c>
      <c r="I188" s="247"/>
      <c r="J188" s="3"/>
      <c r="K188" s="249">
        <f t="shared" si="27"/>
        <v>0</v>
      </c>
      <c r="L188" s="3"/>
      <c r="M188" s="3"/>
      <c r="N188" s="3"/>
      <c r="O188" s="3"/>
      <c r="P188" s="3"/>
      <c r="Q188" s="3"/>
      <c r="R188" s="3"/>
      <c r="S188" s="3"/>
      <c r="T188" s="4"/>
      <c r="U188" s="309"/>
      <c r="V188" s="310"/>
      <c r="W188" s="3"/>
      <c r="X188" s="251"/>
      <c r="Y188" s="412"/>
    </row>
    <row r="189" spans="1:25" ht="14.25" customHeight="1">
      <c r="A189" s="406"/>
      <c r="B189" s="406"/>
      <c r="C189" s="406"/>
      <c r="D189" s="421"/>
      <c r="E189" s="400"/>
      <c r="F189" s="403"/>
      <c r="G189" s="415"/>
      <c r="H189" s="246" t="s">
        <v>12</v>
      </c>
      <c r="I189" s="247"/>
      <c r="J189" s="3"/>
      <c r="K189" s="249">
        <f t="shared" si="27"/>
        <v>0</v>
      </c>
      <c r="L189" s="3"/>
      <c r="M189" s="3"/>
      <c r="N189" s="3"/>
      <c r="O189" s="3"/>
      <c r="P189" s="3"/>
      <c r="Q189" s="3"/>
      <c r="R189" s="3"/>
      <c r="S189" s="3"/>
      <c r="T189" s="4"/>
      <c r="U189" s="309"/>
      <c r="V189" s="310"/>
      <c r="W189" s="3"/>
      <c r="X189" s="251"/>
      <c r="Y189" s="412"/>
    </row>
    <row r="190" spans="1:25" ht="12.75">
      <c r="A190" s="406"/>
      <c r="B190" s="406"/>
      <c r="C190" s="406"/>
      <c r="D190" s="421"/>
      <c r="E190" s="400"/>
      <c r="F190" s="403"/>
      <c r="G190" s="5" t="s">
        <v>13</v>
      </c>
      <c r="H190" s="246" t="s">
        <v>14</v>
      </c>
      <c r="I190" s="247"/>
      <c r="J190" s="3"/>
      <c r="K190" s="249">
        <f t="shared" si="27"/>
        <v>0</v>
      </c>
      <c r="L190" s="3"/>
      <c r="M190" s="3"/>
      <c r="N190" s="3"/>
      <c r="O190" s="3"/>
      <c r="P190" s="3"/>
      <c r="Q190" s="3"/>
      <c r="R190" s="3"/>
      <c r="S190" s="3"/>
      <c r="T190" s="4"/>
      <c r="U190" s="309"/>
      <c r="V190" s="310"/>
      <c r="W190" s="3"/>
      <c r="X190" s="251"/>
      <c r="Y190" s="412"/>
    </row>
    <row r="191" spans="1:25" ht="12.75">
      <c r="A191" s="406"/>
      <c r="B191" s="406"/>
      <c r="C191" s="406"/>
      <c r="D191" s="421"/>
      <c r="E191" s="400"/>
      <c r="F191" s="404"/>
      <c r="G191" s="414">
        <f>SUM(K196:T196)</f>
        <v>0</v>
      </c>
      <c r="H191" s="246" t="s">
        <v>162</v>
      </c>
      <c r="I191" s="3"/>
      <c r="J191" s="3"/>
      <c r="K191" s="249">
        <f t="shared" si="27"/>
        <v>0</v>
      </c>
      <c r="L191" s="3">
        <v>40777</v>
      </c>
      <c r="M191" s="3">
        <f>K191+L191</f>
        <v>40777</v>
      </c>
      <c r="N191" s="3">
        <v>207149</v>
      </c>
      <c r="O191" s="3">
        <v>125537</v>
      </c>
      <c r="P191" s="3"/>
      <c r="Q191" s="3"/>
      <c r="R191" s="3"/>
      <c r="S191" s="3"/>
      <c r="T191" s="4"/>
      <c r="U191" s="309">
        <v>105950</v>
      </c>
      <c r="V191" s="310">
        <v>207149</v>
      </c>
      <c r="W191" s="3">
        <f>M191+U191</f>
        <v>146727</v>
      </c>
      <c r="X191" s="251">
        <f>W191/$G$194</f>
        <v>0.33394936829862826</v>
      </c>
      <c r="Y191" s="412"/>
    </row>
    <row r="192" spans="1:25" ht="12.75">
      <c r="A192" s="406"/>
      <c r="B192" s="406"/>
      <c r="C192" s="406"/>
      <c r="D192" s="421"/>
      <c r="E192" s="400"/>
      <c r="F192" s="416">
        <v>2014</v>
      </c>
      <c r="G192" s="415"/>
      <c r="H192" s="246" t="s">
        <v>163</v>
      </c>
      <c r="I192" s="247"/>
      <c r="J192" s="3"/>
      <c r="K192" s="249">
        <f t="shared" si="27"/>
        <v>0</v>
      </c>
      <c r="L192" s="3"/>
      <c r="M192" s="3"/>
      <c r="N192" s="3"/>
      <c r="O192" s="3"/>
      <c r="P192" s="3"/>
      <c r="Q192" s="3"/>
      <c r="R192" s="3"/>
      <c r="S192" s="3"/>
      <c r="T192" s="4"/>
      <c r="U192" s="309"/>
      <c r="V192" s="310"/>
      <c r="W192" s="3"/>
      <c r="X192" s="251"/>
      <c r="Y192" s="412"/>
    </row>
    <row r="193" spans="1:25" ht="14.25" customHeight="1">
      <c r="A193" s="406"/>
      <c r="B193" s="406"/>
      <c r="C193" s="406"/>
      <c r="D193" s="421"/>
      <c r="E193" s="400"/>
      <c r="F193" s="403"/>
      <c r="G193" s="5" t="s">
        <v>17</v>
      </c>
      <c r="H193" s="246" t="s">
        <v>15</v>
      </c>
      <c r="I193" s="247"/>
      <c r="J193" s="3"/>
      <c r="K193" s="249">
        <f t="shared" si="27"/>
        <v>0</v>
      </c>
      <c r="L193" s="3"/>
      <c r="M193" s="3"/>
      <c r="N193" s="3"/>
      <c r="O193" s="3"/>
      <c r="P193" s="3"/>
      <c r="Q193" s="3"/>
      <c r="R193" s="3"/>
      <c r="S193" s="3"/>
      <c r="T193" s="4"/>
      <c r="U193" s="309"/>
      <c r="V193" s="310"/>
      <c r="W193" s="3"/>
      <c r="X193" s="251"/>
      <c r="Y193" s="412"/>
    </row>
    <row r="194" spans="1:25" ht="12.75">
      <c r="A194" s="406"/>
      <c r="B194" s="406"/>
      <c r="C194" s="406"/>
      <c r="D194" s="421"/>
      <c r="E194" s="400"/>
      <c r="F194" s="403"/>
      <c r="G194" s="414">
        <f>G188+G191</f>
        <v>439369</v>
      </c>
      <c r="H194" s="246" t="s">
        <v>16</v>
      </c>
      <c r="I194" s="247"/>
      <c r="J194" s="3"/>
      <c r="K194" s="249">
        <f t="shared" si="27"/>
        <v>0</v>
      </c>
      <c r="L194" s="3"/>
      <c r="M194" s="3"/>
      <c r="N194" s="3"/>
      <c r="O194" s="3"/>
      <c r="P194" s="3"/>
      <c r="Q194" s="3"/>
      <c r="R194" s="3"/>
      <c r="S194" s="3"/>
      <c r="T194" s="4"/>
      <c r="U194" s="309"/>
      <c r="V194" s="310"/>
      <c r="W194" s="3"/>
      <c r="X194" s="251"/>
      <c r="Y194" s="412"/>
    </row>
    <row r="195" spans="1:25" ht="13.5" customHeight="1">
      <c r="A195" s="406"/>
      <c r="B195" s="406"/>
      <c r="C195" s="406"/>
      <c r="D195" s="421"/>
      <c r="E195" s="400"/>
      <c r="F195" s="403"/>
      <c r="G195" s="418"/>
      <c r="H195" s="246" t="s">
        <v>18</v>
      </c>
      <c r="I195" s="252">
        <f>I187+I189+I191+I193</f>
        <v>0</v>
      </c>
      <c r="J195" s="7">
        <f>J187+J189+J191+J193</f>
        <v>0</v>
      </c>
      <c r="K195" s="249">
        <f t="shared" si="27"/>
        <v>0</v>
      </c>
      <c r="L195" s="7">
        <f>L187+L189+L191+L193</f>
        <v>47973</v>
      </c>
      <c r="M195" s="3">
        <f>K195+L195</f>
        <v>47973</v>
      </c>
      <c r="N195" s="7">
        <f aca="true" t="shared" si="28" ref="N195:U195">N187+N189+N191+N193</f>
        <v>243705</v>
      </c>
      <c r="O195" s="7">
        <f t="shared" si="28"/>
        <v>147691</v>
      </c>
      <c r="P195" s="7">
        <f t="shared" si="28"/>
        <v>0</v>
      </c>
      <c r="Q195" s="7">
        <f t="shared" si="28"/>
        <v>0</v>
      </c>
      <c r="R195" s="7">
        <f t="shared" si="28"/>
        <v>0</v>
      </c>
      <c r="S195" s="7">
        <f t="shared" si="28"/>
        <v>0</v>
      </c>
      <c r="T195" s="123">
        <f t="shared" si="28"/>
        <v>0</v>
      </c>
      <c r="U195" s="311">
        <f t="shared" si="28"/>
        <v>124647</v>
      </c>
      <c r="V195" s="314">
        <v>243705</v>
      </c>
      <c r="W195" s="3">
        <f>M195+U195</f>
        <v>172620</v>
      </c>
      <c r="X195" s="251">
        <f>W195/$G$194</f>
        <v>0.39288160976309205</v>
      </c>
      <c r="Y195" s="412"/>
    </row>
    <row r="196" spans="1:25" ht="13.5" thickBot="1">
      <c r="A196" s="407"/>
      <c r="B196" s="407"/>
      <c r="C196" s="407"/>
      <c r="D196" s="422"/>
      <c r="E196" s="401"/>
      <c r="F196" s="417"/>
      <c r="G196" s="419"/>
      <c r="H196" s="253" t="s">
        <v>19</v>
      </c>
      <c r="I196" s="254">
        <f>I188+I190+I192+I194</f>
        <v>0</v>
      </c>
      <c r="J196" s="10">
        <f>J188+J190+J192+J194</f>
        <v>0</v>
      </c>
      <c r="K196" s="255">
        <f t="shared" si="27"/>
        <v>0</v>
      </c>
      <c r="L196" s="10">
        <f>L188+L190+L192+L194</f>
        <v>0</v>
      </c>
      <c r="M196" s="76">
        <f>K196+L196</f>
        <v>0</v>
      </c>
      <c r="N196" s="10">
        <f aca="true" t="shared" si="29" ref="N196:T196">N188+N190+N192+N194</f>
        <v>0</v>
      </c>
      <c r="O196" s="10">
        <f t="shared" si="29"/>
        <v>0</v>
      </c>
      <c r="P196" s="10">
        <f t="shared" si="29"/>
        <v>0</v>
      </c>
      <c r="Q196" s="10">
        <f t="shared" si="29"/>
        <v>0</v>
      </c>
      <c r="R196" s="10">
        <f t="shared" si="29"/>
        <v>0</v>
      </c>
      <c r="S196" s="10">
        <f t="shared" si="29"/>
        <v>0</v>
      </c>
      <c r="T196" s="124">
        <f t="shared" si="29"/>
        <v>0</v>
      </c>
      <c r="U196" s="312">
        <v>0</v>
      </c>
      <c r="V196" s="315">
        <v>0</v>
      </c>
      <c r="W196" s="76">
        <f>M196+U196</f>
        <v>0</v>
      </c>
      <c r="X196" s="258">
        <f>W196/$G$194</f>
        <v>0</v>
      </c>
      <c r="Y196" s="413"/>
    </row>
    <row r="197" spans="1:25" ht="12.75" customHeight="1">
      <c r="A197" s="405">
        <f>A187+1</f>
        <v>20</v>
      </c>
      <c r="B197" s="405">
        <v>750</v>
      </c>
      <c r="C197" s="405">
        <v>75095</v>
      </c>
      <c r="D197" s="420" t="s">
        <v>188</v>
      </c>
      <c r="E197" s="399" t="s">
        <v>189</v>
      </c>
      <c r="F197" s="402">
        <v>2012</v>
      </c>
      <c r="G197" s="1" t="s">
        <v>9</v>
      </c>
      <c r="H197" s="241" t="s">
        <v>10</v>
      </c>
      <c r="I197" s="243"/>
      <c r="J197" s="243"/>
      <c r="K197" s="243">
        <f t="shared" si="27"/>
        <v>0</v>
      </c>
      <c r="L197" s="271">
        <v>0</v>
      </c>
      <c r="M197" s="244"/>
      <c r="N197" s="243">
        <v>18093</v>
      </c>
      <c r="O197" s="243">
        <v>7016</v>
      </c>
      <c r="P197" s="243"/>
      <c r="Q197" s="243"/>
      <c r="R197" s="243"/>
      <c r="S197" s="243"/>
      <c r="T197" s="2"/>
      <c r="U197" s="307">
        <v>7377</v>
      </c>
      <c r="V197" s="308">
        <v>18093</v>
      </c>
      <c r="W197" s="243">
        <f>M197+U197</f>
        <v>7377</v>
      </c>
      <c r="X197" s="260">
        <f>W197/$G$204</f>
        <v>0.029383648399971322</v>
      </c>
      <c r="Y197" s="411">
        <f>N205+O205+P205+Q205+R205+S205+N206+O206+P206+Q206+R206+T205+T206+S206</f>
        <v>251058</v>
      </c>
    </row>
    <row r="198" spans="1:25" ht="12.75">
      <c r="A198" s="406"/>
      <c r="B198" s="406"/>
      <c r="C198" s="406"/>
      <c r="D198" s="421"/>
      <c r="E198" s="400"/>
      <c r="F198" s="403"/>
      <c r="G198" s="414">
        <f>N205+O205</f>
        <v>251058</v>
      </c>
      <c r="H198" s="246" t="s">
        <v>11</v>
      </c>
      <c r="I198" s="247"/>
      <c r="J198" s="3"/>
      <c r="K198" s="249">
        <f t="shared" si="27"/>
        <v>0</v>
      </c>
      <c r="L198" s="272"/>
      <c r="M198" s="250"/>
      <c r="N198" s="3"/>
      <c r="O198" s="3"/>
      <c r="P198" s="3"/>
      <c r="Q198" s="3"/>
      <c r="R198" s="3"/>
      <c r="S198" s="3"/>
      <c r="T198" s="4"/>
      <c r="U198" s="309"/>
      <c r="V198" s="310"/>
      <c r="W198" s="3"/>
      <c r="X198" s="251"/>
      <c r="Y198" s="412"/>
    </row>
    <row r="199" spans="1:25" ht="12.75">
      <c r="A199" s="406"/>
      <c r="B199" s="406"/>
      <c r="C199" s="406"/>
      <c r="D199" s="421"/>
      <c r="E199" s="400"/>
      <c r="F199" s="403"/>
      <c r="G199" s="415"/>
      <c r="H199" s="246" t="s">
        <v>12</v>
      </c>
      <c r="I199" s="247"/>
      <c r="J199" s="3"/>
      <c r="K199" s="249">
        <f t="shared" si="27"/>
        <v>0</v>
      </c>
      <c r="L199" s="272"/>
      <c r="M199" s="250"/>
      <c r="N199" s="3"/>
      <c r="O199" s="3"/>
      <c r="P199" s="3"/>
      <c r="Q199" s="3"/>
      <c r="R199" s="3"/>
      <c r="S199" s="3"/>
      <c r="T199" s="4"/>
      <c r="U199" s="309"/>
      <c r="V199" s="310"/>
      <c r="W199" s="3"/>
      <c r="X199" s="251"/>
      <c r="Y199" s="412"/>
    </row>
    <row r="200" spans="1:25" ht="12.75">
      <c r="A200" s="406"/>
      <c r="B200" s="406"/>
      <c r="C200" s="406"/>
      <c r="D200" s="421"/>
      <c r="E200" s="400"/>
      <c r="F200" s="403"/>
      <c r="G200" s="5" t="s">
        <v>13</v>
      </c>
      <c r="H200" s="246" t="s">
        <v>14</v>
      </c>
      <c r="I200" s="247"/>
      <c r="J200" s="3"/>
      <c r="K200" s="249">
        <f t="shared" si="27"/>
        <v>0</v>
      </c>
      <c r="L200" s="272"/>
      <c r="M200" s="250"/>
      <c r="N200" s="3"/>
      <c r="O200" s="3"/>
      <c r="P200" s="3"/>
      <c r="Q200" s="3"/>
      <c r="R200" s="3"/>
      <c r="S200" s="3"/>
      <c r="T200" s="4"/>
      <c r="U200" s="309"/>
      <c r="V200" s="310"/>
      <c r="W200" s="3"/>
      <c r="X200" s="251"/>
      <c r="Y200" s="412"/>
    </row>
    <row r="201" spans="1:25" ht="12.75">
      <c r="A201" s="406"/>
      <c r="B201" s="406"/>
      <c r="C201" s="406"/>
      <c r="D201" s="421"/>
      <c r="E201" s="400"/>
      <c r="F201" s="404"/>
      <c r="G201" s="414">
        <f>SUM(K206:T206)</f>
        <v>0</v>
      </c>
      <c r="H201" s="246" t="s">
        <v>162</v>
      </c>
      <c r="I201" s="3"/>
      <c r="J201" s="3"/>
      <c r="K201" s="249">
        <f t="shared" si="27"/>
        <v>0</v>
      </c>
      <c r="L201" s="272">
        <v>0</v>
      </c>
      <c r="M201" s="250"/>
      <c r="N201" s="3">
        <v>162805</v>
      </c>
      <c r="O201" s="3">
        <v>63144</v>
      </c>
      <c r="P201" s="3"/>
      <c r="Q201" s="3"/>
      <c r="R201" s="3"/>
      <c r="S201" s="3"/>
      <c r="T201" s="4"/>
      <c r="U201" s="309">
        <v>66391</v>
      </c>
      <c r="V201" s="310">
        <v>162805</v>
      </c>
      <c r="W201" s="3">
        <f>M201+U201</f>
        <v>66391</v>
      </c>
      <c r="X201" s="251">
        <f>W201/$G$204</f>
        <v>0.2644448693130671</v>
      </c>
      <c r="Y201" s="412"/>
    </row>
    <row r="202" spans="1:25" ht="12.75">
      <c r="A202" s="406"/>
      <c r="B202" s="406"/>
      <c r="C202" s="406"/>
      <c r="D202" s="421"/>
      <c r="E202" s="400"/>
      <c r="F202" s="416">
        <v>2014</v>
      </c>
      <c r="G202" s="415"/>
      <c r="H202" s="246" t="s">
        <v>163</v>
      </c>
      <c r="I202" s="247"/>
      <c r="J202" s="3"/>
      <c r="K202" s="249">
        <f t="shared" si="27"/>
        <v>0</v>
      </c>
      <c r="L202" s="272"/>
      <c r="M202" s="250"/>
      <c r="N202" s="3"/>
      <c r="O202" s="3"/>
      <c r="P202" s="3"/>
      <c r="Q202" s="3"/>
      <c r="R202" s="3"/>
      <c r="S202" s="3"/>
      <c r="T202" s="4"/>
      <c r="U202" s="309"/>
      <c r="V202" s="310"/>
      <c r="W202" s="3"/>
      <c r="X202" s="251"/>
      <c r="Y202" s="412"/>
    </row>
    <row r="203" spans="1:25" ht="12.75">
      <c r="A203" s="406"/>
      <c r="B203" s="406"/>
      <c r="C203" s="406"/>
      <c r="D203" s="421"/>
      <c r="E203" s="400"/>
      <c r="F203" s="403"/>
      <c r="G203" s="5" t="s">
        <v>17</v>
      </c>
      <c r="H203" s="246" t="s">
        <v>15</v>
      </c>
      <c r="I203" s="247"/>
      <c r="J203" s="3"/>
      <c r="K203" s="249">
        <f t="shared" si="27"/>
        <v>0</v>
      </c>
      <c r="L203" s="272"/>
      <c r="M203" s="250"/>
      <c r="N203" s="3"/>
      <c r="O203" s="3"/>
      <c r="P203" s="3"/>
      <c r="Q203" s="3"/>
      <c r="R203" s="3"/>
      <c r="S203" s="3"/>
      <c r="T203" s="4"/>
      <c r="U203" s="309"/>
      <c r="V203" s="310"/>
      <c r="W203" s="3"/>
      <c r="X203" s="251"/>
      <c r="Y203" s="412"/>
    </row>
    <row r="204" spans="1:25" ht="12.75">
      <c r="A204" s="406"/>
      <c r="B204" s="406"/>
      <c r="C204" s="406"/>
      <c r="D204" s="421"/>
      <c r="E204" s="400"/>
      <c r="F204" s="403"/>
      <c r="G204" s="414">
        <f>G198+G201</f>
        <v>251058</v>
      </c>
      <c r="H204" s="246" t="s">
        <v>16</v>
      </c>
      <c r="I204" s="247"/>
      <c r="J204" s="3"/>
      <c r="K204" s="249">
        <f t="shared" si="27"/>
        <v>0</v>
      </c>
      <c r="L204" s="272"/>
      <c r="M204" s="250"/>
      <c r="N204" s="3"/>
      <c r="O204" s="3"/>
      <c r="P204" s="3"/>
      <c r="Q204" s="3"/>
      <c r="R204" s="3"/>
      <c r="S204" s="3"/>
      <c r="T204" s="4"/>
      <c r="U204" s="309"/>
      <c r="V204" s="310"/>
      <c r="W204" s="3"/>
      <c r="X204" s="251"/>
      <c r="Y204" s="412"/>
    </row>
    <row r="205" spans="1:25" ht="12.75">
      <c r="A205" s="406"/>
      <c r="B205" s="406"/>
      <c r="C205" s="406"/>
      <c r="D205" s="421"/>
      <c r="E205" s="400"/>
      <c r="F205" s="403"/>
      <c r="G205" s="418"/>
      <c r="H205" s="246" t="s">
        <v>18</v>
      </c>
      <c r="I205" s="252">
        <f>I197+I199+I201+I203</f>
        <v>0</v>
      </c>
      <c r="J205" s="7">
        <f>J197+J199+J201+J203</f>
        <v>0</v>
      </c>
      <c r="K205" s="249">
        <f t="shared" si="27"/>
        <v>0</v>
      </c>
      <c r="L205" s="273">
        <f>L197+L199+L201+L203</f>
        <v>0</v>
      </c>
      <c r="M205" s="250">
        <f>K205+L205</f>
        <v>0</v>
      </c>
      <c r="N205" s="7">
        <f aca="true" t="shared" si="30" ref="N205:U206">N197+N199+N201+N203</f>
        <v>180898</v>
      </c>
      <c r="O205" s="7">
        <f t="shared" si="30"/>
        <v>70160</v>
      </c>
      <c r="P205" s="7">
        <f t="shared" si="30"/>
        <v>0</v>
      </c>
      <c r="Q205" s="7">
        <f t="shared" si="30"/>
        <v>0</v>
      </c>
      <c r="R205" s="7">
        <f t="shared" si="30"/>
        <v>0</v>
      </c>
      <c r="S205" s="7">
        <f t="shared" si="30"/>
        <v>0</v>
      </c>
      <c r="T205" s="123">
        <f t="shared" si="30"/>
        <v>0</v>
      </c>
      <c r="U205" s="311">
        <f t="shared" si="30"/>
        <v>73768</v>
      </c>
      <c r="V205" s="314">
        <v>180898</v>
      </c>
      <c r="W205" s="3">
        <f>M205+U205</f>
        <v>73768</v>
      </c>
      <c r="X205" s="251">
        <f>W205/$G$204</f>
        <v>0.2938285177130384</v>
      </c>
      <c r="Y205" s="412"/>
    </row>
    <row r="206" spans="1:25" ht="13.5" thickBot="1">
      <c r="A206" s="407"/>
      <c r="B206" s="407"/>
      <c r="C206" s="407"/>
      <c r="D206" s="422"/>
      <c r="E206" s="401"/>
      <c r="F206" s="417"/>
      <c r="G206" s="419"/>
      <c r="H206" s="253" t="s">
        <v>19</v>
      </c>
      <c r="I206" s="254">
        <f>I198+I200+I202+I204</f>
        <v>0</v>
      </c>
      <c r="J206" s="10">
        <f>J198+J200+J202+J204</f>
        <v>0</v>
      </c>
      <c r="K206" s="255">
        <f t="shared" si="27"/>
        <v>0</v>
      </c>
      <c r="L206" s="274">
        <f>L198+L200+L202+L204</f>
        <v>0</v>
      </c>
      <c r="M206" s="256">
        <f>K206+L206</f>
        <v>0</v>
      </c>
      <c r="N206" s="10">
        <f t="shared" si="30"/>
        <v>0</v>
      </c>
      <c r="O206" s="10">
        <f t="shared" si="30"/>
        <v>0</v>
      </c>
      <c r="P206" s="10">
        <f t="shared" si="30"/>
        <v>0</v>
      </c>
      <c r="Q206" s="10">
        <f t="shared" si="30"/>
        <v>0</v>
      </c>
      <c r="R206" s="10">
        <f t="shared" si="30"/>
        <v>0</v>
      </c>
      <c r="S206" s="10">
        <f t="shared" si="30"/>
        <v>0</v>
      </c>
      <c r="T206" s="124">
        <f t="shared" si="30"/>
        <v>0</v>
      </c>
      <c r="U206" s="312">
        <f t="shared" si="30"/>
        <v>0</v>
      </c>
      <c r="V206" s="315">
        <f>N206-U206</f>
        <v>0</v>
      </c>
      <c r="W206" s="76">
        <f>M206+U206</f>
        <v>0</v>
      </c>
      <c r="X206" s="258">
        <f>W206/$G$204</f>
        <v>0</v>
      </c>
      <c r="Y206" s="413"/>
    </row>
    <row r="207" spans="1:25" ht="12.75" customHeight="1">
      <c r="A207" s="405">
        <f>A197+1</f>
        <v>21</v>
      </c>
      <c r="B207" s="448">
        <v>750</v>
      </c>
      <c r="C207" s="448">
        <v>75023</v>
      </c>
      <c r="D207" s="408" t="s">
        <v>190</v>
      </c>
      <c r="E207" s="399" t="s">
        <v>191</v>
      </c>
      <c r="F207" s="402">
        <v>2010</v>
      </c>
      <c r="G207" s="1" t="s">
        <v>9</v>
      </c>
      <c r="H207" s="241" t="s">
        <v>10</v>
      </c>
      <c r="I207" s="259">
        <f>43843+2062</f>
        <v>45905</v>
      </c>
      <c r="J207" s="243">
        <f>247277+14884</f>
        <v>262161</v>
      </c>
      <c r="K207" s="243">
        <f t="shared" si="27"/>
        <v>308066</v>
      </c>
      <c r="L207" s="243">
        <v>1410281</v>
      </c>
      <c r="M207" s="243">
        <f>K207+L207</f>
        <v>1718347</v>
      </c>
      <c r="N207" s="243">
        <f>487169+4190</f>
        <v>491359</v>
      </c>
      <c r="O207" s="243"/>
      <c r="P207" s="243"/>
      <c r="Q207" s="243"/>
      <c r="R207" s="243"/>
      <c r="S207" s="243"/>
      <c r="T207" s="2"/>
      <c r="U207" s="307">
        <v>0</v>
      </c>
      <c r="V207" s="308">
        <v>491359</v>
      </c>
      <c r="W207" s="243">
        <f>M207+U207</f>
        <v>1718347</v>
      </c>
      <c r="X207" s="260">
        <f>W207/$G$214</f>
        <v>0.0810442179081363</v>
      </c>
      <c r="Y207" s="411">
        <f>N215+O215+P215+Q215+R215+S215+N216+O216+P216+Q216+R216+T215+T216+S216</f>
        <v>6249111</v>
      </c>
    </row>
    <row r="208" spans="1:25" ht="12.75">
      <c r="A208" s="406"/>
      <c r="B208" s="449"/>
      <c r="C208" s="449"/>
      <c r="D208" s="409"/>
      <c r="E208" s="400"/>
      <c r="F208" s="403"/>
      <c r="G208" s="414">
        <f>M215+N215</f>
        <v>8775314</v>
      </c>
      <c r="H208" s="246" t="s">
        <v>11</v>
      </c>
      <c r="I208" s="261"/>
      <c r="J208" s="3">
        <f>246900+90203+21125</f>
        <v>358228</v>
      </c>
      <c r="K208" s="249">
        <f t="shared" si="27"/>
        <v>358228</v>
      </c>
      <c r="L208" s="3">
        <v>1674513</v>
      </c>
      <c r="M208" s="3">
        <f>K208+L208</f>
        <v>2032741</v>
      </c>
      <c r="N208" s="3">
        <v>1074053</v>
      </c>
      <c r="O208" s="3"/>
      <c r="P208" s="3"/>
      <c r="Q208" s="3"/>
      <c r="R208" s="3"/>
      <c r="S208" s="3"/>
      <c r="T208" s="4"/>
      <c r="U208" s="309">
        <v>0</v>
      </c>
      <c r="V208" s="310">
        <v>1074053</v>
      </c>
      <c r="W208" s="3">
        <f>M208+U208</f>
        <v>2032741</v>
      </c>
      <c r="X208" s="251">
        <f>W208/$G$214</f>
        <v>0.09587231482046576</v>
      </c>
      <c r="Y208" s="412"/>
    </row>
    <row r="209" spans="1:25" ht="12.75">
      <c r="A209" s="406"/>
      <c r="B209" s="449"/>
      <c r="C209" s="449"/>
      <c r="D209" s="409"/>
      <c r="E209" s="400"/>
      <c r="F209" s="403"/>
      <c r="G209" s="415"/>
      <c r="H209" s="246" t="s">
        <v>12</v>
      </c>
      <c r="I209" s="261"/>
      <c r="J209" s="3"/>
      <c r="K209" s="249">
        <f t="shared" si="27"/>
        <v>0</v>
      </c>
      <c r="L209" s="3"/>
      <c r="M209" s="3"/>
      <c r="N209" s="3"/>
      <c r="O209" s="3"/>
      <c r="P209" s="3"/>
      <c r="Q209" s="3"/>
      <c r="R209" s="3"/>
      <c r="S209" s="3"/>
      <c r="T209" s="4"/>
      <c r="U209" s="309"/>
      <c r="V209" s="310"/>
      <c r="W209" s="3"/>
      <c r="X209" s="251"/>
      <c r="Y209" s="412"/>
    </row>
    <row r="210" spans="1:25" ht="12.75">
      <c r="A210" s="406"/>
      <c r="B210" s="449"/>
      <c r="C210" s="449"/>
      <c r="D210" s="409"/>
      <c r="E210" s="400"/>
      <c r="F210" s="403"/>
      <c r="G210" s="5" t="s">
        <v>13</v>
      </c>
      <c r="H210" s="246" t="s">
        <v>14</v>
      </c>
      <c r="I210" s="261"/>
      <c r="J210" s="3"/>
      <c r="K210" s="249">
        <f t="shared" si="27"/>
        <v>0</v>
      </c>
      <c r="L210" s="3"/>
      <c r="M210" s="3"/>
      <c r="N210" s="3"/>
      <c r="O210" s="3"/>
      <c r="P210" s="3"/>
      <c r="Q210" s="3"/>
      <c r="R210" s="3"/>
      <c r="S210" s="3"/>
      <c r="T210" s="4"/>
      <c r="U210" s="309"/>
      <c r="V210" s="310"/>
      <c r="W210" s="3"/>
      <c r="X210" s="251"/>
      <c r="Y210" s="412"/>
    </row>
    <row r="211" spans="1:25" ht="12.75">
      <c r="A211" s="406"/>
      <c r="B211" s="449"/>
      <c r="C211" s="449"/>
      <c r="D211" s="409"/>
      <c r="E211" s="400"/>
      <c r="F211" s="404"/>
      <c r="G211" s="414">
        <f>M216+N216</f>
        <v>12427272</v>
      </c>
      <c r="H211" s="246" t="s">
        <v>162</v>
      </c>
      <c r="I211" s="261">
        <v>131526</v>
      </c>
      <c r="J211" s="3">
        <v>741825</v>
      </c>
      <c r="K211" s="249">
        <f t="shared" si="27"/>
        <v>873351</v>
      </c>
      <c r="L211" s="275">
        <v>4230817</v>
      </c>
      <c r="M211" s="3">
        <f>K211+L211</f>
        <v>5104168</v>
      </c>
      <c r="N211" s="3">
        <v>1461440</v>
      </c>
      <c r="O211" s="3"/>
      <c r="P211" s="3"/>
      <c r="Q211" s="3"/>
      <c r="R211" s="3"/>
      <c r="S211" s="3"/>
      <c r="T211" s="4"/>
      <c r="U211" s="309">
        <v>0</v>
      </c>
      <c r="V211" s="310">
        <v>1461440</v>
      </c>
      <c r="W211" s="3">
        <f>M211+U211</f>
        <v>5104168</v>
      </c>
      <c r="X211" s="251">
        <f>W211/$G$214</f>
        <v>0.24073327659182706</v>
      </c>
      <c r="Y211" s="412"/>
    </row>
    <row r="212" spans="1:25" ht="12.75">
      <c r="A212" s="406"/>
      <c r="B212" s="449">
        <v>801</v>
      </c>
      <c r="C212" s="449">
        <v>80195</v>
      </c>
      <c r="D212" s="409"/>
      <c r="E212" s="400"/>
      <c r="F212" s="416">
        <v>2013</v>
      </c>
      <c r="G212" s="415"/>
      <c r="H212" s="246" t="s">
        <v>163</v>
      </c>
      <c r="I212" s="261"/>
      <c r="J212" s="3">
        <v>1074684</v>
      </c>
      <c r="K212" s="249">
        <f t="shared" si="27"/>
        <v>1074684</v>
      </c>
      <c r="L212" s="3">
        <v>5023535</v>
      </c>
      <c r="M212" s="3">
        <f>K212+L212</f>
        <v>6098219</v>
      </c>
      <c r="N212" s="3">
        <v>3222259</v>
      </c>
      <c r="O212" s="3"/>
      <c r="P212" s="3"/>
      <c r="Q212" s="3"/>
      <c r="R212" s="3"/>
      <c r="S212" s="3"/>
      <c r="T212" s="4"/>
      <c r="U212" s="309">
        <v>0</v>
      </c>
      <c r="V212" s="310">
        <v>3222259</v>
      </c>
      <c r="W212" s="3">
        <f>M212+U212</f>
        <v>6098219</v>
      </c>
      <c r="X212" s="251">
        <f>W212/$G$214</f>
        <v>0.28761675580516455</v>
      </c>
      <c r="Y212" s="412"/>
    </row>
    <row r="213" spans="1:25" ht="12.75">
      <c r="A213" s="406"/>
      <c r="B213" s="449"/>
      <c r="C213" s="449"/>
      <c r="D213" s="409"/>
      <c r="E213" s="400"/>
      <c r="F213" s="403"/>
      <c r="G213" s="5" t="s">
        <v>17</v>
      </c>
      <c r="H213" s="246" t="s">
        <v>15</v>
      </c>
      <c r="I213" s="261"/>
      <c r="J213" s="3"/>
      <c r="K213" s="249">
        <f t="shared" si="27"/>
        <v>0</v>
      </c>
      <c r="L213" s="3"/>
      <c r="M213" s="3"/>
      <c r="N213" s="3"/>
      <c r="O213" s="3"/>
      <c r="P213" s="3"/>
      <c r="Q213" s="3"/>
      <c r="R213" s="3"/>
      <c r="S213" s="3"/>
      <c r="T213" s="4"/>
      <c r="U213" s="309"/>
      <c r="V213" s="310"/>
      <c r="W213" s="3"/>
      <c r="X213" s="251"/>
      <c r="Y213" s="412"/>
    </row>
    <row r="214" spans="1:25" ht="12.75">
      <c r="A214" s="406"/>
      <c r="B214" s="449"/>
      <c r="C214" s="449"/>
      <c r="D214" s="409"/>
      <c r="E214" s="400"/>
      <c r="F214" s="403"/>
      <c r="G214" s="414">
        <f>G208+G211</f>
        <v>21202586</v>
      </c>
      <c r="H214" s="246" t="s">
        <v>16</v>
      </c>
      <c r="I214" s="261"/>
      <c r="J214" s="3"/>
      <c r="K214" s="249">
        <f t="shared" si="27"/>
        <v>0</v>
      </c>
      <c r="L214" s="3"/>
      <c r="M214" s="3"/>
      <c r="N214" s="3"/>
      <c r="O214" s="3"/>
      <c r="P214" s="3"/>
      <c r="Q214" s="3"/>
      <c r="R214" s="3"/>
      <c r="S214" s="3"/>
      <c r="T214" s="4"/>
      <c r="U214" s="309"/>
      <c r="V214" s="310"/>
      <c r="W214" s="3"/>
      <c r="X214" s="251"/>
      <c r="Y214" s="412"/>
    </row>
    <row r="215" spans="1:25" ht="12.75">
      <c r="A215" s="406"/>
      <c r="B215" s="449"/>
      <c r="C215" s="449"/>
      <c r="D215" s="409"/>
      <c r="E215" s="400"/>
      <c r="F215" s="403"/>
      <c r="G215" s="418"/>
      <c r="H215" s="246" t="s">
        <v>18</v>
      </c>
      <c r="I215" s="262">
        <f>I207+I209+I211+I213</f>
        <v>177431</v>
      </c>
      <c r="J215" s="7">
        <f>J207+J209+J211+J213</f>
        <v>1003986</v>
      </c>
      <c r="K215" s="249">
        <f t="shared" si="27"/>
        <v>1181417</v>
      </c>
      <c r="L215" s="7">
        <f>L207+L209+L211+L213</f>
        <v>5641098</v>
      </c>
      <c r="M215" s="3">
        <f>K215+L215</f>
        <v>6822515</v>
      </c>
      <c r="N215" s="7">
        <f>N207+N209+N211+N213</f>
        <v>1952799</v>
      </c>
      <c r="O215" s="7">
        <f>O207+O209+O211+O213</f>
        <v>0</v>
      </c>
      <c r="P215" s="7"/>
      <c r="Q215" s="7">
        <f aca="true" t="shared" si="31" ref="Q215:T216">Q207+Q209+Q211+Q213</f>
        <v>0</v>
      </c>
      <c r="R215" s="7">
        <f t="shared" si="31"/>
        <v>0</v>
      </c>
      <c r="S215" s="7">
        <f t="shared" si="31"/>
        <v>0</v>
      </c>
      <c r="T215" s="123">
        <f t="shared" si="31"/>
        <v>0</v>
      </c>
      <c r="U215" s="311">
        <v>0</v>
      </c>
      <c r="V215" s="314">
        <v>1952799</v>
      </c>
      <c r="W215" s="3">
        <f>M215+U215</f>
        <v>6822515</v>
      </c>
      <c r="X215" s="251">
        <f>W215/$G$214</f>
        <v>0.32177749449996335</v>
      </c>
      <c r="Y215" s="412"/>
    </row>
    <row r="216" spans="1:25" ht="13.5" thickBot="1">
      <c r="A216" s="407"/>
      <c r="B216" s="450"/>
      <c r="C216" s="450"/>
      <c r="D216" s="410"/>
      <c r="E216" s="401"/>
      <c r="F216" s="417"/>
      <c r="G216" s="419"/>
      <c r="H216" s="253" t="s">
        <v>19</v>
      </c>
      <c r="I216" s="263">
        <f>I208+I210+I212+I214</f>
        <v>0</v>
      </c>
      <c r="J216" s="10">
        <f>J208+J210+J212+J214</f>
        <v>1432912</v>
      </c>
      <c r="K216" s="255">
        <f t="shared" si="27"/>
        <v>1432912</v>
      </c>
      <c r="L216" s="10">
        <f>L208+L210+L212+L214</f>
        <v>6698048</v>
      </c>
      <c r="M216" s="76">
        <f>K216+L216</f>
        <v>8130960</v>
      </c>
      <c r="N216" s="10">
        <f>N208+N210+N212+N214</f>
        <v>4296312</v>
      </c>
      <c r="O216" s="10"/>
      <c r="P216" s="10">
        <f>P208+P210+P212+P214</f>
        <v>0</v>
      </c>
      <c r="Q216" s="10">
        <f t="shared" si="31"/>
        <v>0</v>
      </c>
      <c r="R216" s="10">
        <f t="shared" si="31"/>
        <v>0</v>
      </c>
      <c r="S216" s="10">
        <f t="shared" si="31"/>
        <v>0</v>
      </c>
      <c r="T216" s="124">
        <f t="shared" si="31"/>
        <v>0</v>
      </c>
      <c r="U216" s="312">
        <v>0</v>
      </c>
      <c r="V216" s="315">
        <v>4296312</v>
      </c>
      <c r="W216" s="76">
        <f>M216+U216</f>
        <v>8130960</v>
      </c>
      <c r="X216" s="258">
        <f>W216/$G$214</f>
        <v>0.3834890706256303</v>
      </c>
      <c r="Y216" s="413"/>
    </row>
    <row r="217" spans="1:25" ht="12.75" customHeight="1">
      <c r="A217" s="405">
        <f>A207+1</f>
        <v>22</v>
      </c>
      <c r="B217" s="405">
        <v>801</v>
      </c>
      <c r="C217" s="405">
        <v>80101</v>
      </c>
      <c r="D217" s="408" t="s">
        <v>192</v>
      </c>
      <c r="E217" s="399" t="s">
        <v>193</v>
      </c>
      <c r="F217" s="402">
        <v>2012</v>
      </c>
      <c r="G217" s="276" t="s">
        <v>9</v>
      </c>
      <c r="H217" s="241" t="s">
        <v>10</v>
      </c>
      <c r="I217" s="242"/>
      <c r="J217" s="243"/>
      <c r="K217" s="243">
        <f t="shared" si="27"/>
        <v>0</v>
      </c>
      <c r="L217" s="2"/>
      <c r="M217" s="244"/>
      <c r="N217" s="243"/>
      <c r="O217" s="243"/>
      <c r="P217" s="243"/>
      <c r="Q217" s="243"/>
      <c r="R217" s="243"/>
      <c r="S217" s="243"/>
      <c r="T217" s="2"/>
      <c r="U217" s="307"/>
      <c r="V217" s="308"/>
      <c r="W217" s="243"/>
      <c r="X217" s="260"/>
      <c r="Y217" s="411">
        <f>N225+O225+P225+Q225+R225+S225+N226+O226+P226+Q226+R226+T225+T226+S226</f>
        <v>66136</v>
      </c>
    </row>
    <row r="218" spans="1:25" ht="12.75">
      <c r="A218" s="406"/>
      <c r="B218" s="406"/>
      <c r="C218" s="406"/>
      <c r="D218" s="409"/>
      <c r="E218" s="400"/>
      <c r="F218" s="403"/>
      <c r="G218" s="414">
        <f>M225+N225+O225</f>
        <v>78866</v>
      </c>
      <c r="H218" s="246" t="s">
        <v>11</v>
      </c>
      <c r="I218" s="247"/>
      <c r="J218" s="3"/>
      <c r="K218" s="249">
        <f t="shared" si="27"/>
        <v>0</v>
      </c>
      <c r="L218" s="4"/>
      <c r="M218" s="250"/>
      <c r="N218" s="3"/>
      <c r="O218" s="3"/>
      <c r="P218" s="3"/>
      <c r="Q218" s="3"/>
      <c r="R218" s="3"/>
      <c r="S218" s="3"/>
      <c r="T218" s="4"/>
      <c r="U218" s="309"/>
      <c r="V218" s="310"/>
      <c r="W218" s="3"/>
      <c r="X218" s="251"/>
      <c r="Y218" s="412"/>
    </row>
    <row r="219" spans="1:25" ht="12.75">
      <c r="A219" s="406"/>
      <c r="B219" s="406"/>
      <c r="C219" s="406"/>
      <c r="D219" s="409"/>
      <c r="E219" s="400"/>
      <c r="F219" s="403"/>
      <c r="G219" s="415"/>
      <c r="H219" s="246" t="s">
        <v>12</v>
      </c>
      <c r="I219" s="247"/>
      <c r="J219" s="3"/>
      <c r="K219" s="249">
        <f t="shared" si="27"/>
        <v>0</v>
      </c>
      <c r="L219" s="4"/>
      <c r="M219" s="250"/>
      <c r="N219" s="3"/>
      <c r="O219" s="3"/>
      <c r="P219" s="3"/>
      <c r="Q219" s="3"/>
      <c r="R219" s="3"/>
      <c r="S219" s="3"/>
      <c r="T219" s="4"/>
      <c r="U219" s="309"/>
      <c r="V219" s="310"/>
      <c r="W219" s="3"/>
      <c r="X219" s="251"/>
      <c r="Y219" s="412"/>
    </row>
    <row r="220" spans="1:25" ht="12.75">
      <c r="A220" s="406"/>
      <c r="B220" s="406"/>
      <c r="C220" s="406"/>
      <c r="D220" s="409"/>
      <c r="E220" s="400"/>
      <c r="F220" s="403"/>
      <c r="G220" s="277" t="s">
        <v>13</v>
      </c>
      <c r="H220" s="246" t="s">
        <v>14</v>
      </c>
      <c r="I220" s="247"/>
      <c r="J220" s="3"/>
      <c r="K220" s="249">
        <f t="shared" si="27"/>
        <v>0</v>
      </c>
      <c r="L220" s="4"/>
      <c r="M220" s="250"/>
      <c r="N220" s="3"/>
      <c r="O220" s="3"/>
      <c r="P220" s="3"/>
      <c r="Q220" s="3"/>
      <c r="R220" s="3"/>
      <c r="S220" s="3"/>
      <c r="T220" s="4"/>
      <c r="U220" s="309"/>
      <c r="V220" s="310"/>
      <c r="W220" s="3"/>
      <c r="X220" s="251"/>
      <c r="Y220" s="412"/>
    </row>
    <row r="221" spans="1:25" ht="12.75">
      <c r="A221" s="406"/>
      <c r="B221" s="406"/>
      <c r="C221" s="406"/>
      <c r="D221" s="409"/>
      <c r="E221" s="400"/>
      <c r="F221" s="404"/>
      <c r="G221" s="414">
        <f>SUM(K226:T226)</f>
        <v>0</v>
      </c>
      <c r="H221" s="246" t="s">
        <v>162</v>
      </c>
      <c r="I221" s="247"/>
      <c r="J221" s="278"/>
      <c r="K221" s="249"/>
      <c r="L221" s="4">
        <v>12730</v>
      </c>
      <c r="M221" s="250">
        <f>K221+L221</f>
        <v>12730</v>
      </c>
      <c r="N221" s="3">
        <v>50363</v>
      </c>
      <c r="O221" s="3">
        <v>15773</v>
      </c>
      <c r="P221" s="3"/>
      <c r="Q221" s="3"/>
      <c r="R221" s="3"/>
      <c r="S221" s="3"/>
      <c r="T221" s="4"/>
      <c r="U221" s="309">
        <v>37771</v>
      </c>
      <c r="V221" s="310">
        <v>50363</v>
      </c>
      <c r="W221" s="3">
        <f>M221+U221</f>
        <v>50501</v>
      </c>
      <c r="X221" s="251">
        <f>W221/$G$224</f>
        <v>0.6403393097152131</v>
      </c>
      <c r="Y221" s="412"/>
    </row>
    <row r="222" spans="1:25" ht="12.75">
      <c r="A222" s="406"/>
      <c r="B222" s="406"/>
      <c r="C222" s="406"/>
      <c r="D222" s="409"/>
      <c r="E222" s="400"/>
      <c r="F222" s="416">
        <v>2014</v>
      </c>
      <c r="G222" s="415"/>
      <c r="H222" s="246" t="s">
        <v>163</v>
      </c>
      <c r="I222" s="247"/>
      <c r="J222" s="3"/>
      <c r="K222" s="249">
        <f aca="true" t="shared" si="32" ref="K222:K253">I222+J222</f>
        <v>0</v>
      </c>
      <c r="L222" s="4"/>
      <c r="M222" s="250"/>
      <c r="N222" s="3"/>
      <c r="O222" s="3"/>
      <c r="P222" s="3"/>
      <c r="Q222" s="3"/>
      <c r="R222" s="3"/>
      <c r="S222" s="3"/>
      <c r="T222" s="4"/>
      <c r="U222" s="309"/>
      <c r="V222" s="310"/>
      <c r="W222" s="3"/>
      <c r="X222" s="251"/>
      <c r="Y222" s="412"/>
    </row>
    <row r="223" spans="1:25" ht="12.75">
      <c r="A223" s="406"/>
      <c r="B223" s="406"/>
      <c r="C223" s="406"/>
      <c r="D223" s="409"/>
      <c r="E223" s="400"/>
      <c r="F223" s="403"/>
      <c r="G223" s="277" t="s">
        <v>17</v>
      </c>
      <c r="H223" s="246" t="s">
        <v>15</v>
      </c>
      <c r="I223" s="247"/>
      <c r="J223" s="3"/>
      <c r="K223" s="249">
        <f t="shared" si="32"/>
        <v>0</v>
      </c>
      <c r="L223" s="4"/>
      <c r="M223" s="250"/>
      <c r="N223" s="3"/>
      <c r="O223" s="3"/>
      <c r="P223" s="3"/>
      <c r="Q223" s="3"/>
      <c r="R223" s="3"/>
      <c r="S223" s="3"/>
      <c r="T223" s="4"/>
      <c r="U223" s="309"/>
      <c r="V223" s="310"/>
      <c r="W223" s="3"/>
      <c r="X223" s="251"/>
      <c r="Y223" s="412"/>
    </row>
    <row r="224" spans="1:25" ht="12.75">
      <c r="A224" s="406"/>
      <c r="B224" s="406"/>
      <c r="C224" s="406"/>
      <c r="D224" s="409"/>
      <c r="E224" s="400"/>
      <c r="F224" s="403"/>
      <c r="G224" s="414">
        <f>G218+G221</f>
        <v>78866</v>
      </c>
      <c r="H224" s="246" t="s">
        <v>16</v>
      </c>
      <c r="I224" s="247"/>
      <c r="J224" s="3"/>
      <c r="K224" s="249">
        <f t="shared" si="32"/>
        <v>0</v>
      </c>
      <c r="L224" s="4"/>
      <c r="M224" s="250"/>
      <c r="N224" s="3"/>
      <c r="O224" s="3"/>
      <c r="P224" s="3"/>
      <c r="Q224" s="3"/>
      <c r="R224" s="3"/>
      <c r="S224" s="3"/>
      <c r="T224" s="4"/>
      <c r="U224" s="309"/>
      <c r="V224" s="310"/>
      <c r="W224" s="3"/>
      <c r="X224" s="251"/>
      <c r="Y224" s="412"/>
    </row>
    <row r="225" spans="1:25" ht="12.75">
      <c r="A225" s="406"/>
      <c r="B225" s="406"/>
      <c r="C225" s="406"/>
      <c r="D225" s="409"/>
      <c r="E225" s="400"/>
      <c r="F225" s="403"/>
      <c r="G225" s="418"/>
      <c r="H225" s="246" t="s">
        <v>18</v>
      </c>
      <c r="I225" s="252">
        <f>I217+I219+I221+I223</f>
        <v>0</v>
      </c>
      <c r="J225" s="7">
        <f>J217+J219+J221+J223</f>
        <v>0</v>
      </c>
      <c r="K225" s="249">
        <f t="shared" si="32"/>
        <v>0</v>
      </c>
      <c r="L225" s="123">
        <f>L217+L219+L221+L223</f>
        <v>12730</v>
      </c>
      <c r="M225" s="250">
        <f>K225+L225</f>
        <v>12730</v>
      </c>
      <c r="N225" s="7">
        <f aca="true" t="shared" si="33" ref="N225:T226">N217+N219+N221+N223</f>
        <v>50363</v>
      </c>
      <c r="O225" s="7">
        <f t="shared" si="33"/>
        <v>15773</v>
      </c>
      <c r="P225" s="7">
        <f t="shared" si="33"/>
        <v>0</v>
      </c>
      <c r="Q225" s="7">
        <f t="shared" si="33"/>
        <v>0</v>
      </c>
      <c r="R225" s="7">
        <f t="shared" si="33"/>
        <v>0</v>
      </c>
      <c r="S225" s="7">
        <f t="shared" si="33"/>
        <v>0</v>
      </c>
      <c r="T225" s="123">
        <f t="shared" si="33"/>
        <v>0</v>
      </c>
      <c r="U225" s="311">
        <v>37771</v>
      </c>
      <c r="V225" s="314">
        <v>50363</v>
      </c>
      <c r="W225" s="3">
        <f>M225+U225</f>
        <v>50501</v>
      </c>
      <c r="X225" s="251">
        <f>W225/$G$224</f>
        <v>0.6403393097152131</v>
      </c>
      <c r="Y225" s="412"/>
    </row>
    <row r="226" spans="1:25" ht="13.5" thickBot="1">
      <c r="A226" s="407"/>
      <c r="B226" s="407"/>
      <c r="C226" s="407"/>
      <c r="D226" s="410"/>
      <c r="E226" s="401"/>
      <c r="F226" s="417"/>
      <c r="G226" s="419"/>
      <c r="H226" s="253" t="s">
        <v>19</v>
      </c>
      <c r="I226" s="254">
        <f>I218+I220+I222+I224</f>
        <v>0</v>
      </c>
      <c r="J226" s="10">
        <f>J218+J220+J222+J224</f>
        <v>0</v>
      </c>
      <c r="K226" s="255">
        <f t="shared" si="32"/>
        <v>0</v>
      </c>
      <c r="L226" s="124">
        <f>L218+L220+L222+L224</f>
        <v>0</v>
      </c>
      <c r="M226" s="256">
        <f>K226+L226</f>
        <v>0</v>
      </c>
      <c r="N226" s="10">
        <f t="shared" si="33"/>
        <v>0</v>
      </c>
      <c r="O226" s="10">
        <f t="shared" si="33"/>
        <v>0</v>
      </c>
      <c r="P226" s="10">
        <f t="shared" si="33"/>
        <v>0</v>
      </c>
      <c r="Q226" s="10">
        <f t="shared" si="33"/>
        <v>0</v>
      </c>
      <c r="R226" s="10">
        <f t="shared" si="33"/>
        <v>0</v>
      </c>
      <c r="S226" s="10">
        <f t="shared" si="33"/>
        <v>0</v>
      </c>
      <c r="T226" s="124">
        <f t="shared" si="33"/>
        <v>0</v>
      </c>
      <c r="U226" s="312">
        <v>0</v>
      </c>
      <c r="V226" s="315">
        <v>0</v>
      </c>
      <c r="W226" s="76">
        <f>M226+U226</f>
        <v>0</v>
      </c>
      <c r="X226" s="258">
        <f>W226/$G$224</f>
        <v>0</v>
      </c>
      <c r="Y226" s="413"/>
    </row>
    <row r="227" spans="1:25" ht="12.75" customHeight="1">
      <c r="A227" s="405">
        <f>A217+1</f>
        <v>23</v>
      </c>
      <c r="B227" s="405">
        <v>801</v>
      </c>
      <c r="C227" s="405">
        <v>80110</v>
      </c>
      <c r="D227" s="408" t="s">
        <v>194</v>
      </c>
      <c r="E227" s="399" t="s">
        <v>195</v>
      </c>
      <c r="F227" s="402">
        <v>2012</v>
      </c>
      <c r="G227" s="276" t="s">
        <v>9</v>
      </c>
      <c r="H227" s="241" t="s">
        <v>10</v>
      </c>
      <c r="I227" s="242"/>
      <c r="J227" s="243"/>
      <c r="K227" s="243">
        <f t="shared" si="32"/>
        <v>0</v>
      </c>
      <c r="L227" s="243"/>
      <c r="M227" s="249"/>
      <c r="N227" s="249"/>
      <c r="O227" s="249"/>
      <c r="P227" s="249"/>
      <c r="Q227" s="249"/>
      <c r="R227" s="249"/>
      <c r="S227" s="249"/>
      <c r="T227" s="11"/>
      <c r="U227" s="316"/>
      <c r="V227" s="317"/>
      <c r="W227" s="249"/>
      <c r="X227" s="260"/>
      <c r="Y227" s="411">
        <f>N235+O235+P235+Q235+R235+S235+N236+O236+P236+Q236+R236+T235+T236+S236</f>
        <v>76762</v>
      </c>
    </row>
    <row r="228" spans="1:25" ht="12.75">
      <c r="A228" s="406"/>
      <c r="B228" s="406"/>
      <c r="C228" s="406"/>
      <c r="D228" s="409"/>
      <c r="E228" s="400"/>
      <c r="F228" s="403"/>
      <c r="G228" s="414">
        <f>M235+N235+O235</f>
        <v>79248</v>
      </c>
      <c r="H228" s="246" t="s">
        <v>11</v>
      </c>
      <c r="I228" s="247"/>
      <c r="J228" s="3"/>
      <c r="K228" s="249">
        <f t="shared" si="32"/>
        <v>0</v>
      </c>
      <c r="L228" s="3"/>
      <c r="M228" s="3"/>
      <c r="N228" s="3"/>
      <c r="O228" s="3"/>
      <c r="P228" s="3"/>
      <c r="Q228" s="3"/>
      <c r="R228" s="3"/>
      <c r="S228" s="3"/>
      <c r="T228" s="4"/>
      <c r="U228" s="309"/>
      <c r="V228" s="310"/>
      <c r="W228" s="3"/>
      <c r="X228" s="251"/>
      <c r="Y228" s="412"/>
    </row>
    <row r="229" spans="1:25" ht="12.75">
      <c r="A229" s="406"/>
      <c r="B229" s="406"/>
      <c r="C229" s="406"/>
      <c r="D229" s="409"/>
      <c r="E229" s="400"/>
      <c r="F229" s="403"/>
      <c r="G229" s="415"/>
      <c r="H229" s="246" t="s">
        <v>12</v>
      </c>
      <c r="I229" s="247"/>
      <c r="J229" s="3"/>
      <c r="K229" s="249">
        <f t="shared" si="32"/>
        <v>0</v>
      </c>
      <c r="L229" s="3"/>
      <c r="M229" s="3"/>
      <c r="N229" s="3"/>
      <c r="O229" s="3"/>
      <c r="P229" s="3"/>
      <c r="Q229" s="3"/>
      <c r="R229" s="3"/>
      <c r="S229" s="3"/>
      <c r="T229" s="4"/>
      <c r="U229" s="309"/>
      <c r="V229" s="310"/>
      <c r="W229" s="3"/>
      <c r="X229" s="251"/>
      <c r="Y229" s="412"/>
    </row>
    <row r="230" spans="1:25" ht="12.75">
      <c r="A230" s="406"/>
      <c r="B230" s="406"/>
      <c r="C230" s="406"/>
      <c r="D230" s="409"/>
      <c r="E230" s="400"/>
      <c r="F230" s="403"/>
      <c r="G230" s="277" t="s">
        <v>13</v>
      </c>
      <c r="H230" s="246" t="s">
        <v>14</v>
      </c>
      <c r="I230" s="247"/>
      <c r="J230" s="3"/>
      <c r="K230" s="249">
        <f t="shared" si="32"/>
        <v>0</v>
      </c>
      <c r="L230" s="3"/>
      <c r="M230" s="3"/>
      <c r="N230" s="3"/>
      <c r="O230" s="3"/>
      <c r="P230" s="3"/>
      <c r="Q230" s="3"/>
      <c r="R230" s="3"/>
      <c r="S230" s="3"/>
      <c r="T230" s="4"/>
      <c r="U230" s="309"/>
      <c r="V230" s="310"/>
      <c r="W230" s="3"/>
      <c r="X230" s="251"/>
      <c r="Y230" s="412"/>
    </row>
    <row r="231" spans="1:25" ht="12.75">
      <c r="A231" s="406"/>
      <c r="B231" s="406"/>
      <c r="C231" s="406"/>
      <c r="D231" s="409"/>
      <c r="E231" s="400"/>
      <c r="F231" s="404"/>
      <c r="G231" s="414">
        <f>SUM(K236:T236)</f>
        <v>0</v>
      </c>
      <c r="H231" s="246" t="s">
        <v>162</v>
      </c>
      <c r="I231" s="247"/>
      <c r="J231" s="278"/>
      <c r="K231" s="249">
        <f t="shared" si="32"/>
        <v>0</v>
      </c>
      <c r="L231" s="3">
        <v>2486</v>
      </c>
      <c r="M231" s="3">
        <f>K231+L231</f>
        <v>2486</v>
      </c>
      <c r="N231" s="3">
        <v>60912</v>
      </c>
      <c r="O231" s="3">
        <v>15850</v>
      </c>
      <c r="P231" s="3"/>
      <c r="Q231" s="3"/>
      <c r="R231" s="3"/>
      <c r="S231" s="3"/>
      <c r="T231" s="4"/>
      <c r="U231" s="309">
        <v>30129</v>
      </c>
      <c r="V231" s="310">
        <v>60912</v>
      </c>
      <c r="W231" s="3">
        <f>M231+U231</f>
        <v>32615</v>
      </c>
      <c r="X231" s="251">
        <f>W231/$G$234</f>
        <v>0.41155612759943466</v>
      </c>
      <c r="Y231" s="412"/>
    </row>
    <row r="232" spans="1:25" ht="12.75">
      <c r="A232" s="406"/>
      <c r="B232" s="406"/>
      <c r="C232" s="406"/>
      <c r="D232" s="409"/>
      <c r="E232" s="400"/>
      <c r="F232" s="416">
        <v>2014</v>
      </c>
      <c r="G232" s="415"/>
      <c r="H232" s="246" t="s">
        <v>163</v>
      </c>
      <c r="I232" s="247"/>
      <c r="J232" s="3"/>
      <c r="K232" s="249">
        <f t="shared" si="32"/>
        <v>0</v>
      </c>
      <c r="L232" s="3"/>
      <c r="M232" s="3"/>
      <c r="N232" s="3"/>
      <c r="O232" s="3"/>
      <c r="P232" s="3"/>
      <c r="Q232" s="3"/>
      <c r="R232" s="3"/>
      <c r="S232" s="3"/>
      <c r="T232" s="4"/>
      <c r="U232" s="309"/>
      <c r="V232" s="310"/>
      <c r="W232" s="3"/>
      <c r="X232" s="251"/>
      <c r="Y232" s="412"/>
    </row>
    <row r="233" spans="1:25" ht="12.75">
      <c r="A233" s="406"/>
      <c r="B233" s="406"/>
      <c r="C233" s="406"/>
      <c r="D233" s="409"/>
      <c r="E233" s="400"/>
      <c r="F233" s="403"/>
      <c r="G233" s="277" t="s">
        <v>17</v>
      </c>
      <c r="H233" s="246" t="s">
        <v>15</v>
      </c>
      <c r="I233" s="247"/>
      <c r="J233" s="3"/>
      <c r="K233" s="249">
        <f t="shared" si="32"/>
        <v>0</v>
      </c>
      <c r="L233" s="3"/>
      <c r="M233" s="3"/>
      <c r="N233" s="3"/>
      <c r="O233" s="3"/>
      <c r="P233" s="3"/>
      <c r="Q233" s="3"/>
      <c r="R233" s="3"/>
      <c r="S233" s="3"/>
      <c r="T233" s="4"/>
      <c r="U233" s="309"/>
      <c r="V233" s="310"/>
      <c r="W233" s="3"/>
      <c r="X233" s="251"/>
      <c r="Y233" s="412"/>
    </row>
    <row r="234" spans="1:25" ht="12.75">
      <c r="A234" s="406"/>
      <c r="B234" s="406"/>
      <c r="C234" s="406"/>
      <c r="D234" s="409"/>
      <c r="E234" s="400"/>
      <c r="F234" s="403"/>
      <c r="G234" s="414">
        <f>G228+G231</f>
        <v>79248</v>
      </c>
      <c r="H234" s="246" t="s">
        <v>16</v>
      </c>
      <c r="I234" s="247"/>
      <c r="J234" s="3"/>
      <c r="K234" s="249">
        <f t="shared" si="32"/>
        <v>0</v>
      </c>
      <c r="L234" s="3"/>
      <c r="M234" s="3"/>
      <c r="N234" s="3"/>
      <c r="O234" s="3"/>
      <c r="P234" s="3"/>
      <c r="Q234" s="3"/>
      <c r="R234" s="3"/>
      <c r="S234" s="3"/>
      <c r="T234" s="4"/>
      <c r="U234" s="309"/>
      <c r="V234" s="310"/>
      <c r="W234" s="3"/>
      <c r="X234" s="251"/>
      <c r="Y234" s="412"/>
    </row>
    <row r="235" spans="1:25" ht="12.75">
      <c r="A235" s="406"/>
      <c r="B235" s="406"/>
      <c r="C235" s="406"/>
      <c r="D235" s="409"/>
      <c r="E235" s="400"/>
      <c r="F235" s="403"/>
      <c r="G235" s="418"/>
      <c r="H235" s="246" t="s">
        <v>18</v>
      </c>
      <c r="I235" s="252">
        <f>I227+I229+I231+I233</f>
        <v>0</v>
      </c>
      <c r="J235" s="7">
        <f>J227+J229+J231+J233</f>
        <v>0</v>
      </c>
      <c r="K235" s="249">
        <f t="shared" si="32"/>
        <v>0</v>
      </c>
      <c r="L235" s="7">
        <f>L227+L229+L231+L233</f>
        <v>2486</v>
      </c>
      <c r="M235" s="3">
        <f>K235+L235</f>
        <v>2486</v>
      </c>
      <c r="N235" s="7">
        <f aca="true" t="shared" si="34" ref="N235:T236">N227+N229+N231+N233</f>
        <v>60912</v>
      </c>
      <c r="O235" s="7">
        <f t="shared" si="34"/>
        <v>15850</v>
      </c>
      <c r="P235" s="7">
        <f t="shared" si="34"/>
        <v>0</v>
      </c>
      <c r="Q235" s="7">
        <f t="shared" si="34"/>
        <v>0</v>
      </c>
      <c r="R235" s="7">
        <f t="shared" si="34"/>
        <v>0</v>
      </c>
      <c r="S235" s="7">
        <f t="shared" si="34"/>
        <v>0</v>
      </c>
      <c r="T235" s="123">
        <f t="shared" si="34"/>
        <v>0</v>
      </c>
      <c r="U235" s="311">
        <v>30129</v>
      </c>
      <c r="V235" s="314">
        <v>60912</v>
      </c>
      <c r="W235" s="3">
        <f>M235+U235</f>
        <v>32615</v>
      </c>
      <c r="X235" s="251">
        <f>W235/$G$234</f>
        <v>0.41155612759943466</v>
      </c>
      <c r="Y235" s="412"/>
    </row>
    <row r="236" spans="1:25" ht="13.5" thickBot="1">
      <c r="A236" s="407"/>
      <c r="B236" s="407"/>
      <c r="C236" s="407"/>
      <c r="D236" s="410"/>
      <c r="E236" s="401"/>
      <c r="F236" s="417"/>
      <c r="G236" s="419"/>
      <c r="H236" s="253" t="s">
        <v>19</v>
      </c>
      <c r="I236" s="254">
        <f>I228+I230+I232+I234</f>
        <v>0</v>
      </c>
      <c r="J236" s="10">
        <f>J228+J230+J232+J234</f>
        <v>0</v>
      </c>
      <c r="K236" s="255">
        <f t="shared" si="32"/>
        <v>0</v>
      </c>
      <c r="L236" s="10">
        <f>L228+L230+L232+L234</f>
        <v>0</v>
      </c>
      <c r="M236" s="264">
        <f>K236+L236</f>
        <v>0</v>
      </c>
      <c r="N236" s="12">
        <f t="shared" si="34"/>
        <v>0</v>
      </c>
      <c r="O236" s="12">
        <f t="shared" si="34"/>
        <v>0</v>
      </c>
      <c r="P236" s="12">
        <f t="shared" si="34"/>
        <v>0</v>
      </c>
      <c r="Q236" s="12">
        <f t="shared" si="34"/>
        <v>0</v>
      </c>
      <c r="R236" s="12">
        <f t="shared" si="34"/>
        <v>0</v>
      </c>
      <c r="S236" s="12">
        <f t="shared" si="34"/>
        <v>0</v>
      </c>
      <c r="T236" s="144">
        <f t="shared" si="34"/>
        <v>0</v>
      </c>
      <c r="U236" s="318">
        <v>0</v>
      </c>
      <c r="V236" s="319">
        <v>0</v>
      </c>
      <c r="W236" s="264">
        <f>M236+U236</f>
        <v>0</v>
      </c>
      <c r="X236" s="258">
        <f>W236/$G$234</f>
        <v>0</v>
      </c>
      <c r="Y236" s="413"/>
    </row>
    <row r="237" spans="1:25" ht="12.75" customHeight="1">
      <c r="A237" s="405">
        <f>A227+1</f>
        <v>24</v>
      </c>
      <c r="B237" s="405">
        <v>801</v>
      </c>
      <c r="C237" s="405">
        <v>80110</v>
      </c>
      <c r="D237" s="408" t="s">
        <v>192</v>
      </c>
      <c r="E237" s="399" t="s">
        <v>196</v>
      </c>
      <c r="F237" s="402">
        <v>2011</v>
      </c>
      <c r="G237" s="1" t="s">
        <v>9</v>
      </c>
      <c r="H237" s="241" t="s">
        <v>10</v>
      </c>
      <c r="I237" s="242"/>
      <c r="J237" s="243"/>
      <c r="K237" s="243">
        <f t="shared" si="32"/>
        <v>0</v>
      </c>
      <c r="L237" s="2"/>
      <c r="M237" s="244"/>
      <c r="N237" s="243"/>
      <c r="O237" s="243"/>
      <c r="P237" s="243"/>
      <c r="Q237" s="243"/>
      <c r="R237" s="243"/>
      <c r="S237" s="243"/>
      <c r="T237" s="2"/>
      <c r="U237" s="307"/>
      <c r="V237" s="308"/>
      <c r="W237" s="243"/>
      <c r="X237" s="260"/>
      <c r="Y237" s="411">
        <f>N245+O245+P245+Q245+R245+S245+N246+O246+P246+Q246+R246+T245+T246+S246</f>
        <v>22573</v>
      </c>
    </row>
    <row r="238" spans="1:25" ht="12.75">
      <c r="A238" s="406"/>
      <c r="B238" s="406"/>
      <c r="C238" s="406"/>
      <c r="D238" s="409"/>
      <c r="E238" s="400"/>
      <c r="F238" s="403"/>
      <c r="G238" s="414">
        <f>M245+N245</f>
        <v>81578</v>
      </c>
      <c r="H238" s="246" t="s">
        <v>11</v>
      </c>
      <c r="I238" s="247"/>
      <c r="J238" s="3"/>
      <c r="K238" s="249">
        <f t="shared" si="32"/>
        <v>0</v>
      </c>
      <c r="L238" s="4"/>
      <c r="M238" s="250"/>
      <c r="N238" s="3"/>
      <c r="O238" s="3"/>
      <c r="P238" s="3"/>
      <c r="Q238" s="3"/>
      <c r="R238" s="3"/>
      <c r="S238" s="3"/>
      <c r="T238" s="4"/>
      <c r="U238" s="309"/>
      <c r="V238" s="310"/>
      <c r="W238" s="3"/>
      <c r="X238" s="251"/>
      <c r="Y238" s="412"/>
    </row>
    <row r="239" spans="1:25" ht="12.75">
      <c r="A239" s="406"/>
      <c r="B239" s="406"/>
      <c r="C239" s="406"/>
      <c r="D239" s="409"/>
      <c r="E239" s="400"/>
      <c r="F239" s="403"/>
      <c r="G239" s="415"/>
      <c r="H239" s="246" t="s">
        <v>12</v>
      </c>
      <c r="I239" s="247"/>
      <c r="J239" s="3"/>
      <c r="K239" s="249">
        <f t="shared" si="32"/>
        <v>0</v>
      </c>
      <c r="L239" s="4"/>
      <c r="M239" s="250"/>
      <c r="N239" s="3"/>
      <c r="O239" s="3"/>
      <c r="P239" s="3"/>
      <c r="Q239" s="3"/>
      <c r="R239" s="3"/>
      <c r="S239" s="3"/>
      <c r="T239" s="4"/>
      <c r="U239" s="309"/>
      <c r="V239" s="310"/>
      <c r="W239" s="3"/>
      <c r="X239" s="251"/>
      <c r="Y239" s="412"/>
    </row>
    <row r="240" spans="1:25" ht="12.75">
      <c r="A240" s="406"/>
      <c r="B240" s="406"/>
      <c r="C240" s="406"/>
      <c r="D240" s="409"/>
      <c r="E240" s="400"/>
      <c r="F240" s="403"/>
      <c r="G240" s="5" t="s">
        <v>13</v>
      </c>
      <c r="H240" s="246" t="s">
        <v>14</v>
      </c>
      <c r="I240" s="247"/>
      <c r="J240" s="3"/>
      <c r="K240" s="249">
        <f t="shared" si="32"/>
        <v>0</v>
      </c>
      <c r="L240" s="4"/>
      <c r="M240" s="250"/>
      <c r="N240" s="3"/>
      <c r="O240" s="3"/>
      <c r="P240" s="3"/>
      <c r="Q240" s="3"/>
      <c r="R240" s="3"/>
      <c r="S240" s="3"/>
      <c r="T240" s="4"/>
      <c r="U240" s="309"/>
      <c r="V240" s="310"/>
      <c r="W240" s="3"/>
      <c r="X240" s="251"/>
      <c r="Y240" s="412"/>
    </row>
    <row r="241" spans="1:25" ht="14.25" customHeight="1">
      <c r="A241" s="406"/>
      <c r="B241" s="406"/>
      <c r="C241" s="406"/>
      <c r="D241" s="409"/>
      <c r="E241" s="400"/>
      <c r="F241" s="404"/>
      <c r="G241" s="414">
        <f>SUM(J246:T246)</f>
        <v>0</v>
      </c>
      <c r="H241" s="246" t="s">
        <v>162</v>
      </c>
      <c r="I241" s="247"/>
      <c r="J241" s="3">
        <v>7754</v>
      </c>
      <c r="K241" s="249">
        <f t="shared" si="32"/>
        <v>7754</v>
      </c>
      <c r="L241" s="4">
        <v>51251</v>
      </c>
      <c r="M241" s="250">
        <f>K241+L241</f>
        <v>59005</v>
      </c>
      <c r="N241" s="3">
        <v>22573</v>
      </c>
      <c r="O241" s="3"/>
      <c r="P241" s="3"/>
      <c r="Q241" s="3"/>
      <c r="R241" s="3"/>
      <c r="S241" s="3"/>
      <c r="T241" s="4"/>
      <c r="U241" s="309">
        <v>21028</v>
      </c>
      <c r="V241" s="310">
        <v>22573</v>
      </c>
      <c r="W241" s="3">
        <f>M241+U241</f>
        <v>80033</v>
      </c>
      <c r="X241" s="251">
        <f>W241/$G$244</f>
        <v>0.9810610703866238</v>
      </c>
      <c r="Y241" s="412"/>
    </row>
    <row r="242" spans="1:25" ht="12.75">
      <c r="A242" s="406"/>
      <c r="B242" s="406"/>
      <c r="C242" s="406"/>
      <c r="D242" s="409"/>
      <c r="E242" s="400"/>
      <c r="F242" s="416">
        <v>2013</v>
      </c>
      <c r="G242" s="415"/>
      <c r="H242" s="246" t="s">
        <v>163</v>
      </c>
      <c r="I242" s="247"/>
      <c r="J242" s="3"/>
      <c r="K242" s="249">
        <f t="shared" si="32"/>
        <v>0</v>
      </c>
      <c r="L242" s="4"/>
      <c r="M242" s="250"/>
      <c r="N242" s="3"/>
      <c r="O242" s="3"/>
      <c r="P242" s="3"/>
      <c r="Q242" s="3"/>
      <c r="R242" s="3"/>
      <c r="S242" s="3"/>
      <c r="T242" s="4"/>
      <c r="U242" s="309"/>
      <c r="V242" s="310"/>
      <c r="W242" s="3"/>
      <c r="X242" s="251"/>
      <c r="Y242" s="412"/>
    </row>
    <row r="243" spans="1:25" ht="14.25" customHeight="1">
      <c r="A243" s="406"/>
      <c r="B243" s="406"/>
      <c r="C243" s="406"/>
      <c r="D243" s="409"/>
      <c r="E243" s="400"/>
      <c r="F243" s="403"/>
      <c r="G243" s="5" t="s">
        <v>17</v>
      </c>
      <c r="H243" s="246" t="s">
        <v>15</v>
      </c>
      <c r="I243" s="247"/>
      <c r="J243" s="3"/>
      <c r="K243" s="249">
        <f t="shared" si="32"/>
        <v>0</v>
      </c>
      <c r="L243" s="4"/>
      <c r="M243" s="250"/>
      <c r="N243" s="3"/>
      <c r="O243" s="3"/>
      <c r="P243" s="3"/>
      <c r="Q243" s="3"/>
      <c r="R243" s="3"/>
      <c r="S243" s="3"/>
      <c r="T243" s="4"/>
      <c r="U243" s="309"/>
      <c r="V243" s="310"/>
      <c r="W243" s="3"/>
      <c r="X243" s="251"/>
      <c r="Y243" s="412"/>
    </row>
    <row r="244" spans="1:25" ht="12.75">
      <c r="A244" s="406"/>
      <c r="B244" s="406"/>
      <c r="C244" s="406"/>
      <c r="D244" s="409"/>
      <c r="E244" s="400"/>
      <c r="F244" s="403"/>
      <c r="G244" s="414">
        <f>G238+G241</f>
        <v>81578</v>
      </c>
      <c r="H244" s="246" t="s">
        <v>16</v>
      </c>
      <c r="I244" s="247"/>
      <c r="J244" s="3"/>
      <c r="K244" s="249">
        <f t="shared" si="32"/>
        <v>0</v>
      </c>
      <c r="L244" s="4"/>
      <c r="M244" s="250"/>
      <c r="N244" s="3"/>
      <c r="O244" s="3"/>
      <c r="P244" s="3"/>
      <c r="Q244" s="3"/>
      <c r="R244" s="3"/>
      <c r="S244" s="3"/>
      <c r="T244" s="4"/>
      <c r="U244" s="309"/>
      <c r="V244" s="310"/>
      <c r="W244" s="3"/>
      <c r="X244" s="251"/>
      <c r="Y244" s="412"/>
    </row>
    <row r="245" spans="1:25" ht="14.25" customHeight="1">
      <c r="A245" s="406"/>
      <c r="B245" s="406"/>
      <c r="C245" s="406"/>
      <c r="D245" s="409"/>
      <c r="E245" s="400"/>
      <c r="F245" s="403"/>
      <c r="G245" s="418"/>
      <c r="H245" s="246" t="s">
        <v>18</v>
      </c>
      <c r="I245" s="252">
        <f>I237+I239+I241+I243</f>
        <v>0</v>
      </c>
      <c r="J245" s="7">
        <f>J237+J239+J241+J243</f>
        <v>7754</v>
      </c>
      <c r="K245" s="249">
        <f t="shared" si="32"/>
        <v>7754</v>
      </c>
      <c r="L245" s="123">
        <f>L237+L239+L241+L243</f>
        <v>51251</v>
      </c>
      <c r="M245" s="250">
        <f>K245+L245</f>
        <v>59005</v>
      </c>
      <c r="N245" s="7">
        <f aca="true" t="shared" si="35" ref="N245:T246">N237+N239+N241+N243</f>
        <v>22573</v>
      </c>
      <c r="O245" s="7">
        <f t="shared" si="35"/>
        <v>0</v>
      </c>
      <c r="P245" s="7">
        <f t="shared" si="35"/>
        <v>0</v>
      </c>
      <c r="Q245" s="7">
        <f t="shared" si="35"/>
        <v>0</v>
      </c>
      <c r="R245" s="7">
        <f t="shared" si="35"/>
        <v>0</v>
      </c>
      <c r="S245" s="7">
        <f t="shared" si="35"/>
        <v>0</v>
      </c>
      <c r="T245" s="123">
        <f t="shared" si="35"/>
        <v>0</v>
      </c>
      <c r="U245" s="311">
        <v>21028</v>
      </c>
      <c r="V245" s="314">
        <v>22573</v>
      </c>
      <c r="W245" s="3">
        <f>M245+U245</f>
        <v>80033</v>
      </c>
      <c r="X245" s="251">
        <f>W245/$G$244</f>
        <v>0.9810610703866238</v>
      </c>
      <c r="Y245" s="412"/>
    </row>
    <row r="246" spans="1:25" ht="13.5" thickBot="1">
      <c r="A246" s="407"/>
      <c r="B246" s="407"/>
      <c r="C246" s="407"/>
      <c r="D246" s="410"/>
      <c r="E246" s="401"/>
      <c r="F246" s="417"/>
      <c r="G246" s="419"/>
      <c r="H246" s="253" t="s">
        <v>19</v>
      </c>
      <c r="I246" s="254">
        <f>I238+I240+I242+I244</f>
        <v>0</v>
      </c>
      <c r="J246" s="10">
        <f>J238+J240+J242+J244</f>
        <v>0</v>
      </c>
      <c r="K246" s="255">
        <f t="shared" si="32"/>
        <v>0</v>
      </c>
      <c r="L246" s="124">
        <f>L238+L240+L242+L244</f>
        <v>0</v>
      </c>
      <c r="M246" s="256">
        <f>K246+L246</f>
        <v>0</v>
      </c>
      <c r="N246" s="10">
        <f t="shared" si="35"/>
        <v>0</v>
      </c>
      <c r="O246" s="10">
        <f t="shared" si="35"/>
        <v>0</v>
      </c>
      <c r="P246" s="10">
        <f t="shared" si="35"/>
        <v>0</v>
      </c>
      <c r="Q246" s="10">
        <f t="shared" si="35"/>
        <v>0</v>
      </c>
      <c r="R246" s="10">
        <f t="shared" si="35"/>
        <v>0</v>
      </c>
      <c r="S246" s="10">
        <f t="shared" si="35"/>
        <v>0</v>
      </c>
      <c r="T246" s="124">
        <f t="shared" si="35"/>
        <v>0</v>
      </c>
      <c r="U246" s="312">
        <v>0</v>
      </c>
      <c r="V246" s="315">
        <v>0</v>
      </c>
      <c r="W246" s="76">
        <f>M246+U246</f>
        <v>0</v>
      </c>
      <c r="X246" s="258">
        <f>W246/$G$244</f>
        <v>0</v>
      </c>
      <c r="Y246" s="413"/>
    </row>
    <row r="247" spans="1:25" ht="12.75" customHeight="1">
      <c r="A247" s="405">
        <f>A237+1</f>
        <v>25</v>
      </c>
      <c r="B247" s="405">
        <v>801</v>
      </c>
      <c r="C247" s="405">
        <v>80110</v>
      </c>
      <c r="D247" s="408" t="s">
        <v>192</v>
      </c>
      <c r="E247" s="399" t="s">
        <v>197</v>
      </c>
      <c r="F247" s="402">
        <v>2012</v>
      </c>
      <c r="G247" s="1" t="s">
        <v>9</v>
      </c>
      <c r="H247" s="241" t="s">
        <v>10</v>
      </c>
      <c r="I247" s="242"/>
      <c r="J247" s="243"/>
      <c r="K247" s="243">
        <f t="shared" si="32"/>
        <v>0</v>
      </c>
      <c r="L247" s="243"/>
      <c r="M247" s="249"/>
      <c r="N247" s="249"/>
      <c r="O247" s="249"/>
      <c r="P247" s="249"/>
      <c r="Q247" s="249"/>
      <c r="R247" s="249"/>
      <c r="S247" s="249"/>
      <c r="T247" s="11"/>
      <c r="U247" s="316"/>
      <c r="V247" s="317"/>
      <c r="W247" s="249"/>
      <c r="X247" s="260"/>
      <c r="Y247" s="411">
        <f>N255+O255+P255+Q255+R255+S255+N256+O256+P256+Q256+R256+T255+T256+S256</f>
        <v>68718</v>
      </c>
    </row>
    <row r="248" spans="1:25" ht="12.75">
      <c r="A248" s="406"/>
      <c r="B248" s="406"/>
      <c r="C248" s="406"/>
      <c r="D248" s="409"/>
      <c r="E248" s="400"/>
      <c r="F248" s="403"/>
      <c r="G248" s="414">
        <f>M255+N255+O255</f>
        <v>81202</v>
      </c>
      <c r="H248" s="246" t="s">
        <v>11</v>
      </c>
      <c r="I248" s="247"/>
      <c r="J248" s="3"/>
      <c r="K248" s="249">
        <f t="shared" si="32"/>
        <v>0</v>
      </c>
      <c r="L248" s="3"/>
      <c r="M248" s="3"/>
      <c r="N248" s="3"/>
      <c r="O248" s="3"/>
      <c r="P248" s="3"/>
      <c r="Q248" s="3"/>
      <c r="R248" s="3"/>
      <c r="S248" s="3"/>
      <c r="T248" s="4"/>
      <c r="U248" s="309"/>
      <c r="V248" s="310"/>
      <c r="W248" s="3"/>
      <c r="X248" s="251"/>
      <c r="Y248" s="412"/>
    </row>
    <row r="249" spans="1:25" ht="12.75">
      <c r="A249" s="406"/>
      <c r="B249" s="406"/>
      <c r="C249" s="406"/>
      <c r="D249" s="409"/>
      <c r="E249" s="400"/>
      <c r="F249" s="403"/>
      <c r="G249" s="415"/>
      <c r="H249" s="246" t="s">
        <v>12</v>
      </c>
      <c r="I249" s="247"/>
      <c r="J249" s="3"/>
      <c r="K249" s="249">
        <f t="shared" si="32"/>
        <v>0</v>
      </c>
      <c r="L249" s="3"/>
      <c r="M249" s="3"/>
      <c r="N249" s="3"/>
      <c r="O249" s="3"/>
      <c r="P249" s="3"/>
      <c r="Q249" s="3"/>
      <c r="R249" s="3"/>
      <c r="S249" s="3"/>
      <c r="T249" s="4"/>
      <c r="U249" s="309"/>
      <c r="V249" s="310"/>
      <c r="W249" s="3"/>
      <c r="X249" s="251"/>
      <c r="Y249" s="412"/>
    </row>
    <row r="250" spans="1:25" ht="12.75">
      <c r="A250" s="406"/>
      <c r="B250" s="406"/>
      <c r="C250" s="406"/>
      <c r="D250" s="409"/>
      <c r="E250" s="400"/>
      <c r="F250" s="403"/>
      <c r="G250" s="5" t="s">
        <v>13</v>
      </c>
      <c r="H250" s="246" t="s">
        <v>14</v>
      </c>
      <c r="I250" s="247"/>
      <c r="J250" s="3"/>
      <c r="K250" s="249">
        <f t="shared" si="32"/>
        <v>0</v>
      </c>
      <c r="L250" s="3"/>
      <c r="M250" s="3"/>
      <c r="N250" s="3"/>
      <c r="O250" s="3"/>
      <c r="P250" s="3"/>
      <c r="Q250" s="3"/>
      <c r="R250" s="3"/>
      <c r="S250" s="3"/>
      <c r="T250" s="4"/>
      <c r="U250" s="309"/>
      <c r="V250" s="310"/>
      <c r="W250" s="3"/>
      <c r="X250" s="251"/>
      <c r="Y250" s="412"/>
    </row>
    <row r="251" spans="1:25" ht="12.75">
      <c r="A251" s="406"/>
      <c r="B251" s="406"/>
      <c r="C251" s="406"/>
      <c r="D251" s="409"/>
      <c r="E251" s="400"/>
      <c r="F251" s="404"/>
      <c r="G251" s="414">
        <f>SUM(J256:T256)</f>
        <v>0</v>
      </c>
      <c r="H251" s="246" t="s">
        <v>162</v>
      </c>
      <c r="I251" s="247"/>
      <c r="J251" s="3"/>
      <c r="K251" s="249">
        <f t="shared" si="32"/>
        <v>0</v>
      </c>
      <c r="L251" s="3">
        <v>12484</v>
      </c>
      <c r="M251" s="3">
        <f>K251+L251</f>
        <v>12484</v>
      </c>
      <c r="N251" s="3">
        <v>52478</v>
      </c>
      <c r="O251" s="3">
        <v>16240</v>
      </c>
      <c r="P251" s="3"/>
      <c r="Q251" s="3"/>
      <c r="R251" s="3"/>
      <c r="S251" s="3"/>
      <c r="T251" s="4"/>
      <c r="U251" s="309">
        <v>14783</v>
      </c>
      <c r="V251" s="310">
        <v>52478</v>
      </c>
      <c r="W251" s="3">
        <f>M251+U251</f>
        <v>27267</v>
      </c>
      <c r="X251" s="251">
        <f>W251/$G$254</f>
        <v>0.33579222186645646</v>
      </c>
      <c r="Y251" s="412"/>
    </row>
    <row r="252" spans="1:25" ht="12.75">
      <c r="A252" s="406"/>
      <c r="B252" s="406"/>
      <c r="C252" s="406"/>
      <c r="D252" s="409"/>
      <c r="E252" s="400"/>
      <c r="F252" s="416">
        <v>2014</v>
      </c>
      <c r="G252" s="415"/>
      <c r="H252" s="246" t="s">
        <v>163</v>
      </c>
      <c r="I252" s="247"/>
      <c r="J252" s="3"/>
      <c r="K252" s="249">
        <f t="shared" si="32"/>
        <v>0</v>
      </c>
      <c r="L252" s="3"/>
      <c r="M252" s="3"/>
      <c r="N252" s="3"/>
      <c r="O252" s="3"/>
      <c r="P252" s="3"/>
      <c r="Q252" s="3"/>
      <c r="R252" s="3"/>
      <c r="S252" s="3"/>
      <c r="T252" s="4"/>
      <c r="U252" s="309"/>
      <c r="V252" s="310"/>
      <c r="W252" s="3"/>
      <c r="X252" s="251"/>
      <c r="Y252" s="412"/>
    </row>
    <row r="253" spans="1:25" ht="12.75">
      <c r="A253" s="406"/>
      <c r="B253" s="406"/>
      <c r="C253" s="406"/>
      <c r="D253" s="409"/>
      <c r="E253" s="400"/>
      <c r="F253" s="403"/>
      <c r="G253" s="5" t="s">
        <v>17</v>
      </c>
      <c r="H253" s="246" t="s">
        <v>15</v>
      </c>
      <c r="I253" s="247"/>
      <c r="J253" s="3"/>
      <c r="K253" s="249">
        <f t="shared" si="32"/>
        <v>0</v>
      </c>
      <c r="L253" s="3"/>
      <c r="M253" s="3"/>
      <c r="N253" s="3"/>
      <c r="O253" s="3"/>
      <c r="P253" s="3"/>
      <c r="Q253" s="3"/>
      <c r="R253" s="3"/>
      <c r="S253" s="3"/>
      <c r="T253" s="4"/>
      <c r="U253" s="309"/>
      <c r="V253" s="310"/>
      <c r="W253" s="3"/>
      <c r="X253" s="251"/>
      <c r="Y253" s="412"/>
    </row>
    <row r="254" spans="1:25" ht="12.75">
      <c r="A254" s="406"/>
      <c r="B254" s="406"/>
      <c r="C254" s="406"/>
      <c r="D254" s="409"/>
      <c r="E254" s="400"/>
      <c r="F254" s="403"/>
      <c r="G254" s="414">
        <f>G248+G251</f>
        <v>81202</v>
      </c>
      <c r="H254" s="246" t="s">
        <v>16</v>
      </c>
      <c r="I254" s="247"/>
      <c r="J254" s="3"/>
      <c r="K254" s="249">
        <f aca="true" t="shared" si="36" ref="K254:K285">I254+J254</f>
        <v>0</v>
      </c>
      <c r="L254" s="3"/>
      <c r="M254" s="3"/>
      <c r="N254" s="3"/>
      <c r="O254" s="3"/>
      <c r="P254" s="3"/>
      <c r="Q254" s="3"/>
      <c r="R254" s="3"/>
      <c r="S254" s="3"/>
      <c r="T254" s="4"/>
      <c r="U254" s="309"/>
      <c r="V254" s="310"/>
      <c r="W254" s="3"/>
      <c r="X254" s="251"/>
      <c r="Y254" s="412"/>
    </row>
    <row r="255" spans="1:25" ht="12.75">
      <c r="A255" s="406"/>
      <c r="B255" s="406"/>
      <c r="C255" s="406"/>
      <c r="D255" s="409"/>
      <c r="E255" s="400"/>
      <c r="F255" s="403"/>
      <c r="G255" s="418"/>
      <c r="H255" s="246" t="s">
        <v>18</v>
      </c>
      <c r="I255" s="252">
        <f>I247+I249+I251+I253</f>
        <v>0</v>
      </c>
      <c r="J255" s="7">
        <f>J247+J249+J251+J253</f>
        <v>0</v>
      </c>
      <c r="K255" s="249">
        <f t="shared" si="36"/>
        <v>0</v>
      </c>
      <c r="L255" s="7">
        <f>L247+L249+L251+L253</f>
        <v>12484</v>
      </c>
      <c r="M255" s="3">
        <f>K255+L255</f>
        <v>12484</v>
      </c>
      <c r="N255" s="7">
        <f aca="true" t="shared" si="37" ref="N255:T256">N247+N249+N251+N253</f>
        <v>52478</v>
      </c>
      <c r="O255" s="7">
        <f t="shared" si="37"/>
        <v>16240</v>
      </c>
      <c r="P255" s="7">
        <f t="shared" si="37"/>
        <v>0</v>
      </c>
      <c r="Q255" s="7">
        <f t="shared" si="37"/>
        <v>0</v>
      </c>
      <c r="R255" s="7">
        <f t="shared" si="37"/>
        <v>0</v>
      </c>
      <c r="S255" s="7">
        <f t="shared" si="37"/>
        <v>0</v>
      </c>
      <c r="T255" s="123">
        <f t="shared" si="37"/>
        <v>0</v>
      </c>
      <c r="U255" s="311">
        <v>14783</v>
      </c>
      <c r="V255" s="314">
        <v>52478</v>
      </c>
      <c r="W255" s="3">
        <f>M255+U255</f>
        <v>27267</v>
      </c>
      <c r="X255" s="251">
        <f>W255/$G$254</f>
        <v>0.33579222186645646</v>
      </c>
      <c r="Y255" s="412"/>
    </row>
    <row r="256" spans="1:25" ht="13.5" thickBot="1">
      <c r="A256" s="407"/>
      <c r="B256" s="407"/>
      <c r="C256" s="407"/>
      <c r="D256" s="410"/>
      <c r="E256" s="401"/>
      <c r="F256" s="417"/>
      <c r="G256" s="419"/>
      <c r="H256" s="253" t="s">
        <v>19</v>
      </c>
      <c r="I256" s="254">
        <f>I248+I250+I252+I254</f>
        <v>0</v>
      </c>
      <c r="J256" s="10">
        <f>J248+J250+J252+J254</f>
        <v>0</v>
      </c>
      <c r="K256" s="255">
        <f t="shared" si="36"/>
        <v>0</v>
      </c>
      <c r="L256" s="10">
        <f>L248+L250+L252+L254</f>
        <v>0</v>
      </c>
      <c r="M256" s="264">
        <f>K256+L256</f>
        <v>0</v>
      </c>
      <c r="N256" s="12">
        <f t="shared" si="37"/>
        <v>0</v>
      </c>
      <c r="O256" s="12">
        <f t="shared" si="37"/>
        <v>0</v>
      </c>
      <c r="P256" s="12">
        <f t="shared" si="37"/>
        <v>0</v>
      </c>
      <c r="Q256" s="12">
        <f t="shared" si="37"/>
        <v>0</v>
      </c>
      <c r="R256" s="12">
        <f t="shared" si="37"/>
        <v>0</v>
      </c>
      <c r="S256" s="12">
        <f t="shared" si="37"/>
        <v>0</v>
      </c>
      <c r="T256" s="144">
        <f t="shared" si="37"/>
        <v>0</v>
      </c>
      <c r="U256" s="318">
        <v>0</v>
      </c>
      <c r="V256" s="319">
        <v>0</v>
      </c>
      <c r="W256" s="264">
        <f>M256+U256</f>
        <v>0</v>
      </c>
      <c r="X256" s="258">
        <f>W256/$G$254</f>
        <v>0</v>
      </c>
      <c r="Y256" s="413"/>
    </row>
    <row r="257" spans="1:25" ht="12.75" customHeight="1">
      <c r="A257" s="405">
        <f>A247+1</f>
        <v>26</v>
      </c>
      <c r="B257" s="405">
        <v>801</v>
      </c>
      <c r="C257" s="405">
        <v>80110</v>
      </c>
      <c r="D257" s="408" t="s">
        <v>192</v>
      </c>
      <c r="E257" s="399" t="s">
        <v>198</v>
      </c>
      <c r="F257" s="402">
        <v>2012</v>
      </c>
      <c r="G257" s="1" t="s">
        <v>9</v>
      </c>
      <c r="H257" s="241" t="s">
        <v>10</v>
      </c>
      <c r="I257" s="242"/>
      <c r="J257" s="243"/>
      <c r="K257" s="243">
        <f t="shared" si="36"/>
        <v>0</v>
      </c>
      <c r="L257" s="2"/>
      <c r="M257" s="244"/>
      <c r="N257" s="243"/>
      <c r="O257" s="243"/>
      <c r="P257" s="243"/>
      <c r="Q257" s="243"/>
      <c r="R257" s="243"/>
      <c r="S257" s="243"/>
      <c r="T257" s="2"/>
      <c r="U257" s="307"/>
      <c r="V257" s="308"/>
      <c r="W257" s="243"/>
      <c r="X257" s="260"/>
      <c r="Y257" s="411">
        <f>N265+O265+P265+Q265+R265+S265+N266+O266+P266+Q266+R266+T265+T266+S266</f>
        <v>78156</v>
      </c>
    </row>
    <row r="258" spans="1:25" ht="12.75">
      <c r="A258" s="406"/>
      <c r="B258" s="406"/>
      <c r="C258" s="406"/>
      <c r="D258" s="409"/>
      <c r="E258" s="400"/>
      <c r="F258" s="403"/>
      <c r="G258" s="414">
        <f>M265+N265+O265</f>
        <v>81443</v>
      </c>
      <c r="H258" s="246" t="s">
        <v>11</v>
      </c>
      <c r="I258" s="247"/>
      <c r="J258" s="3"/>
      <c r="K258" s="249">
        <f t="shared" si="36"/>
        <v>0</v>
      </c>
      <c r="L258" s="4"/>
      <c r="M258" s="250"/>
      <c r="N258" s="3"/>
      <c r="O258" s="3"/>
      <c r="P258" s="3"/>
      <c r="Q258" s="3"/>
      <c r="R258" s="3"/>
      <c r="S258" s="3"/>
      <c r="T258" s="4"/>
      <c r="U258" s="309"/>
      <c r="V258" s="310"/>
      <c r="W258" s="3"/>
      <c r="X258" s="251"/>
      <c r="Y258" s="412"/>
    </row>
    <row r="259" spans="1:25" ht="12.75">
      <c r="A259" s="406"/>
      <c r="B259" s="406"/>
      <c r="C259" s="406"/>
      <c r="D259" s="409"/>
      <c r="E259" s="400"/>
      <c r="F259" s="403"/>
      <c r="G259" s="415"/>
      <c r="H259" s="246" t="s">
        <v>12</v>
      </c>
      <c r="I259" s="247"/>
      <c r="J259" s="3"/>
      <c r="K259" s="249">
        <f t="shared" si="36"/>
        <v>0</v>
      </c>
      <c r="L259" s="4"/>
      <c r="M259" s="250"/>
      <c r="N259" s="3"/>
      <c r="O259" s="3"/>
      <c r="P259" s="3"/>
      <c r="Q259" s="3"/>
      <c r="R259" s="3"/>
      <c r="S259" s="3"/>
      <c r="T259" s="4"/>
      <c r="U259" s="309"/>
      <c r="V259" s="310"/>
      <c r="W259" s="3"/>
      <c r="X259" s="251"/>
      <c r="Y259" s="412"/>
    </row>
    <row r="260" spans="1:25" ht="12.75">
      <c r="A260" s="406"/>
      <c r="B260" s="406"/>
      <c r="C260" s="406"/>
      <c r="D260" s="409"/>
      <c r="E260" s="400"/>
      <c r="F260" s="403"/>
      <c r="G260" s="5" t="s">
        <v>13</v>
      </c>
      <c r="H260" s="246" t="s">
        <v>14</v>
      </c>
      <c r="I260" s="247"/>
      <c r="J260" s="3"/>
      <c r="K260" s="249">
        <f t="shared" si="36"/>
        <v>0</v>
      </c>
      <c r="L260" s="4"/>
      <c r="M260" s="250"/>
      <c r="N260" s="3"/>
      <c r="O260" s="3"/>
      <c r="P260" s="3"/>
      <c r="Q260" s="3"/>
      <c r="R260" s="3"/>
      <c r="S260" s="3"/>
      <c r="T260" s="4"/>
      <c r="U260" s="309"/>
      <c r="V260" s="310"/>
      <c r="W260" s="3"/>
      <c r="X260" s="251"/>
      <c r="Y260" s="412"/>
    </row>
    <row r="261" spans="1:25" ht="12.75">
      <c r="A261" s="406"/>
      <c r="B261" s="406"/>
      <c r="C261" s="406"/>
      <c r="D261" s="409"/>
      <c r="E261" s="400"/>
      <c r="F261" s="404"/>
      <c r="G261" s="414">
        <f>SUM(J266:T266)</f>
        <v>0</v>
      </c>
      <c r="H261" s="246" t="s">
        <v>162</v>
      </c>
      <c r="I261" s="247"/>
      <c r="J261" s="3"/>
      <c r="K261" s="249">
        <f t="shared" si="36"/>
        <v>0</v>
      </c>
      <c r="L261" s="4">
        <v>3287</v>
      </c>
      <c r="M261" s="250">
        <f>K261+L261</f>
        <v>3287</v>
      </c>
      <c r="N261" s="3">
        <v>61916</v>
      </c>
      <c r="O261" s="3">
        <v>16240</v>
      </c>
      <c r="P261" s="3"/>
      <c r="Q261" s="3"/>
      <c r="R261" s="3"/>
      <c r="S261" s="3"/>
      <c r="T261" s="4"/>
      <c r="U261" s="309">
        <v>30945</v>
      </c>
      <c r="V261" s="310">
        <v>61916</v>
      </c>
      <c r="W261" s="3">
        <f>M261+U261</f>
        <v>34232</v>
      </c>
      <c r="X261" s="251">
        <f>W261/$G$264</f>
        <v>0.4203185049666638</v>
      </c>
      <c r="Y261" s="412"/>
    </row>
    <row r="262" spans="1:25" ht="12.75">
      <c r="A262" s="406"/>
      <c r="B262" s="406"/>
      <c r="C262" s="406"/>
      <c r="D262" s="409"/>
      <c r="E262" s="400"/>
      <c r="F262" s="416">
        <v>2014</v>
      </c>
      <c r="G262" s="415"/>
      <c r="H262" s="246" t="s">
        <v>163</v>
      </c>
      <c r="I262" s="247"/>
      <c r="J262" s="3"/>
      <c r="K262" s="249">
        <f t="shared" si="36"/>
        <v>0</v>
      </c>
      <c r="L262" s="4"/>
      <c r="M262" s="250"/>
      <c r="N262" s="3"/>
      <c r="O262" s="3"/>
      <c r="P262" s="3"/>
      <c r="Q262" s="3"/>
      <c r="R262" s="3"/>
      <c r="S262" s="3"/>
      <c r="T262" s="4"/>
      <c r="U262" s="309"/>
      <c r="V262" s="310"/>
      <c r="W262" s="3"/>
      <c r="X262" s="251"/>
      <c r="Y262" s="412"/>
    </row>
    <row r="263" spans="1:25" ht="12.75">
      <c r="A263" s="406"/>
      <c r="B263" s="406"/>
      <c r="C263" s="406"/>
      <c r="D263" s="409"/>
      <c r="E263" s="400"/>
      <c r="F263" s="403"/>
      <c r="G263" s="5" t="s">
        <v>17</v>
      </c>
      <c r="H263" s="246" t="s">
        <v>15</v>
      </c>
      <c r="I263" s="247"/>
      <c r="J263" s="3"/>
      <c r="K263" s="249">
        <f t="shared" si="36"/>
        <v>0</v>
      </c>
      <c r="L263" s="4"/>
      <c r="M263" s="250"/>
      <c r="N263" s="3"/>
      <c r="O263" s="3"/>
      <c r="P263" s="3"/>
      <c r="Q263" s="3"/>
      <c r="R263" s="3"/>
      <c r="S263" s="3"/>
      <c r="T263" s="4"/>
      <c r="U263" s="309"/>
      <c r="V263" s="310"/>
      <c r="W263" s="3"/>
      <c r="X263" s="251"/>
      <c r="Y263" s="412"/>
    </row>
    <row r="264" spans="1:25" ht="12.75">
      <c r="A264" s="406"/>
      <c r="B264" s="406"/>
      <c r="C264" s="406"/>
      <c r="D264" s="409"/>
      <c r="E264" s="400"/>
      <c r="F264" s="403"/>
      <c r="G264" s="414">
        <f>G258+G261</f>
        <v>81443</v>
      </c>
      <c r="H264" s="246" t="s">
        <v>16</v>
      </c>
      <c r="I264" s="247"/>
      <c r="J264" s="3"/>
      <c r="K264" s="249">
        <f t="shared" si="36"/>
        <v>0</v>
      </c>
      <c r="L264" s="4"/>
      <c r="M264" s="250"/>
      <c r="N264" s="3"/>
      <c r="O264" s="3"/>
      <c r="P264" s="3"/>
      <c r="Q264" s="3"/>
      <c r="R264" s="3"/>
      <c r="S264" s="3"/>
      <c r="T264" s="4"/>
      <c r="U264" s="309"/>
      <c r="V264" s="310"/>
      <c r="W264" s="3"/>
      <c r="X264" s="251"/>
      <c r="Y264" s="412"/>
    </row>
    <row r="265" spans="1:25" ht="12.75">
      <c r="A265" s="406"/>
      <c r="B265" s="406"/>
      <c r="C265" s="406"/>
      <c r="D265" s="409"/>
      <c r="E265" s="400"/>
      <c r="F265" s="403"/>
      <c r="G265" s="418"/>
      <c r="H265" s="246" t="s">
        <v>18</v>
      </c>
      <c r="I265" s="252">
        <f>I257+I259+I261+I263</f>
        <v>0</v>
      </c>
      <c r="J265" s="7">
        <f>J257+J259+J261+J263</f>
        <v>0</v>
      </c>
      <c r="K265" s="249">
        <f t="shared" si="36"/>
        <v>0</v>
      </c>
      <c r="L265" s="123">
        <f>L257+L259+L261+L263</f>
        <v>3287</v>
      </c>
      <c r="M265" s="250">
        <f>K265+L265</f>
        <v>3287</v>
      </c>
      <c r="N265" s="7">
        <f aca="true" t="shared" si="38" ref="N265:T266">N257+N259+N261+N263</f>
        <v>61916</v>
      </c>
      <c r="O265" s="7">
        <f t="shared" si="38"/>
        <v>16240</v>
      </c>
      <c r="P265" s="7">
        <f t="shared" si="38"/>
        <v>0</v>
      </c>
      <c r="Q265" s="7">
        <f t="shared" si="38"/>
        <v>0</v>
      </c>
      <c r="R265" s="7">
        <f t="shared" si="38"/>
        <v>0</v>
      </c>
      <c r="S265" s="7">
        <f t="shared" si="38"/>
        <v>0</v>
      </c>
      <c r="T265" s="123">
        <f t="shared" si="38"/>
        <v>0</v>
      </c>
      <c r="U265" s="311">
        <v>30945</v>
      </c>
      <c r="V265" s="314">
        <v>61916</v>
      </c>
      <c r="W265" s="3">
        <f>M265+U265</f>
        <v>34232</v>
      </c>
      <c r="X265" s="251">
        <f>W265/$G$264</f>
        <v>0.4203185049666638</v>
      </c>
      <c r="Y265" s="412"/>
    </row>
    <row r="266" spans="1:25" ht="13.5" thickBot="1">
      <c r="A266" s="407"/>
      <c r="B266" s="407"/>
      <c r="C266" s="407"/>
      <c r="D266" s="410"/>
      <c r="E266" s="401"/>
      <c r="F266" s="417"/>
      <c r="G266" s="419"/>
      <c r="H266" s="253" t="s">
        <v>19</v>
      </c>
      <c r="I266" s="254">
        <f>I258+I260+I262+I264</f>
        <v>0</v>
      </c>
      <c r="J266" s="10">
        <f>J258+J260+J262+J264</f>
        <v>0</v>
      </c>
      <c r="K266" s="255">
        <f t="shared" si="36"/>
        <v>0</v>
      </c>
      <c r="L266" s="124">
        <f>L258+L260+L262+L264</f>
        <v>0</v>
      </c>
      <c r="M266" s="256">
        <f>K266+L266</f>
        <v>0</v>
      </c>
      <c r="N266" s="10">
        <f t="shared" si="38"/>
        <v>0</v>
      </c>
      <c r="O266" s="10">
        <f t="shared" si="38"/>
        <v>0</v>
      </c>
      <c r="P266" s="10">
        <f t="shared" si="38"/>
        <v>0</v>
      </c>
      <c r="Q266" s="10">
        <f t="shared" si="38"/>
        <v>0</v>
      </c>
      <c r="R266" s="10">
        <f t="shared" si="38"/>
        <v>0</v>
      </c>
      <c r="S266" s="10">
        <f t="shared" si="38"/>
        <v>0</v>
      </c>
      <c r="T266" s="124">
        <f t="shared" si="38"/>
        <v>0</v>
      </c>
      <c r="U266" s="312">
        <v>0</v>
      </c>
      <c r="V266" s="315">
        <v>0</v>
      </c>
      <c r="W266" s="76">
        <f>M266+U266</f>
        <v>0</v>
      </c>
      <c r="X266" s="258">
        <f>W266/$G$264</f>
        <v>0</v>
      </c>
      <c r="Y266" s="413"/>
    </row>
    <row r="267" spans="1:25" ht="12.75" customHeight="1">
      <c r="A267" s="405">
        <f>A257+1</f>
        <v>27</v>
      </c>
      <c r="B267" s="405">
        <v>801</v>
      </c>
      <c r="C267" s="405">
        <v>80110</v>
      </c>
      <c r="D267" s="408" t="s">
        <v>192</v>
      </c>
      <c r="E267" s="399" t="s">
        <v>199</v>
      </c>
      <c r="F267" s="402">
        <v>2012</v>
      </c>
      <c r="G267" s="1" t="s">
        <v>9</v>
      </c>
      <c r="H267" s="241" t="s">
        <v>10</v>
      </c>
      <c r="I267" s="242"/>
      <c r="J267" s="243"/>
      <c r="K267" s="243">
        <f t="shared" si="36"/>
        <v>0</v>
      </c>
      <c r="L267" s="243"/>
      <c r="M267" s="243"/>
      <c r="N267" s="243"/>
      <c r="O267" s="243"/>
      <c r="P267" s="243"/>
      <c r="Q267" s="243"/>
      <c r="R267" s="243"/>
      <c r="S267" s="243"/>
      <c r="T267" s="2"/>
      <c r="U267" s="307"/>
      <c r="V267" s="308"/>
      <c r="W267" s="243"/>
      <c r="X267" s="260"/>
      <c r="Y267" s="411">
        <f>N275+O275+P275+Q275+R275+S275+N276+O276+P276+Q276+R276+T275+T276+S276</f>
        <v>63860</v>
      </c>
    </row>
    <row r="268" spans="1:25" ht="12.75">
      <c r="A268" s="406"/>
      <c r="B268" s="406"/>
      <c r="C268" s="406"/>
      <c r="D268" s="409"/>
      <c r="E268" s="400"/>
      <c r="F268" s="403"/>
      <c r="G268" s="414">
        <f>M275+N275+O275</f>
        <v>79175</v>
      </c>
      <c r="H268" s="246" t="s">
        <v>11</v>
      </c>
      <c r="I268" s="247"/>
      <c r="J268" s="3"/>
      <c r="K268" s="249">
        <f t="shared" si="36"/>
        <v>0</v>
      </c>
      <c r="L268" s="3"/>
      <c r="M268" s="3"/>
      <c r="N268" s="3"/>
      <c r="O268" s="3"/>
      <c r="P268" s="3"/>
      <c r="Q268" s="3"/>
      <c r="R268" s="3"/>
      <c r="S268" s="3"/>
      <c r="T268" s="4"/>
      <c r="U268" s="309"/>
      <c r="V268" s="310"/>
      <c r="W268" s="3"/>
      <c r="X268" s="251"/>
      <c r="Y268" s="412"/>
    </row>
    <row r="269" spans="1:25" ht="12.75">
      <c r="A269" s="406"/>
      <c r="B269" s="406"/>
      <c r="C269" s="406"/>
      <c r="D269" s="409"/>
      <c r="E269" s="400"/>
      <c r="F269" s="403"/>
      <c r="G269" s="415"/>
      <c r="H269" s="246" t="s">
        <v>12</v>
      </c>
      <c r="I269" s="247"/>
      <c r="J269" s="3"/>
      <c r="K269" s="249">
        <f t="shared" si="36"/>
        <v>0</v>
      </c>
      <c r="L269" s="3"/>
      <c r="M269" s="3"/>
      <c r="N269" s="3"/>
      <c r="O269" s="3"/>
      <c r="P269" s="3"/>
      <c r="Q269" s="3"/>
      <c r="R269" s="3"/>
      <c r="S269" s="3"/>
      <c r="T269" s="4"/>
      <c r="U269" s="309"/>
      <c r="V269" s="310"/>
      <c r="W269" s="3"/>
      <c r="X269" s="251"/>
      <c r="Y269" s="412"/>
    </row>
    <row r="270" spans="1:25" ht="12.75">
      <c r="A270" s="406"/>
      <c r="B270" s="406"/>
      <c r="C270" s="406"/>
      <c r="D270" s="409"/>
      <c r="E270" s="400"/>
      <c r="F270" s="403"/>
      <c r="G270" s="5" t="s">
        <v>13</v>
      </c>
      <c r="H270" s="246" t="s">
        <v>14</v>
      </c>
      <c r="I270" s="247"/>
      <c r="J270" s="3"/>
      <c r="K270" s="249">
        <f t="shared" si="36"/>
        <v>0</v>
      </c>
      <c r="L270" s="3"/>
      <c r="M270" s="3"/>
      <c r="N270" s="3"/>
      <c r="O270" s="3"/>
      <c r="P270" s="3"/>
      <c r="Q270" s="3"/>
      <c r="R270" s="3"/>
      <c r="S270" s="3"/>
      <c r="T270" s="4"/>
      <c r="U270" s="309"/>
      <c r="V270" s="310"/>
      <c r="W270" s="3"/>
      <c r="X270" s="251"/>
      <c r="Y270" s="412"/>
    </row>
    <row r="271" spans="1:25" ht="12.75">
      <c r="A271" s="406"/>
      <c r="B271" s="406"/>
      <c r="C271" s="406"/>
      <c r="D271" s="409"/>
      <c r="E271" s="400"/>
      <c r="F271" s="404"/>
      <c r="G271" s="414">
        <f>SUM(J276:T276)</f>
        <v>0</v>
      </c>
      <c r="H271" s="246" t="s">
        <v>162</v>
      </c>
      <c r="I271" s="247"/>
      <c r="J271" s="3"/>
      <c r="K271" s="249">
        <f t="shared" si="36"/>
        <v>0</v>
      </c>
      <c r="L271" s="3">
        <v>15315</v>
      </c>
      <c r="M271" s="3">
        <f>K271+L271</f>
        <v>15315</v>
      </c>
      <c r="N271" s="3">
        <v>48090</v>
      </c>
      <c r="O271" s="3">
        <v>15770</v>
      </c>
      <c r="P271" s="3"/>
      <c r="Q271" s="3"/>
      <c r="R271" s="3"/>
      <c r="S271" s="3"/>
      <c r="T271" s="4"/>
      <c r="U271" s="309">
        <v>26425</v>
      </c>
      <c r="V271" s="310">
        <v>48090</v>
      </c>
      <c r="W271" s="3">
        <f>M271+U271</f>
        <v>41740</v>
      </c>
      <c r="X271" s="251">
        <f>W271/$G$274</f>
        <v>0.5271866119355857</v>
      </c>
      <c r="Y271" s="412"/>
    </row>
    <row r="272" spans="1:25" ht="12.75">
      <c r="A272" s="406"/>
      <c r="B272" s="406"/>
      <c r="C272" s="406"/>
      <c r="D272" s="409"/>
      <c r="E272" s="400"/>
      <c r="F272" s="416">
        <v>2014</v>
      </c>
      <c r="G272" s="415"/>
      <c r="H272" s="246" t="s">
        <v>163</v>
      </c>
      <c r="I272" s="247"/>
      <c r="J272" s="3"/>
      <c r="K272" s="249">
        <f t="shared" si="36"/>
        <v>0</v>
      </c>
      <c r="L272" s="3"/>
      <c r="M272" s="3"/>
      <c r="N272" s="3"/>
      <c r="O272" s="3"/>
      <c r="P272" s="3"/>
      <c r="Q272" s="3"/>
      <c r="R272" s="3"/>
      <c r="S272" s="3"/>
      <c r="T272" s="4"/>
      <c r="U272" s="309"/>
      <c r="V272" s="310"/>
      <c r="W272" s="3"/>
      <c r="X272" s="251"/>
      <c r="Y272" s="412"/>
    </row>
    <row r="273" spans="1:25" ht="12.75">
      <c r="A273" s="406"/>
      <c r="B273" s="406"/>
      <c r="C273" s="406"/>
      <c r="D273" s="409"/>
      <c r="E273" s="400"/>
      <c r="F273" s="403"/>
      <c r="G273" s="5" t="s">
        <v>17</v>
      </c>
      <c r="H273" s="246" t="s">
        <v>15</v>
      </c>
      <c r="I273" s="247"/>
      <c r="J273" s="3"/>
      <c r="K273" s="249">
        <f t="shared" si="36"/>
        <v>0</v>
      </c>
      <c r="L273" s="3"/>
      <c r="M273" s="3"/>
      <c r="N273" s="3"/>
      <c r="O273" s="3"/>
      <c r="P273" s="3"/>
      <c r="Q273" s="3"/>
      <c r="R273" s="3"/>
      <c r="S273" s="3"/>
      <c r="T273" s="4"/>
      <c r="U273" s="309"/>
      <c r="V273" s="310"/>
      <c r="W273" s="3"/>
      <c r="X273" s="251"/>
      <c r="Y273" s="412"/>
    </row>
    <row r="274" spans="1:25" ht="12.75">
      <c r="A274" s="406"/>
      <c r="B274" s="406"/>
      <c r="C274" s="406"/>
      <c r="D274" s="409"/>
      <c r="E274" s="400"/>
      <c r="F274" s="403"/>
      <c r="G274" s="414">
        <f>G268+G271</f>
        <v>79175</v>
      </c>
      <c r="H274" s="246" t="s">
        <v>16</v>
      </c>
      <c r="I274" s="247"/>
      <c r="J274" s="3"/>
      <c r="K274" s="249">
        <f t="shared" si="36"/>
        <v>0</v>
      </c>
      <c r="L274" s="3"/>
      <c r="M274" s="3"/>
      <c r="N274" s="3"/>
      <c r="O274" s="3"/>
      <c r="P274" s="3"/>
      <c r="Q274" s="3"/>
      <c r="R274" s="3"/>
      <c r="S274" s="3"/>
      <c r="T274" s="4"/>
      <c r="U274" s="309"/>
      <c r="V274" s="310"/>
      <c r="W274" s="3"/>
      <c r="X274" s="251"/>
      <c r="Y274" s="412"/>
    </row>
    <row r="275" spans="1:25" ht="12.75">
      <c r="A275" s="406"/>
      <c r="B275" s="406"/>
      <c r="C275" s="406"/>
      <c r="D275" s="409"/>
      <c r="E275" s="400"/>
      <c r="F275" s="403"/>
      <c r="G275" s="418"/>
      <c r="H275" s="246" t="s">
        <v>18</v>
      </c>
      <c r="I275" s="252">
        <f>I267+I269+I271+I273</f>
        <v>0</v>
      </c>
      <c r="J275" s="7">
        <f>J267+J269+J271+J273</f>
        <v>0</v>
      </c>
      <c r="K275" s="249">
        <f t="shared" si="36"/>
        <v>0</v>
      </c>
      <c r="L275" s="7">
        <f>L267+L269+L271+L273</f>
        <v>15315</v>
      </c>
      <c r="M275" s="3">
        <f>K275+L275</f>
        <v>15315</v>
      </c>
      <c r="N275" s="7">
        <f aca="true" t="shared" si="39" ref="N275:T276">N267+N269+N271+N273</f>
        <v>48090</v>
      </c>
      <c r="O275" s="7">
        <f t="shared" si="39"/>
        <v>15770</v>
      </c>
      <c r="P275" s="7">
        <f t="shared" si="39"/>
        <v>0</v>
      </c>
      <c r="Q275" s="7">
        <f t="shared" si="39"/>
        <v>0</v>
      </c>
      <c r="R275" s="7">
        <f t="shared" si="39"/>
        <v>0</v>
      </c>
      <c r="S275" s="7">
        <f t="shared" si="39"/>
        <v>0</v>
      </c>
      <c r="T275" s="123">
        <f t="shared" si="39"/>
        <v>0</v>
      </c>
      <c r="U275" s="311">
        <v>26425</v>
      </c>
      <c r="V275" s="314">
        <v>48090</v>
      </c>
      <c r="W275" s="3">
        <f>M275+U275</f>
        <v>41740</v>
      </c>
      <c r="X275" s="251">
        <f>W275/$G$274</f>
        <v>0.5271866119355857</v>
      </c>
      <c r="Y275" s="412"/>
    </row>
    <row r="276" spans="1:25" ht="13.5" thickBot="1">
      <c r="A276" s="407"/>
      <c r="B276" s="407"/>
      <c r="C276" s="407"/>
      <c r="D276" s="410"/>
      <c r="E276" s="401"/>
      <c r="F276" s="417"/>
      <c r="G276" s="419"/>
      <c r="H276" s="253" t="s">
        <v>19</v>
      </c>
      <c r="I276" s="254">
        <f>I268+I270+I272+I274</f>
        <v>0</v>
      </c>
      <c r="J276" s="10">
        <f>J268+J270+J272+J274</f>
        <v>0</v>
      </c>
      <c r="K276" s="255">
        <f t="shared" si="36"/>
        <v>0</v>
      </c>
      <c r="L276" s="10">
        <f>L268+L270+L272+L274</f>
        <v>0</v>
      </c>
      <c r="M276" s="76">
        <f>K276+L276</f>
        <v>0</v>
      </c>
      <c r="N276" s="10">
        <f t="shared" si="39"/>
        <v>0</v>
      </c>
      <c r="O276" s="10">
        <f t="shared" si="39"/>
        <v>0</v>
      </c>
      <c r="P276" s="10">
        <f t="shared" si="39"/>
        <v>0</v>
      </c>
      <c r="Q276" s="10">
        <f t="shared" si="39"/>
        <v>0</v>
      </c>
      <c r="R276" s="10">
        <f t="shared" si="39"/>
        <v>0</v>
      </c>
      <c r="S276" s="10">
        <f t="shared" si="39"/>
        <v>0</v>
      </c>
      <c r="T276" s="124">
        <f t="shared" si="39"/>
        <v>0</v>
      </c>
      <c r="U276" s="312">
        <v>0</v>
      </c>
      <c r="V276" s="315">
        <v>0</v>
      </c>
      <c r="W276" s="76">
        <f>M276+U276</f>
        <v>0</v>
      </c>
      <c r="X276" s="258">
        <f>W276/$G$274</f>
        <v>0</v>
      </c>
      <c r="Y276" s="413"/>
    </row>
    <row r="277" spans="1:25" ht="12.75" customHeight="1">
      <c r="A277" s="405">
        <f>A267+1</f>
        <v>28</v>
      </c>
      <c r="B277" s="405">
        <v>801</v>
      </c>
      <c r="C277" s="405">
        <v>80110</v>
      </c>
      <c r="D277" s="408" t="s">
        <v>192</v>
      </c>
      <c r="E277" s="399" t="s">
        <v>200</v>
      </c>
      <c r="F277" s="402">
        <v>2012</v>
      </c>
      <c r="G277" s="1" t="s">
        <v>9</v>
      </c>
      <c r="H277" s="241" t="s">
        <v>10</v>
      </c>
      <c r="I277" s="242"/>
      <c r="J277" s="243"/>
      <c r="K277" s="243">
        <f t="shared" si="36"/>
        <v>0</v>
      </c>
      <c r="L277" s="2"/>
      <c r="M277" s="244"/>
      <c r="N277" s="243"/>
      <c r="O277" s="243"/>
      <c r="P277" s="243"/>
      <c r="Q277" s="243"/>
      <c r="R277" s="243"/>
      <c r="S277" s="243"/>
      <c r="T277" s="2"/>
      <c r="U277" s="307"/>
      <c r="V277" s="308"/>
      <c r="W277" s="243"/>
      <c r="X277" s="260"/>
      <c r="Y277" s="411">
        <f>N285+O285+P285+Q285+R285+S285+N286+O286+P286+Q286+R286+T285+T286+S286</f>
        <v>74080</v>
      </c>
    </row>
    <row r="278" spans="1:25" ht="12.75">
      <c r="A278" s="406"/>
      <c r="B278" s="406"/>
      <c r="C278" s="406"/>
      <c r="D278" s="409"/>
      <c r="E278" s="400"/>
      <c r="F278" s="403"/>
      <c r="G278" s="414">
        <f>M285+N285+O285</f>
        <v>79812</v>
      </c>
      <c r="H278" s="246" t="s">
        <v>11</v>
      </c>
      <c r="I278" s="247"/>
      <c r="J278" s="3"/>
      <c r="K278" s="249">
        <f t="shared" si="36"/>
        <v>0</v>
      </c>
      <c r="L278" s="4"/>
      <c r="M278" s="250"/>
      <c r="N278" s="3"/>
      <c r="O278" s="3"/>
      <c r="P278" s="3"/>
      <c r="Q278" s="3"/>
      <c r="R278" s="3"/>
      <c r="S278" s="3"/>
      <c r="T278" s="4"/>
      <c r="U278" s="309"/>
      <c r="V278" s="310"/>
      <c r="W278" s="3"/>
      <c r="X278" s="251"/>
      <c r="Y278" s="412"/>
    </row>
    <row r="279" spans="1:25" ht="12.75">
      <c r="A279" s="406"/>
      <c r="B279" s="406"/>
      <c r="C279" s="406"/>
      <c r="D279" s="409"/>
      <c r="E279" s="400"/>
      <c r="F279" s="403"/>
      <c r="G279" s="415"/>
      <c r="H279" s="246" t="s">
        <v>12</v>
      </c>
      <c r="I279" s="247"/>
      <c r="J279" s="3"/>
      <c r="K279" s="249">
        <f t="shared" si="36"/>
        <v>0</v>
      </c>
      <c r="L279" s="4"/>
      <c r="M279" s="250"/>
      <c r="N279" s="3"/>
      <c r="O279" s="3"/>
      <c r="P279" s="3"/>
      <c r="Q279" s="3"/>
      <c r="R279" s="3"/>
      <c r="S279" s="3"/>
      <c r="T279" s="4"/>
      <c r="U279" s="309"/>
      <c r="V279" s="310"/>
      <c r="W279" s="3"/>
      <c r="X279" s="251"/>
      <c r="Y279" s="412"/>
    </row>
    <row r="280" spans="1:25" ht="12.75">
      <c r="A280" s="406"/>
      <c r="B280" s="406"/>
      <c r="C280" s="406"/>
      <c r="D280" s="409"/>
      <c r="E280" s="400"/>
      <c r="F280" s="403"/>
      <c r="G280" s="5" t="s">
        <v>13</v>
      </c>
      <c r="H280" s="246" t="s">
        <v>14</v>
      </c>
      <c r="I280" s="247"/>
      <c r="J280" s="3"/>
      <c r="K280" s="249">
        <f t="shared" si="36"/>
        <v>0</v>
      </c>
      <c r="L280" s="4"/>
      <c r="M280" s="250"/>
      <c r="N280" s="3"/>
      <c r="O280" s="3"/>
      <c r="P280" s="3"/>
      <c r="Q280" s="3"/>
      <c r="R280" s="3"/>
      <c r="S280" s="3"/>
      <c r="T280" s="4"/>
      <c r="U280" s="309"/>
      <c r="V280" s="310"/>
      <c r="W280" s="3"/>
      <c r="X280" s="251"/>
      <c r="Y280" s="412"/>
    </row>
    <row r="281" spans="1:25" ht="12.75">
      <c r="A281" s="406"/>
      <c r="B281" s="406"/>
      <c r="C281" s="406"/>
      <c r="D281" s="409"/>
      <c r="E281" s="400"/>
      <c r="F281" s="404"/>
      <c r="G281" s="414">
        <f>SUM(J286:T286)</f>
        <v>0</v>
      </c>
      <c r="H281" s="246" t="s">
        <v>162</v>
      </c>
      <c r="I281" s="247"/>
      <c r="J281" s="3"/>
      <c r="K281" s="249">
        <f t="shared" si="36"/>
        <v>0</v>
      </c>
      <c r="L281" s="4">
        <v>5732</v>
      </c>
      <c r="M281" s="250">
        <f>K281+L281</f>
        <v>5732</v>
      </c>
      <c r="N281" s="3">
        <v>58118</v>
      </c>
      <c r="O281" s="3">
        <v>15962</v>
      </c>
      <c r="P281" s="3"/>
      <c r="Q281" s="3"/>
      <c r="R281" s="3"/>
      <c r="S281" s="3"/>
      <c r="T281" s="4"/>
      <c r="U281" s="309">
        <v>29618</v>
      </c>
      <c r="V281" s="310">
        <v>58118</v>
      </c>
      <c r="W281" s="3">
        <f>M281+U281</f>
        <v>35350</v>
      </c>
      <c r="X281" s="251">
        <f>W281/$G$284</f>
        <v>0.44291585225279406</v>
      </c>
      <c r="Y281" s="412"/>
    </row>
    <row r="282" spans="1:25" ht="12.75">
      <c r="A282" s="406"/>
      <c r="B282" s="406"/>
      <c r="C282" s="406"/>
      <c r="D282" s="409"/>
      <c r="E282" s="400"/>
      <c r="F282" s="416">
        <v>2014</v>
      </c>
      <c r="G282" s="415"/>
      <c r="H282" s="246" t="s">
        <v>163</v>
      </c>
      <c r="I282" s="247"/>
      <c r="J282" s="3"/>
      <c r="K282" s="249">
        <f t="shared" si="36"/>
        <v>0</v>
      </c>
      <c r="L282" s="4"/>
      <c r="M282" s="250"/>
      <c r="N282" s="3"/>
      <c r="O282" s="3"/>
      <c r="P282" s="3"/>
      <c r="Q282" s="3"/>
      <c r="R282" s="3"/>
      <c r="S282" s="3"/>
      <c r="T282" s="4"/>
      <c r="U282" s="309"/>
      <c r="V282" s="310"/>
      <c r="W282" s="3"/>
      <c r="X282" s="251"/>
      <c r="Y282" s="412"/>
    </row>
    <row r="283" spans="1:25" ht="12.75">
      <c r="A283" s="406"/>
      <c r="B283" s="406"/>
      <c r="C283" s="406"/>
      <c r="D283" s="409"/>
      <c r="E283" s="400"/>
      <c r="F283" s="403"/>
      <c r="G283" s="5" t="s">
        <v>17</v>
      </c>
      <c r="H283" s="246" t="s">
        <v>15</v>
      </c>
      <c r="I283" s="247"/>
      <c r="J283" s="3"/>
      <c r="K283" s="249">
        <f t="shared" si="36"/>
        <v>0</v>
      </c>
      <c r="L283" s="4"/>
      <c r="M283" s="250"/>
      <c r="N283" s="3"/>
      <c r="O283" s="3"/>
      <c r="P283" s="3"/>
      <c r="Q283" s="3"/>
      <c r="R283" s="3"/>
      <c r="S283" s="3"/>
      <c r="T283" s="4"/>
      <c r="U283" s="309"/>
      <c r="V283" s="310"/>
      <c r="W283" s="3"/>
      <c r="X283" s="251"/>
      <c r="Y283" s="412"/>
    </row>
    <row r="284" spans="1:25" ht="12.75">
      <c r="A284" s="406"/>
      <c r="B284" s="406"/>
      <c r="C284" s="406"/>
      <c r="D284" s="409"/>
      <c r="E284" s="400"/>
      <c r="F284" s="403"/>
      <c r="G284" s="414">
        <f>G278+G281</f>
        <v>79812</v>
      </c>
      <c r="H284" s="246" t="s">
        <v>16</v>
      </c>
      <c r="I284" s="247"/>
      <c r="J284" s="3"/>
      <c r="K284" s="249">
        <f t="shared" si="36"/>
        <v>0</v>
      </c>
      <c r="L284" s="4"/>
      <c r="M284" s="250"/>
      <c r="N284" s="3"/>
      <c r="O284" s="3"/>
      <c r="P284" s="3"/>
      <c r="Q284" s="3"/>
      <c r="R284" s="3"/>
      <c r="S284" s="3"/>
      <c r="T284" s="4"/>
      <c r="U284" s="309"/>
      <c r="V284" s="310"/>
      <c r="W284" s="3"/>
      <c r="X284" s="251"/>
      <c r="Y284" s="412"/>
    </row>
    <row r="285" spans="1:25" ht="12.75">
      <c r="A285" s="406"/>
      <c r="B285" s="406"/>
      <c r="C285" s="406"/>
      <c r="D285" s="409"/>
      <c r="E285" s="400"/>
      <c r="F285" s="403"/>
      <c r="G285" s="418"/>
      <c r="H285" s="246" t="s">
        <v>18</v>
      </c>
      <c r="I285" s="252">
        <f>I277+I279+I281+I283</f>
        <v>0</v>
      </c>
      <c r="J285" s="7">
        <f>J277+J279+J281+J283</f>
        <v>0</v>
      </c>
      <c r="K285" s="249">
        <f t="shared" si="36"/>
        <v>0</v>
      </c>
      <c r="L285" s="123">
        <f>L277+L279+L281+L283</f>
        <v>5732</v>
      </c>
      <c r="M285" s="250">
        <f>K285+L285</f>
        <v>5732</v>
      </c>
      <c r="N285" s="7">
        <f aca="true" t="shared" si="40" ref="N285:T286">N277+N279+N281+N283</f>
        <v>58118</v>
      </c>
      <c r="O285" s="7">
        <f t="shared" si="40"/>
        <v>15962</v>
      </c>
      <c r="P285" s="7">
        <f t="shared" si="40"/>
        <v>0</v>
      </c>
      <c r="Q285" s="7">
        <f t="shared" si="40"/>
        <v>0</v>
      </c>
      <c r="R285" s="7">
        <f t="shared" si="40"/>
        <v>0</v>
      </c>
      <c r="S285" s="7">
        <f t="shared" si="40"/>
        <v>0</v>
      </c>
      <c r="T285" s="123">
        <f t="shared" si="40"/>
        <v>0</v>
      </c>
      <c r="U285" s="311">
        <v>29618</v>
      </c>
      <c r="V285" s="314">
        <v>58118</v>
      </c>
      <c r="W285" s="3">
        <f>M285+U285</f>
        <v>35350</v>
      </c>
      <c r="X285" s="251">
        <f>W285/$G$284</f>
        <v>0.44291585225279406</v>
      </c>
      <c r="Y285" s="412"/>
    </row>
    <row r="286" spans="1:25" ht="13.5" thickBot="1">
      <c r="A286" s="407"/>
      <c r="B286" s="407"/>
      <c r="C286" s="407"/>
      <c r="D286" s="410"/>
      <c r="E286" s="401"/>
      <c r="F286" s="417"/>
      <c r="G286" s="419"/>
      <c r="H286" s="253" t="s">
        <v>19</v>
      </c>
      <c r="I286" s="254">
        <f>I278+I280+I282+I284</f>
        <v>0</v>
      </c>
      <c r="J286" s="10">
        <f>J278+J280+J282+J284</f>
        <v>0</v>
      </c>
      <c r="K286" s="255">
        <f aca="true" t="shared" si="41" ref="K286:K317">I286+J286</f>
        <v>0</v>
      </c>
      <c r="L286" s="124">
        <f>L278+L280+L282+L284</f>
        <v>0</v>
      </c>
      <c r="M286" s="256">
        <f>K286+L286</f>
        <v>0</v>
      </c>
      <c r="N286" s="10">
        <f t="shared" si="40"/>
        <v>0</v>
      </c>
      <c r="O286" s="10">
        <f t="shared" si="40"/>
        <v>0</v>
      </c>
      <c r="P286" s="10">
        <f t="shared" si="40"/>
        <v>0</v>
      </c>
      <c r="Q286" s="10">
        <f t="shared" si="40"/>
        <v>0</v>
      </c>
      <c r="R286" s="10">
        <f t="shared" si="40"/>
        <v>0</v>
      </c>
      <c r="S286" s="10">
        <f t="shared" si="40"/>
        <v>0</v>
      </c>
      <c r="T286" s="124">
        <f t="shared" si="40"/>
        <v>0</v>
      </c>
      <c r="U286" s="312">
        <v>0</v>
      </c>
      <c r="V286" s="315">
        <v>0</v>
      </c>
      <c r="W286" s="76">
        <f>M286+U286</f>
        <v>0</v>
      </c>
      <c r="X286" s="258">
        <f>W286/$G$284</f>
        <v>0</v>
      </c>
      <c r="Y286" s="413"/>
    </row>
    <row r="287" spans="1:25" ht="12.75" customHeight="1">
      <c r="A287" s="405">
        <f>A277+1</f>
        <v>29</v>
      </c>
      <c r="B287" s="405">
        <v>801</v>
      </c>
      <c r="C287" s="405">
        <v>80130</v>
      </c>
      <c r="D287" s="408" t="s">
        <v>194</v>
      </c>
      <c r="E287" s="399" t="s">
        <v>201</v>
      </c>
      <c r="F287" s="402">
        <v>2012</v>
      </c>
      <c r="G287" s="1" t="s">
        <v>9</v>
      </c>
      <c r="H287" s="241" t="s">
        <v>10</v>
      </c>
      <c r="I287" s="242"/>
      <c r="J287" s="243"/>
      <c r="K287" s="243">
        <f t="shared" si="41"/>
        <v>0</v>
      </c>
      <c r="L287" s="243"/>
      <c r="M287" s="243"/>
      <c r="N287" s="243"/>
      <c r="O287" s="243"/>
      <c r="P287" s="243"/>
      <c r="Q287" s="243"/>
      <c r="R287" s="243"/>
      <c r="S287" s="243"/>
      <c r="T287" s="2"/>
      <c r="U287" s="307"/>
      <c r="V287" s="308"/>
      <c r="W287" s="243"/>
      <c r="X287" s="260"/>
      <c r="Y287" s="411">
        <f>N295+O295+P295+Q295+R295+S295+N296+O296+P296+Q296+R296+T295+T296+S296</f>
        <v>72224</v>
      </c>
    </row>
    <row r="288" spans="1:25" ht="12.75">
      <c r="A288" s="406"/>
      <c r="B288" s="406"/>
      <c r="C288" s="406"/>
      <c r="D288" s="409"/>
      <c r="E288" s="400"/>
      <c r="F288" s="403"/>
      <c r="G288" s="414">
        <f>M295+N295+O295</f>
        <v>81200</v>
      </c>
      <c r="H288" s="246" t="s">
        <v>11</v>
      </c>
      <c r="I288" s="247"/>
      <c r="J288" s="3"/>
      <c r="K288" s="249">
        <f t="shared" si="41"/>
        <v>0</v>
      </c>
      <c r="L288" s="3"/>
      <c r="M288" s="3"/>
      <c r="N288" s="3"/>
      <c r="O288" s="3"/>
      <c r="P288" s="3"/>
      <c r="Q288" s="3"/>
      <c r="R288" s="3"/>
      <c r="S288" s="3"/>
      <c r="T288" s="4"/>
      <c r="U288" s="309"/>
      <c r="V288" s="310"/>
      <c r="W288" s="3"/>
      <c r="X288" s="251"/>
      <c r="Y288" s="412"/>
    </row>
    <row r="289" spans="1:25" ht="12.75">
      <c r="A289" s="406"/>
      <c r="B289" s="406"/>
      <c r="C289" s="406"/>
      <c r="D289" s="409"/>
      <c r="E289" s="400"/>
      <c r="F289" s="403"/>
      <c r="G289" s="415"/>
      <c r="H289" s="246" t="s">
        <v>12</v>
      </c>
      <c r="I289" s="247"/>
      <c r="J289" s="3"/>
      <c r="K289" s="249">
        <f t="shared" si="41"/>
        <v>0</v>
      </c>
      <c r="L289" s="3"/>
      <c r="M289" s="3"/>
      <c r="N289" s="3"/>
      <c r="O289" s="3"/>
      <c r="P289" s="3"/>
      <c r="Q289" s="3"/>
      <c r="R289" s="3"/>
      <c r="S289" s="3"/>
      <c r="T289" s="4"/>
      <c r="U289" s="309"/>
      <c r="V289" s="310"/>
      <c r="W289" s="3"/>
      <c r="X289" s="251"/>
      <c r="Y289" s="412"/>
    </row>
    <row r="290" spans="1:25" ht="15" customHeight="1">
      <c r="A290" s="406"/>
      <c r="B290" s="406"/>
      <c r="C290" s="406"/>
      <c r="D290" s="409"/>
      <c r="E290" s="400"/>
      <c r="F290" s="403"/>
      <c r="G290" s="5" t="s">
        <v>13</v>
      </c>
      <c r="H290" s="246" t="s">
        <v>14</v>
      </c>
      <c r="I290" s="247"/>
      <c r="J290" s="3"/>
      <c r="K290" s="249">
        <f t="shared" si="41"/>
        <v>0</v>
      </c>
      <c r="L290" s="3"/>
      <c r="M290" s="3"/>
      <c r="N290" s="3"/>
      <c r="O290" s="3"/>
      <c r="P290" s="3"/>
      <c r="Q290" s="3"/>
      <c r="R290" s="3"/>
      <c r="S290" s="3"/>
      <c r="T290" s="4"/>
      <c r="U290" s="309"/>
      <c r="V290" s="310"/>
      <c r="W290" s="3"/>
      <c r="X290" s="251"/>
      <c r="Y290" s="412"/>
    </row>
    <row r="291" spans="1:25" ht="12.75">
      <c r="A291" s="406"/>
      <c r="B291" s="406"/>
      <c r="C291" s="406"/>
      <c r="D291" s="409"/>
      <c r="E291" s="400"/>
      <c r="F291" s="404"/>
      <c r="G291" s="414">
        <f>SUM(K296:T296)</f>
        <v>0</v>
      </c>
      <c r="H291" s="246" t="s">
        <v>162</v>
      </c>
      <c r="I291" s="247"/>
      <c r="J291" s="3"/>
      <c r="K291" s="249">
        <f t="shared" si="41"/>
        <v>0</v>
      </c>
      <c r="L291" s="3">
        <v>8976</v>
      </c>
      <c r="M291" s="3">
        <f>K291+L291</f>
        <v>8976</v>
      </c>
      <c r="N291" s="3">
        <v>55986</v>
      </c>
      <c r="O291" s="3">
        <v>16238</v>
      </c>
      <c r="P291" s="3"/>
      <c r="Q291" s="3"/>
      <c r="R291" s="3"/>
      <c r="S291" s="3"/>
      <c r="T291" s="4"/>
      <c r="U291" s="309">
        <v>23369</v>
      </c>
      <c r="V291" s="310">
        <v>55986</v>
      </c>
      <c r="W291" s="3">
        <f>M291+U291</f>
        <v>32345</v>
      </c>
      <c r="X291" s="251">
        <f>W291/$G$294</f>
        <v>0.39833743842364533</v>
      </c>
      <c r="Y291" s="412"/>
    </row>
    <row r="292" spans="1:25" ht="12.75">
      <c r="A292" s="406"/>
      <c r="B292" s="406"/>
      <c r="C292" s="406"/>
      <c r="D292" s="409"/>
      <c r="E292" s="400"/>
      <c r="F292" s="416">
        <v>2014</v>
      </c>
      <c r="G292" s="415"/>
      <c r="H292" s="246" t="s">
        <v>163</v>
      </c>
      <c r="I292" s="247"/>
      <c r="J292" s="3"/>
      <c r="K292" s="249">
        <f t="shared" si="41"/>
        <v>0</v>
      </c>
      <c r="L292" s="3"/>
      <c r="M292" s="3"/>
      <c r="N292" s="3"/>
      <c r="O292" s="3"/>
      <c r="P292" s="3"/>
      <c r="Q292" s="3"/>
      <c r="R292" s="3"/>
      <c r="S292" s="3"/>
      <c r="T292" s="4"/>
      <c r="U292" s="309"/>
      <c r="V292" s="310"/>
      <c r="W292" s="3"/>
      <c r="X292" s="251"/>
      <c r="Y292" s="412"/>
    </row>
    <row r="293" spans="1:25" ht="12.75">
      <c r="A293" s="406"/>
      <c r="B293" s="406"/>
      <c r="C293" s="406"/>
      <c r="D293" s="409"/>
      <c r="E293" s="400"/>
      <c r="F293" s="403"/>
      <c r="G293" s="5" t="s">
        <v>17</v>
      </c>
      <c r="H293" s="246" t="s">
        <v>15</v>
      </c>
      <c r="I293" s="247"/>
      <c r="J293" s="3"/>
      <c r="K293" s="249">
        <f t="shared" si="41"/>
        <v>0</v>
      </c>
      <c r="L293" s="3"/>
      <c r="M293" s="3"/>
      <c r="N293" s="3"/>
      <c r="O293" s="3"/>
      <c r="P293" s="3"/>
      <c r="Q293" s="3"/>
      <c r="R293" s="3"/>
      <c r="S293" s="3"/>
      <c r="T293" s="4"/>
      <c r="U293" s="309"/>
      <c r="V293" s="310"/>
      <c r="W293" s="3"/>
      <c r="X293" s="251"/>
      <c r="Y293" s="412"/>
    </row>
    <row r="294" spans="1:25" ht="14.25" customHeight="1">
      <c r="A294" s="406"/>
      <c r="B294" s="406"/>
      <c r="C294" s="406"/>
      <c r="D294" s="409"/>
      <c r="E294" s="400"/>
      <c r="F294" s="403"/>
      <c r="G294" s="414">
        <f>G288+G291</f>
        <v>81200</v>
      </c>
      <c r="H294" s="246" t="s">
        <v>16</v>
      </c>
      <c r="I294" s="247"/>
      <c r="J294" s="3"/>
      <c r="K294" s="249">
        <f t="shared" si="41"/>
        <v>0</v>
      </c>
      <c r="L294" s="3"/>
      <c r="M294" s="3"/>
      <c r="N294" s="3"/>
      <c r="O294" s="3"/>
      <c r="P294" s="3"/>
      <c r="Q294" s="3"/>
      <c r="R294" s="3"/>
      <c r="S294" s="3"/>
      <c r="T294" s="4"/>
      <c r="U294" s="309"/>
      <c r="V294" s="310"/>
      <c r="W294" s="3"/>
      <c r="X294" s="251"/>
      <c r="Y294" s="412"/>
    </row>
    <row r="295" spans="1:25" ht="12.75">
      <c r="A295" s="406"/>
      <c r="B295" s="406"/>
      <c r="C295" s="406"/>
      <c r="D295" s="409"/>
      <c r="E295" s="400"/>
      <c r="F295" s="403"/>
      <c r="G295" s="418"/>
      <c r="H295" s="246" t="s">
        <v>18</v>
      </c>
      <c r="I295" s="252">
        <f>I287+I289+I291+I293</f>
        <v>0</v>
      </c>
      <c r="J295" s="7">
        <f>J287+J289+J291+J293</f>
        <v>0</v>
      </c>
      <c r="K295" s="249">
        <f t="shared" si="41"/>
        <v>0</v>
      </c>
      <c r="L295" s="7">
        <f>L287+L289+L291+L293</f>
        <v>8976</v>
      </c>
      <c r="M295" s="3">
        <f>K295+L295</f>
        <v>8976</v>
      </c>
      <c r="N295" s="7">
        <f aca="true" t="shared" si="42" ref="N295:T296">N287+N289+N291+N293</f>
        <v>55986</v>
      </c>
      <c r="O295" s="7">
        <f t="shared" si="42"/>
        <v>16238</v>
      </c>
      <c r="P295" s="7">
        <f t="shared" si="42"/>
        <v>0</v>
      </c>
      <c r="Q295" s="7">
        <f t="shared" si="42"/>
        <v>0</v>
      </c>
      <c r="R295" s="7">
        <f t="shared" si="42"/>
        <v>0</v>
      </c>
      <c r="S295" s="7">
        <f t="shared" si="42"/>
        <v>0</v>
      </c>
      <c r="T295" s="123">
        <f t="shared" si="42"/>
        <v>0</v>
      </c>
      <c r="U295" s="311">
        <v>23369</v>
      </c>
      <c r="V295" s="314">
        <v>55986</v>
      </c>
      <c r="W295" s="3">
        <f>M295+U295</f>
        <v>32345</v>
      </c>
      <c r="X295" s="251">
        <f>W295/$G$294</f>
        <v>0.39833743842364533</v>
      </c>
      <c r="Y295" s="412"/>
    </row>
    <row r="296" spans="1:25" ht="15" customHeight="1" thickBot="1">
      <c r="A296" s="407"/>
      <c r="B296" s="407"/>
      <c r="C296" s="407"/>
      <c r="D296" s="410"/>
      <c r="E296" s="401"/>
      <c r="F296" s="417"/>
      <c r="G296" s="419"/>
      <c r="H296" s="253" t="s">
        <v>19</v>
      </c>
      <c r="I296" s="254">
        <f>I288+I290+I292+I294</f>
        <v>0</v>
      </c>
      <c r="J296" s="10">
        <f>J288+J290+J292+J294</f>
        <v>0</v>
      </c>
      <c r="K296" s="255">
        <f t="shared" si="41"/>
        <v>0</v>
      </c>
      <c r="L296" s="10">
        <f>L288+L290+L292+L294</f>
        <v>0</v>
      </c>
      <c r="M296" s="76">
        <f>K296+L296</f>
        <v>0</v>
      </c>
      <c r="N296" s="10">
        <f t="shared" si="42"/>
        <v>0</v>
      </c>
      <c r="O296" s="10">
        <f t="shared" si="42"/>
        <v>0</v>
      </c>
      <c r="P296" s="10">
        <f t="shared" si="42"/>
        <v>0</v>
      </c>
      <c r="Q296" s="10">
        <f t="shared" si="42"/>
        <v>0</v>
      </c>
      <c r="R296" s="10">
        <f t="shared" si="42"/>
        <v>0</v>
      </c>
      <c r="S296" s="10">
        <f t="shared" si="42"/>
        <v>0</v>
      </c>
      <c r="T296" s="124">
        <f t="shared" si="42"/>
        <v>0</v>
      </c>
      <c r="U296" s="312">
        <v>0</v>
      </c>
      <c r="V296" s="315">
        <v>0</v>
      </c>
      <c r="W296" s="76">
        <f>M296+U296</f>
        <v>0</v>
      </c>
      <c r="X296" s="258">
        <f>W296/$G$294</f>
        <v>0</v>
      </c>
      <c r="Y296" s="413"/>
    </row>
    <row r="297" spans="1:25" ht="12.75" customHeight="1">
      <c r="A297" s="405">
        <f>A287+1</f>
        <v>30</v>
      </c>
      <c r="B297" s="405">
        <v>801</v>
      </c>
      <c r="C297" s="405">
        <v>80130</v>
      </c>
      <c r="D297" s="408" t="s">
        <v>202</v>
      </c>
      <c r="E297" s="399" t="s">
        <v>203</v>
      </c>
      <c r="F297" s="402">
        <v>2012</v>
      </c>
      <c r="G297" s="1" t="s">
        <v>9</v>
      </c>
      <c r="H297" s="241" t="s">
        <v>10</v>
      </c>
      <c r="I297" s="242"/>
      <c r="J297" s="243"/>
      <c r="K297" s="243">
        <f t="shared" si="41"/>
        <v>0</v>
      </c>
      <c r="L297" s="2"/>
      <c r="M297" s="244"/>
      <c r="N297" s="243"/>
      <c r="O297" s="243"/>
      <c r="P297" s="243"/>
      <c r="Q297" s="243"/>
      <c r="R297" s="243"/>
      <c r="S297" s="243"/>
      <c r="T297" s="2"/>
      <c r="U297" s="307"/>
      <c r="V297" s="308"/>
      <c r="W297" s="243"/>
      <c r="X297" s="260"/>
      <c r="Y297" s="411">
        <f>N305+O305+P305+Q305+R305+S305+N306+O306+P306+Q306+R306+T305+T306+S306</f>
        <v>81691</v>
      </c>
    </row>
    <row r="298" spans="1:25" ht="12.75">
      <c r="A298" s="406"/>
      <c r="B298" s="406"/>
      <c r="C298" s="406"/>
      <c r="D298" s="409"/>
      <c r="E298" s="400"/>
      <c r="F298" s="403"/>
      <c r="G298" s="414">
        <f>M305+N305+O305</f>
        <v>89356</v>
      </c>
      <c r="H298" s="246" t="s">
        <v>11</v>
      </c>
      <c r="I298" s="247"/>
      <c r="J298" s="3"/>
      <c r="K298" s="249">
        <f t="shared" si="41"/>
        <v>0</v>
      </c>
      <c r="L298" s="4"/>
      <c r="M298" s="250"/>
      <c r="N298" s="3"/>
      <c r="O298" s="3"/>
      <c r="P298" s="3"/>
      <c r="Q298" s="3"/>
      <c r="R298" s="3"/>
      <c r="S298" s="3"/>
      <c r="T298" s="4"/>
      <c r="U298" s="309"/>
      <c r="V298" s="310"/>
      <c r="W298" s="3"/>
      <c r="X298" s="251"/>
      <c r="Y298" s="412"/>
    </row>
    <row r="299" spans="1:25" ht="12.75">
      <c r="A299" s="406"/>
      <c r="B299" s="406"/>
      <c r="C299" s="406"/>
      <c r="D299" s="409"/>
      <c r="E299" s="400"/>
      <c r="F299" s="403"/>
      <c r="G299" s="415"/>
      <c r="H299" s="246" t="s">
        <v>12</v>
      </c>
      <c r="I299" s="247"/>
      <c r="J299" s="3"/>
      <c r="K299" s="249">
        <f t="shared" si="41"/>
        <v>0</v>
      </c>
      <c r="L299" s="4"/>
      <c r="M299" s="250"/>
      <c r="N299" s="3"/>
      <c r="O299" s="3"/>
      <c r="P299" s="3"/>
      <c r="Q299" s="3"/>
      <c r="R299" s="3"/>
      <c r="S299" s="3"/>
      <c r="T299" s="4"/>
      <c r="U299" s="309"/>
      <c r="V299" s="310"/>
      <c r="W299" s="3"/>
      <c r="X299" s="251"/>
      <c r="Y299" s="412"/>
    </row>
    <row r="300" spans="1:25" ht="12.75">
      <c r="A300" s="406"/>
      <c r="B300" s="406"/>
      <c r="C300" s="406"/>
      <c r="D300" s="409"/>
      <c r="E300" s="400"/>
      <c r="F300" s="403"/>
      <c r="G300" s="5" t="s">
        <v>13</v>
      </c>
      <c r="H300" s="246" t="s">
        <v>14</v>
      </c>
      <c r="I300" s="247"/>
      <c r="J300" s="3"/>
      <c r="K300" s="249">
        <f t="shared" si="41"/>
        <v>0</v>
      </c>
      <c r="L300" s="4"/>
      <c r="M300" s="250"/>
      <c r="N300" s="3"/>
      <c r="O300" s="3"/>
      <c r="P300" s="3"/>
      <c r="Q300" s="3"/>
      <c r="R300" s="3"/>
      <c r="S300" s="3"/>
      <c r="T300" s="4"/>
      <c r="U300" s="309"/>
      <c r="V300" s="310"/>
      <c r="W300" s="3"/>
      <c r="X300" s="251"/>
      <c r="Y300" s="412"/>
    </row>
    <row r="301" spans="1:25" ht="12.75">
      <c r="A301" s="406"/>
      <c r="B301" s="406"/>
      <c r="C301" s="406"/>
      <c r="D301" s="409"/>
      <c r="E301" s="400"/>
      <c r="F301" s="404"/>
      <c r="G301" s="414">
        <f>SUM(J306:T306)</f>
        <v>0</v>
      </c>
      <c r="H301" s="246" t="s">
        <v>162</v>
      </c>
      <c r="I301" s="247"/>
      <c r="J301" s="3"/>
      <c r="K301" s="249">
        <f t="shared" si="41"/>
        <v>0</v>
      </c>
      <c r="L301" s="4">
        <v>7665</v>
      </c>
      <c r="M301" s="250">
        <f>K301+L301</f>
        <v>7665</v>
      </c>
      <c r="N301" s="3">
        <v>63820</v>
      </c>
      <c r="O301" s="3">
        <v>17871</v>
      </c>
      <c r="P301" s="3"/>
      <c r="Q301" s="3"/>
      <c r="R301" s="3"/>
      <c r="S301" s="3"/>
      <c r="T301" s="4"/>
      <c r="U301" s="309">
        <v>22438</v>
      </c>
      <c r="V301" s="310">
        <v>63820</v>
      </c>
      <c r="W301" s="3">
        <f>M301+U301</f>
        <v>30103</v>
      </c>
      <c r="X301" s="251">
        <f>W301/$G$304</f>
        <v>0.33688840145037824</v>
      </c>
      <c r="Y301" s="412"/>
    </row>
    <row r="302" spans="1:25" ht="12.75">
      <c r="A302" s="406"/>
      <c r="B302" s="406"/>
      <c r="C302" s="406"/>
      <c r="D302" s="409"/>
      <c r="E302" s="400"/>
      <c r="F302" s="416">
        <v>2014</v>
      </c>
      <c r="G302" s="415"/>
      <c r="H302" s="246" t="s">
        <v>163</v>
      </c>
      <c r="I302" s="247"/>
      <c r="J302" s="3"/>
      <c r="K302" s="249">
        <f t="shared" si="41"/>
        <v>0</v>
      </c>
      <c r="L302" s="4"/>
      <c r="M302" s="250"/>
      <c r="N302" s="3"/>
      <c r="O302" s="3"/>
      <c r="P302" s="3"/>
      <c r="Q302" s="3"/>
      <c r="R302" s="3"/>
      <c r="S302" s="3"/>
      <c r="T302" s="4"/>
      <c r="U302" s="309"/>
      <c r="V302" s="310"/>
      <c r="W302" s="3"/>
      <c r="X302" s="251"/>
      <c r="Y302" s="412"/>
    </row>
    <row r="303" spans="1:25" ht="12.75">
      <c r="A303" s="406"/>
      <c r="B303" s="406"/>
      <c r="C303" s="406"/>
      <c r="D303" s="409"/>
      <c r="E303" s="400"/>
      <c r="F303" s="403"/>
      <c r="G303" s="5" t="s">
        <v>17</v>
      </c>
      <c r="H303" s="246" t="s">
        <v>15</v>
      </c>
      <c r="I303" s="247"/>
      <c r="J303" s="3"/>
      <c r="K303" s="249">
        <f t="shared" si="41"/>
        <v>0</v>
      </c>
      <c r="L303" s="4"/>
      <c r="M303" s="250"/>
      <c r="N303" s="3"/>
      <c r="O303" s="3"/>
      <c r="P303" s="3"/>
      <c r="Q303" s="3"/>
      <c r="R303" s="3"/>
      <c r="S303" s="3"/>
      <c r="T303" s="4"/>
      <c r="U303" s="309"/>
      <c r="V303" s="310"/>
      <c r="W303" s="3"/>
      <c r="X303" s="251"/>
      <c r="Y303" s="412"/>
    </row>
    <row r="304" spans="1:25" ht="12.75">
      <c r="A304" s="406"/>
      <c r="B304" s="406"/>
      <c r="C304" s="406"/>
      <c r="D304" s="409"/>
      <c r="E304" s="400"/>
      <c r="F304" s="403"/>
      <c r="G304" s="414">
        <f>G298+G301</f>
        <v>89356</v>
      </c>
      <c r="H304" s="246" t="s">
        <v>16</v>
      </c>
      <c r="I304" s="247"/>
      <c r="J304" s="3"/>
      <c r="K304" s="249">
        <f t="shared" si="41"/>
        <v>0</v>
      </c>
      <c r="L304" s="4"/>
      <c r="M304" s="250"/>
      <c r="N304" s="3"/>
      <c r="O304" s="3"/>
      <c r="P304" s="3"/>
      <c r="Q304" s="3"/>
      <c r="R304" s="3"/>
      <c r="S304" s="3"/>
      <c r="T304" s="4"/>
      <c r="U304" s="309"/>
      <c r="V304" s="310"/>
      <c r="W304" s="3"/>
      <c r="X304" s="251"/>
      <c r="Y304" s="412"/>
    </row>
    <row r="305" spans="1:25" ht="12.75">
      <c r="A305" s="406"/>
      <c r="B305" s="406"/>
      <c r="C305" s="406"/>
      <c r="D305" s="409"/>
      <c r="E305" s="400"/>
      <c r="F305" s="403"/>
      <c r="G305" s="418"/>
      <c r="H305" s="246" t="s">
        <v>18</v>
      </c>
      <c r="I305" s="252">
        <f>I297+I299+I301+I303</f>
        <v>0</v>
      </c>
      <c r="J305" s="7">
        <f>J297+J299+J301+J303</f>
        <v>0</v>
      </c>
      <c r="K305" s="249">
        <f t="shared" si="41"/>
        <v>0</v>
      </c>
      <c r="L305" s="123">
        <f>L297+L299+L301+L303</f>
        <v>7665</v>
      </c>
      <c r="M305" s="250">
        <f>K305+L305</f>
        <v>7665</v>
      </c>
      <c r="N305" s="7">
        <f aca="true" t="shared" si="43" ref="N305:T306">N297+N299+N301+N303</f>
        <v>63820</v>
      </c>
      <c r="O305" s="7">
        <f t="shared" si="43"/>
        <v>17871</v>
      </c>
      <c r="P305" s="7">
        <f t="shared" si="43"/>
        <v>0</v>
      </c>
      <c r="Q305" s="7">
        <f t="shared" si="43"/>
        <v>0</v>
      </c>
      <c r="R305" s="7">
        <f t="shared" si="43"/>
        <v>0</v>
      </c>
      <c r="S305" s="7">
        <f t="shared" si="43"/>
        <v>0</v>
      </c>
      <c r="T305" s="123">
        <f t="shared" si="43"/>
        <v>0</v>
      </c>
      <c r="U305" s="311">
        <v>22438</v>
      </c>
      <c r="V305" s="314">
        <v>63820</v>
      </c>
      <c r="W305" s="3">
        <f>M305+U305</f>
        <v>30103</v>
      </c>
      <c r="X305" s="251">
        <f>W305/$G$304</f>
        <v>0.33688840145037824</v>
      </c>
      <c r="Y305" s="412"/>
    </row>
    <row r="306" spans="1:25" ht="13.5" thickBot="1">
      <c r="A306" s="407"/>
      <c r="B306" s="407"/>
      <c r="C306" s="407"/>
      <c r="D306" s="410"/>
      <c r="E306" s="401"/>
      <c r="F306" s="417"/>
      <c r="G306" s="419"/>
      <c r="H306" s="253" t="s">
        <v>19</v>
      </c>
      <c r="I306" s="254">
        <f>I298+I300+I302+I304</f>
        <v>0</v>
      </c>
      <c r="J306" s="10">
        <f>J298+J300+J302+J304</f>
        <v>0</v>
      </c>
      <c r="K306" s="255">
        <f t="shared" si="41"/>
        <v>0</v>
      </c>
      <c r="L306" s="124">
        <f>L298+L300+L302+L304</f>
        <v>0</v>
      </c>
      <c r="M306" s="256">
        <f>K306+L306</f>
        <v>0</v>
      </c>
      <c r="N306" s="10">
        <f t="shared" si="43"/>
        <v>0</v>
      </c>
      <c r="O306" s="10">
        <f t="shared" si="43"/>
        <v>0</v>
      </c>
      <c r="P306" s="10">
        <f t="shared" si="43"/>
        <v>0</v>
      </c>
      <c r="Q306" s="10">
        <f t="shared" si="43"/>
        <v>0</v>
      </c>
      <c r="R306" s="10">
        <f t="shared" si="43"/>
        <v>0</v>
      </c>
      <c r="S306" s="10">
        <f t="shared" si="43"/>
        <v>0</v>
      </c>
      <c r="T306" s="124">
        <f t="shared" si="43"/>
        <v>0</v>
      </c>
      <c r="U306" s="312">
        <v>0</v>
      </c>
      <c r="V306" s="315">
        <v>0</v>
      </c>
      <c r="W306" s="76">
        <f>M306+U306</f>
        <v>0</v>
      </c>
      <c r="X306" s="258">
        <f>W306/$G$304</f>
        <v>0</v>
      </c>
      <c r="Y306" s="413"/>
    </row>
    <row r="307" spans="1:25" ht="12.75" customHeight="1">
      <c r="A307" s="405">
        <f>A297+1</f>
        <v>31</v>
      </c>
      <c r="B307" s="432">
        <v>801</v>
      </c>
      <c r="C307" s="432">
        <v>80130</v>
      </c>
      <c r="D307" s="435" t="s">
        <v>192</v>
      </c>
      <c r="E307" s="441" t="s">
        <v>204</v>
      </c>
      <c r="F307" s="423">
        <v>2011</v>
      </c>
      <c r="G307" s="279" t="s">
        <v>9</v>
      </c>
      <c r="H307" s="280" t="s">
        <v>10</v>
      </c>
      <c r="I307" s="259"/>
      <c r="J307" s="281"/>
      <c r="K307" s="243">
        <f t="shared" si="41"/>
        <v>0</v>
      </c>
      <c r="L307" s="281"/>
      <c r="M307" s="249"/>
      <c r="N307" s="282"/>
      <c r="O307" s="282"/>
      <c r="P307" s="282"/>
      <c r="Q307" s="282"/>
      <c r="R307" s="282"/>
      <c r="S307" s="282"/>
      <c r="T307" s="283"/>
      <c r="U307" s="320"/>
      <c r="V307" s="321"/>
      <c r="W307" s="249"/>
      <c r="X307" s="284"/>
      <c r="Y307" s="411">
        <f>N315+O315+P315+Q315+R315+S315+N316+O316+P316+Q316+R316+T315+T316+S316</f>
        <v>32854</v>
      </c>
    </row>
    <row r="308" spans="1:25" ht="12.75">
      <c r="A308" s="406"/>
      <c r="B308" s="433"/>
      <c r="C308" s="433"/>
      <c r="D308" s="436"/>
      <c r="E308" s="442"/>
      <c r="F308" s="424"/>
      <c r="G308" s="426">
        <f>M315+N315</f>
        <v>85510</v>
      </c>
      <c r="H308" s="285" t="s">
        <v>11</v>
      </c>
      <c r="I308" s="261"/>
      <c r="J308" s="278"/>
      <c r="K308" s="249">
        <f t="shared" si="41"/>
        <v>0</v>
      </c>
      <c r="L308" s="278"/>
      <c r="M308" s="3"/>
      <c r="N308" s="278"/>
      <c r="O308" s="278"/>
      <c r="P308" s="278"/>
      <c r="Q308" s="278"/>
      <c r="R308" s="278"/>
      <c r="S308" s="278"/>
      <c r="T308" s="286"/>
      <c r="U308" s="322"/>
      <c r="V308" s="323"/>
      <c r="W308" s="3"/>
      <c r="X308" s="287"/>
      <c r="Y308" s="412"/>
    </row>
    <row r="309" spans="1:25" ht="12.75">
      <c r="A309" s="406"/>
      <c r="B309" s="433"/>
      <c r="C309" s="433"/>
      <c r="D309" s="436"/>
      <c r="E309" s="442"/>
      <c r="F309" s="424"/>
      <c r="G309" s="427"/>
      <c r="H309" s="285" t="s">
        <v>12</v>
      </c>
      <c r="I309" s="261"/>
      <c r="J309" s="278"/>
      <c r="K309" s="249">
        <f t="shared" si="41"/>
        <v>0</v>
      </c>
      <c r="L309" s="278"/>
      <c r="M309" s="3"/>
      <c r="N309" s="278"/>
      <c r="O309" s="278"/>
      <c r="P309" s="278"/>
      <c r="Q309" s="278"/>
      <c r="R309" s="278"/>
      <c r="S309" s="278"/>
      <c r="T309" s="286"/>
      <c r="U309" s="322"/>
      <c r="V309" s="323"/>
      <c r="W309" s="3"/>
      <c r="X309" s="287"/>
      <c r="Y309" s="412"/>
    </row>
    <row r="310" spans="1:25" ht="12.75">
      <c r="A310" s="406"/>
      <c r="B310" s="433"/>
      <c r="C310" s="433"/>
      <c r="D310" s="436"/>
      <c r="E310" s="442"/>
      <c r="F310" s="424"/>
      <c r="G310" s="288" t="s">
        <v>13</v>
      </c>
      <c r="H310" s="285" t="s">
        <v>14</v>
      </c>
      <c r="I310" s="261"/>
      <c r="J310" s="278"/>
      <c r="K310" s="249">
        <f t="shared" si="41"/>
        <v>0</v>
      </c>
      <c r="L310" s="278"/>
      <c r="M310" s="3"/>
      <c r="N310" s="278"/>
      <c r="O310" s="278"/>
      <c r="P310" s="278"/>
      <c r="Q310" s="278"/>
      <c r="R310" s="278"/>
      <c r="S310" s="278"/>
      <c r="T310" s="286"/>
      <c r="U310" s="322"/>
      <c r="V310" s="323"/>
      <c r="W310" s="3"/>
      <c r="X310" s="287"/>
      <c r="Y310" s="412"/>
    </row>
    <row r="311" spans="1:25" ht="12.75">
      <c r="A311" s="406"/>
      <c r="B311" s="433"/>
      <c r="C311" s="433"/>
      <c r="D311" s="436"/>
      <c r="E311" s="442"/>
      <c r="F311" s="425"/>
      <c r="G311" s="426">
        <f>SUM(K316:T316)</f>
        <v>0</v>
      </c>
      <c r="H311" s="285" t="s">
        <v>162</v>
      </c>
      <c r="I311" s="261"/>
      <c r="J311" s="278">
        <f>64000+4408-61344</f>
        <v>7064</v>
      </c>
      <c r="K311" s="249">
        <f t="shared" si="41"/>
        <v>7064</v>
      </c>
      <c r="L311" s="278">
        <v>45592</v>
      </c>
      <c r="M311" s="3">
        <f>K311+L311</f>
        <v>52656</v>
      </c>
      <c r="N311" s="278">
        <v>32854</v>
      </c>
      <c r="O311" s="278"/>
      <c r="P311" s="278"/>
      <c r="Q311" s="278"/>
      <c r="R311" s="278"/>
      <c r="S311" s="278"/>
      <c r="T311" s="286"/>
      <c r="U311" s="322">
        <v>32852</v>
      </c>
      <c r="V311" s="323">
        <v>32854</v>
      </c>
      <c r="W311" s="3">
        <f>M311+U311</f>
        <v>85508</v>
      </c>
      <c r="X311" s="287">
        <f>W311/$G$314</f>
        <v>0.9999766109226991</v>
      </c>
      <c r="Y311" s="412"/>
    </row>
    <row r="312" spans="1:25" ht="12.75">
      <c r="A312" s="406"/>
      <c r="B312" s="433"/>
      <c r="C312" s="433"/>
      <c r="D312" s="436"/>
      <c r="E312" s="442"/>
      <c r="F312" s="428">
        <v>2013</v>
      </c>
      <c r="G312" s="427"/>
      <c r="H312" s="285" t="s">
        <v>163</v>
      </c>
      <c r="I312" s="261"/>
      <c r="J312" s="278"/>
      <c r="K312" s="249">
        <f t="shared" si="41"/>
        <v>0</v>
      </c>
      <c r="L312" s="278"/>
      <c r="M312" s="3"/>
      <c r="N312" s="278"/>
      <c r="O312" s="278"/>
      <c r="P312" s="278"/>
      <c r="Q312" s="278"/>
      <c r="R312" s="278"/>
      <c r="S312" s="278"/>
      <c r="T312" s="286"/>
      <c r="U312" s="322"/>
      <c r="V312" s="323"/>
      <c r="W312" s="3"/>
      <c r="X312" s="287"/>
      <c r="Y312" s="412"/>
    </row>
    <row r="313" spans="1:25" ht="12.75">
      <c r="A313" s="406"/>
      <c r="B313" s="433"/>
      <c r="C313" s="433"/>
      <c r="D313" s="436"/>
      <c r="E313" s="442"/>
      <c r="F313" s="424"/>
      <c r="G313" s="288" t="s">
        <v>17</v>
      </c>
      <c r="H313" s="285" t="s">
        <v>15</v>
      </c>
      <c r="I313" s="261"/>
      <c r="J313" s="278"/>
      <c r="K313" s="249">
        <f t="shared" si="41"/>
        <v>0</v>
      </c>
      <c r="L313" s="278"/>
      <c r="M313" s="3"/>
      <c r="N313" s="278"/>
      <c r="O313" s="278"/>
      <c r="P313" s="278"/>
      <c r="Q313" s="278"/>
      <c r="R313" s="278"/>
      <c r="S313" s="278"/>
      <c r="T313" s="286"/>
      <c r="U313" s="322"/>
      <c r="V313" s="323"/>
      <c r="W313" s="3"/>
      <c r="X313" s="287"/>
      <c r="Y313" s="412"/>
    </row>
    <row r="314" spans="1:25" ht="12.75">
      <c r="A314" s="406"/>
      <c r="B314" s="433"/>
      <c r="C314" s="433"/>
      <c r="D314" s="436"/>
      <c r="E314" s="442"/>
      <c r="F314" s="424"/>
      <c r="G314" s="426">
        <f>G308+G311</f>
        <v>85510</v>
      </c>
      <c r="H314" s="285" t="s">
        <v>16</v>
      </c>
      <c r="I314" s="261"/>
      <c r="J314" s="278"/>
      <c r="K314" s="249">
        <f t="shared" si="41"/>
        <v>0</v>
      </c>
      <c r="L314" s="278"/>
      <c r="M314" s="3"/>
      <c r="N314" s="278"/>
      <c r="O314" s="278"/>
      <c r="P314" s="278"/>
      <c r="Q314" s="278"/>
      <c r="R314" s="278"/>
      <c r="S314" s="278"/>
      <c r="T314" s="286"/>
      <c r="U314" s="322"/>
      <c r="V314" s="323"/>
      <c r="W314" s="3"/>
      <c r="X314" s="287"/>
      <c r="Y314" s="412"/>
    </row>
    <row r="315" spans="1:25" ht="12.75">
      <c r="A315" s="406"/>
      <c r="B315" s="433"/>
      <c r="C315" s="433"/>
      <c r="D315" s="436"/>
      <c r="E315" s="442"/>
      <c r="F315" s="424"/>
      <c r="G315" s="430"/>
      <c r="H315" s="285" t="s">
        <v>18</v>
      </c>
      <c r="I315" s="262">
        <f>I307+I309+I311+I313</f>
        <v>0</v>
      </c>
      <c r="J315" s="289">
        <f>J307+J309+J311+J313</f>
        <v>7064</v>
      </c>
      <c r="K315" s="249">
        <f t="shared" si="41"/>
        <v>7064</v>
      </c>
      <c r="L315" s="289">
        <f>L307+L309+L311+L313</f>
        <v>45592</v>
      </c>
      <c r="M315" s="3">
        <f>K315+L315</f>
        <v>52656</v>
      </c>
      <c r="N315" s="289">
        <f aca="true" t="shared" si="44" ref="N315:T316">N307+N309+N311+N313</f>
        <v>32854</v>
      </c>
      <c r="O315" s="289">
        <f t="shared" si="44"/>
        <v>0</v>
      </c>
      <c r="P315" s="289">
        <f t="shared" si="44"/>
        <v>0</v>
      </c>
      <c r="Q315" s="289">
        <f t="shared" si="44"/>
        <v>0</v>
      </c>
      <c r="R315" s="289">
        <f t="shared" si="44"/>
        <v>0</v>
      </c>
      <c r="S315" s="289">
        <f t="shared" si="44"/>
        <v>0</v>
      </c>
      <c r="T315" s="290">
        <f t="shared" si="44"/>
        <v>0</v>
      </c>
      <c r="U315" s="324">
        <v>32852</v>
      </c>
      <c r="V315" s="325">
        <v>32854</v>
      </c>
      <c r="W315" s="3">
        <f>M315+U315</f>
        <v>85508</v>
      </c>
      <c r="X315" s="287">
        <f>W315/$G$314</f>
        <v>0.9999766109226991</v>
      </c>
      <c r="Y315" s="412"/>
    </row>
    <row r="316" spans="1:25" ht="13.5" thickBot="1">
      <c r="A316" s="407"/>
      <c r="B316" s="434"/>
      <c r="C316" s="434"/>
      <c r="D316" s="437"/>
      <c r="E316" s="443"/>
      <c r="F316" s="429"/>
      <c r="G316" s="431"/>
      <c r="H316" s="291" t="s">
        <v>19</v>
      </c>
      <c r="I316" s="263">
        <f>I308+I310+I312+I314</f>
        <v>0</v>
      </c>
      <c r="J316" s="292">
        <f>J308+J310+J312+J314</f>
        <v>0</v>
      </c>
      <c r="K316" s="255">
        <f t="shared" si="41"/>
        <v>0</v>
      </c>
      <c r="L316" s="292">
        <f>L308+L310+L312+L314</f>
        <v>0</v>
      </c>
      <c r="M316" s="264">
        <f>K316+L316</f>
        <v>0</v>
      </c>
      <c r="N316" s="293">
        <f t="shared" si="44"/>
        <v>0</v>
      </c>
      <c r="O316" s="293">
        <f t="shared" si="44"/>
        <v>0</v>
      </c>
      <c r="P316" s="293">
        <f t="shared" si="44"/>
        <v>0</v>
      </c>
      <c r="Q316" s="293">
        <f t="shared" si="44"/>
        <v>0</v>
      </c>
      <c r="R316" s="293">
        <f t="shared" si="44"/>
        <v>0</v>
      </c>
      <c r="S316" s="293">
        <f t="shared" si="44"/>
        <v>0</v>
      </c>
      <c r="T316" s="294">
        <f t="shared" si="44"/>
        <v>0</v>
      </c>
      <c r="U316" s="326">
        <v>0</v>
      </c>
      <c r="V316" s="327">
        <v>0</v>
      </c>
      <c r="W316" s="264">
        <f>M316+U316</f>
        <v>0</v>
      </c>
      <c r="X316" s="295">
        <f>W316/$G$314</f>
        <v>0</v>
      </c>
      <c r="Y316" s="413"/>
    </row>
    <row r="317" spans="1:25" ht="12.75" customHeight="1">
      <c r="A317" s="405">
        <f>A307+1</f>
        <v>32</v>
      </c>
      <c r="B317" s="432">
        <v>801</v>
      </c>
      <c r="C317" s="432">
        <v>80130</v>
      </c>
      <c r="D317" s="435" t="s">
        <v>192</v>
      </c>
      <c r="E317" s="441" t="s">
        <v>205</v>
      </c>
      <c r="F317" s="423">
        <v>2012</v>
      </c>
      <c r="G317" s="279" t="s">
        <v>9</v>
      </c>
      <c r="H317" s="280" t="s">
        <v>10</v>
      </c>
      <c r="I317" s="259"/>
      <c r="J317" s="281"/>
      <c r="K317" s="243">
        <f t="shared" si="41"/>
        <v>0</v>
      </c>
      <c r="L317" s="296"/>
      <c r="M317" s="244"/>
      <c r="N317" s="281"/>
      <c r="O317" s="281"/>
      <c r="P317" s="281"/>
      <c r="Q317" s="281"/>
      <c r="R317" s="281"/>
      <c r="S317" s="281"/>
      <c r="T317" s="296"/>
      <c r="U317" s="328"/>
      <c r="V317" s="329"/>
      <c r="W317" s="243"/>
      <c r="X317" s="284"/>
      <c r="Y317" s="411">
        <f>N325+O325+P325+Q325+R325+S325+N326+O326+P326+Q326+R326+T325+T326+S326</f>
        <v>53416</v>
      </c>
    </row>
    <row r="318" spans="1:25" ht="12.75">
      <c r="A318" s="406"/>
      <c r="B318" s="433"/>
      <c r="C318" s="433"/>
      <c r="D318" s="436"/>
      <c r="E318" s="442"/>
      <c r="F318" s="424"/>
      <c r="G318" s="426">
        <f>M325+N325+O325</f>
        <v>60181</v>
      </c>
      <c r="H318" s="285" t="s">
        <v>11</v>
      </c>
      <c r="I318" s="261"/>
      <c r="J318" s="278"/>
      <c r="K318" s="249">
        <f aca="true" t="shared" si="45" ref="K318:K327">I318+J318</f>
        <v>0</v>
      </c>
      <c r="L318" s="286"/>
      <c r="M318" s="250"/>
      <c r="N318" s="278"/>
      <c r="O318" s="278"/>
      <c r="P318" s="278"/>
      <c r="Q318" s="278"/>
      <c r="R318" s="278"/>
      <c r="S318" s="278"/>
      <c r="T318" s="286"/>
      <c r="U318" s="322"/>
      <c r="V318" s="323"/>
      <c r="W318" s="3"/>
      <c r="X318" s="287"/>
      <c r="Y318" s="412"/>
    </row>
    <row r="319" spans="1:25" ht="12.75">
      <c r="A319" s="406"/>
      <c r="B319" s="433"/>
      <c r="C319" s="433"/>
      <c r="D319" s="436"/>
      <c r="E319" s="442"/>
      <c r="F319" s="424"/>
      <c r="G319" s="427"/>
      <c r="H319" s="285" t="s">
        <v>12</v>
      </c>
      <c r="I319" s="261"/>
      <c r="J319" s="278"/>
      <c r="K319" s="249">
        <f t="shared" si="45"/>
        <v>0</v>
      </c>
      <c r="L319" s="286"/>
      <c r="M319" s="250"/>
      <c r="N319" s="278"/>
      <c r="O319" s="278"/>
      <c r="P319" s="278"/>
      <c r="Q319" s="278"/>
      <c r="R319" s="278"/>
      <c r="S319" s="278"/>
      <c r="T319" s="286"/>
      <c r="U319" s="322"/>
      <c r="V319" s="323"/>
      <c r="W319" s="3"/>
      <c r="X319" s="287"/>
      <c r="Y319" s="412"/>
    </row>
    <row r="320" spans="1:25" ht="12.75">
      <c r="A320" s="406"/>
      <c r="B320" s="433"/>
      <c r="C320" s="433"/>
      <c r="D320" s="436"/>
      <c r="E320" s="442"/>
      <c r="F320" s="424"/>
      <c r="G320" s="288" t="s">
        <v>13</v>
      </c>
      <c r="H320" s="285" t="s">
        <v>14</v>
      </c>
      <c r="I320" s="261"/>
      <c r="J320" s="278"/>
      <c r="K320" s="249">
        <f t="shared" si="45"/>
        <v>0</v>
      </c>
      <c r="L320" s="286"/>
      <c r="M320" s="250"/>
      <c r="N320" s="278"/>
      <c r="O320" s="278"/>
      <c r="P320" s="278"/>
      <c r="Q320" s="278"/>
      <c r="R320" s="278"/>
      <c r="S320" s="278"/>
      <c r="T320" s="286"/>
      <c r="U320" s="322"/>
      <c r="V320" s="323"/>
      <c r="W320" s="3"/>
      <c r="X320" s="287"/>
      <c r="Y320" s="412"/>
    </row>
    <row r="321" spans="1:25" ht="12.75">
      <c r="A321" s="406"/>
      <c r="B321" s="433"/>
      <c r="C321" s="433"/>
      <c r="D321" s="436"/>
      <c r="E321" s="442"/>
      <c r="F321" s="425"/>
      <c r="G321" s="426">
        <f>SUM(K326:T326)</f>
        <v>0</v>
      </c>
      <c r="H321" s="285" t="s">
        <v>162</v>
      </c>
      <c r="I321" s="261"/>
      <c r="J321" s="278"/>
      <c r="K321" s="249">
        <f t="shared" si="45"/>
        <v>0</v>
      </c>
      <c r="L321" s="286">
        <v>6765</v>
      </c>
      <c r="M321" s="250">
        <f>K321+L321</f>
        <v>6765</v>
      </c>
      <c r="N321" s="278">
        <f>41389+6000</f>
        <v>47389</v>
      </c>
      <c r="O321" s="278">
        <f>12027-6000</f>
        <v>6027</v>
      </c>
      <c r="P321" s="278"/>
      <c r="Q321" s="278"/>
      <c r="R321" s="278"/>
      <c r="S321" s="278"/>
      <c r="T321" s="286"/>
      <c r="U321" s="322">
        <v>26636</v>
      </c>
      <c r="V321" s="323">
        <v>47389</v>
      </c>
      <c r="W321" s="3">
        <f>M321+U321</f>
        <v>33401</v>
      </c>
      <c r="X321" s="287">
        <f>W321/$G$324</f>
        <v>0.5550090560143567</v>
      </c>
      <c r="Y321" s="412"/>
    </row>
    <row r="322" spans="1:25" ht="12.75">
      <c r="A322" s="406"/>
      <c r="B322" s="433"/>
      <c r="C322" s="433"/>
      <c r="D322" s="436"/>
      <c r="E322" s="442"/>
      <c r="F322" s="428">
        <v>2014</v>
      </c>
      <c r="G322" s="427"/>
      <c r="H322" s="285" t="s">
        <v>163</v>
      </c>
      <c r="I322" s="261"/>
      <c r="J322" s="278"/>
      <c r="K322" s="249">
        <f t="shared" si="45"/>
        <v>0</v>
      </c>
      <c r="L322" s="286"/>
      <c r="M322" s="250"/>
      <c r="N322" s="278"/>
      <c r="O322" s="278"/>
      <c r="P322" s="278"/>
      <c r="Q322" s="278"/>
      <c r="R322" s="278"/>
      <c r="S322" s="278"/>
      <c r="T322" s="286"/>
      <c r="U322" s="322"/>
      <c r="V322" s="323"/>
      <c r="W322" s="3"/>
      <c r="X322" s="287"/>
      <c r="Y322" s="412"/>
    </row>
    <row r="323" spans="1:25" ht="12.75">
      <c r="A323" s="406"/>
      <c r="B323" s="433"/>
      <c r="C323" s="433"/>
      <c r="D323" s="436"/>
      <c r="E323" s="442"/>
      <c r="F323" s="424"/>
      <c r="G323" s="288" t="s">
        <v>17</v>
      </c>
      <c r="H323" s="285" t="s">
        <v>15</v>
      </c>
      <c r="I323" s="261"/>
      <c r="J323" s="278"/>
      <c r="K323" s="249">
        <f t="shared" si="45"/>
        <v>0</v>
      </c>
      <c r="L323" s="286"/>
      <c r="M323" s="250"/>
      <c r="N323" s="278"/>
      <c r="O323" s="278"/>
      <c r="P323" s="278"/>
      <c r="Q323" s="278"/>
      <c r="R323" s="278"/>
      <c r="S323" s="278"/>
      <c r="T323" s="286"/>
      <c r="U323" s="322"/>
      <c r="V323" s="323"/>
      <c r="W323" s="3"/>
      <c r="X323" s="287"/>
      <c r="Y323" s="412"/>
    </row>
    <row r="324" spans="1:25" ht="12.75">
      <c r="A324" s="406"/>
      <c r="B324" s="433"/>
      <c r="C324" s="433"/>
      <c r="D324" s="436"/>
      <c r="E324" s="442"/>
      <c r="F324" s="424"/>
      <c r="G324" s="426">
        <f>G318+G321</f>
        <v>60181</v>
      </c>
      <c r="H324" s="285" t="s">
        <v>16</v>
      </c>
      <c r="I324" s="261"/>
      <c r="J324" s="278"/>
      <c r="K324" s="249">
        <f t="shared" si="45"/>
        <v>0</v>
      </c>
      <c r="L324" s="286"/>
      <c r="M324" s="250"/>
      <c r="N324" s="278"/>
      <c r="O324" s="278"/>
      <c r="P324" s="278"/>
      <c r="Q324" s="278"/>
      <c r="R324" s="278"/>
      <c r="S324" s="278"/>
      <c r="T324" s="286"/>
      <c r="U324" s="322"/>
      <c r="V324" s="323"/>
      <c r="W324" s="3"/>
      <c r="X324" s="287"/>
      <c r="Y324" s="412"/>
    </row>
    <row r="325" spans="1:25" ht="12.75">
      <c r="A325" s="406"/>
      <c r="B325" s="433"/>
      <c r="C325" s="433"/>
      <c r="D325" s="436"/>
      <c r="E325" s="442"/>
      <c r="F325" s="424"/>
      <c r="G325" s="430"/>
      <c r="H325" s="285" t="s">
        <v>18</v>
      </c>
      <c r="I325" s="262">
        <f>I317+I319+I321+I323</f>
        <v>0</v>
      </c>
      <c r="J325" s="289">
        <f>J317+J319+J321+J323</f>
        <v>0</v>
      </c>
      <c r="K325" s="249">
        <f t="shared" si="45"/>
        <v>0</v>
      </c>
      <c r="L325" s="290">
        <f>L317+L319+L321+L323</f>
        <v>6765</v>
      </c>
      <c r="M325" s="250">
        <f>K325+L325</f>
        <v>6765</v>
      </c>
      <c r="N325" s="289">
        <f aca="true" t="shared" si="46" ref="N325:T326">N317+N319+N321+N323</f>
        <v>47389</v>
      </c>
      <c r="O325" s="289">
        <f t="shared" si="46"/>
        <v>6027</v>
      </c>
      <c r="P325" s="289">
        <f t="shared" si="46"/>
        <v>0</v>
      </c>
      <c r="Q325" s="289">
        <f t="shared" si="46"/>
        <v>0</v>
      </c>
      <c r="R325" s="289">
        <f t="shared" si="46"/>
        <v>0</v>
      </c>
      <c r="S325" s="289">
        <f t="shared" si="46"/>
        <v>0</v>
      </c>
      <c r="T325" s="290">
        <f t="shared" si="46"/>
        <v>0</v>
      </c>
      <c r="U325" s="324">
        <v>26636</v>
      </c>
      <c r="V325" s="325">
        <v>47389</v>
      </c>
      <c r="W325" s="3">
        <f>M325+U325</f>
        <v>33401</v>
      </c>
      <c r="X325" s="287">
        <f>W325/$G$324</f>
        <v>0.5550090560143567</v>
      </c>
      <c r="Y325" s="412"/>
    </row>
    <row r="326" spans="1:25" ht="13.5" thickBot="1">
      <c r="A326" s="407"/>
      <c r="B326" s="434"/>
      <c r="C326" s="434"/>
      <c r="D326" s="437"/>
      <c r="E326" s="443"/>
      <c r="F326" s="429"/>
      <c r="G326" s="431"/>
      <c r="H326" s="291" t="s">
        <v>19</v>
      </c>
      <c r="I326" s="263">
        <f>I318+I320+I322+I324</f>
        <v>0</v>
      </c>
      <c r="J326" s="292">
        <f>J318+J320+J322+J324</f>
        <v>0</v>
      </c>
      <c r="K326" s="255">
        <f t="shared" si="45"/>
        <v>0</v>
      </c>
      <c r="L326" s="297">
        <f>L318+L320+L322+L324</f>
        <v>0</v>
      </c>
      <c r="M326" s="256">
        <f>K326+L326</f>
        <v>0</v>
      </c>
      <c r="N326" s="292">
        <f t="shared" si="46"/>
        <v>0</v>
      </c>
      <c r="O326" s="292">
        <f t="shared" si="46"/>
        <v>0</v>
      </c>
      <c r="P326" s="292">
        <f t="shared" si="46"/>
        <v>0</v>
      </c>
      <c r="Q326" s="292">
        <f t="shared" si="46"/>
        <v>0</v>
      </c>
      <c r="R326" s="292">
        <f t="shared" si="46"/>
        <v>0</v>
      </c>
      <c r="S326" s="292">
        <f t="shared" si="46"/>
        <v>0</v>
      </c>
      <c r="T326" s="297">
        <f t="shared" si="46"/>
        <v>0</v>
      </c>
      <c r="U326" s="330">
        <v>0</v>
      </c>
      <c r="V326" s="331">
        <v>0</v>
      </c>
      <c r="W326" s="76">
        <f>M326+U326</f>
        <v>0</v>
      </c>
      <c r="X326" s="295">
        <f>W326/$G$324</f>
        <v>0</v>
      </c>
      <c r="Y326" s="413"/>
    </row>
    <row r="327" spans="1:25" ht="12.75" customHeight="1">
      <c r="A327" s="405">
        <f>A317+1</f>
        <v>33</v>
      </c>
      <c r="B327" s="432">
        <v>801</v>
      </c>
      <c r="C327" s="432">
        <v>80132</v>
      </c>
      <c r="D327" s="435" t="s">
        <v>206</v>
      </c>
      <c r="E327" s="399" t="s">
        <v>207</v>
      </c>
      <c r="F327" s="423">
        <v>2009</v>
      </c>
      <c r="G327" s="279" t="s">
        <v>9</v>
      </c>
      <c r="H327" s="280" t="s">
        <v>10</v>
      </c>
      <c r="I327" s="259"/>
      <c r="J327" s="281"/>
      <c r="K327" s="243">
        <f t="shared" si="45"/>
        <v>0</v>
      </c>
      <c r="L327" s="281"/>
      <c r="M327" s="249"/>
      <c r="N327" s="282"/>
      <c r="O327" s="282"/>
      <c r="P327" s="282"/>
      <c r="Q327" s="282"/>
      <c r="R327" s="282"/>
      <c r="S327" s="282"/>
      <c r="T327" s="283"/>
      <c r="U327" s="320"/>
      <c r="V327" s="321"/>
      <c r="W327" s="249"/>
      <c r="X327" s="284"/>
      <c r="Y327" s="411">
        <f>N335+O335+P335+Q335+R335+S335+N336+O336+P336+Q336+R336+T335+T336+S336</f>
        <v>11083559</v>
      </c>
    </row>
    <row r="328" spans="1:25" ht="12.75">
      <c r="A328" s="406"/>
      <c r="B328" s="433"/>
      <c r="C328" s="433"/>
      <c r="D328" s="436"/>
      <c r="E328" s="400"/>
      <c r="F328" s="424"/>
      <c r="G328" s="426">
        <f>SUM(K335:T335)</f>
        <v>0</v>
      </c>
      <c r="H328" s="285" t="s">
        <v>11</v>
      </c>
      <c r="I328" s="261"/>
      <c r="J328" s="278"/>
      <c r="K328" s="249">
        <v>269752</v>
      </c>
      <c r="L328" s="278">
        <v>24600</v>
      </c>
      <c r="M328" s="3">
        <f>K328+L328</f>
        <v>294352</v>
      </c>
      <c r="N328" s="278">
        <v>2000000</v>
      </c>
      <c r="O328" s="278">
        <v>3541780</v>
      </c>
      <c r="P328" s="278"/>
      <c r="Q328" s="278"/>
      <c r="R328" s="278"/>
      <c r="S328" s="278"/>
      <c r="T328" s="286"/>
      <c r="U328" s="322">
        <v>305924</v>
      </c>
      <c r="V328" s="323">
        <v>2000000</v>
      </c>
      <c r="W328" s="3">
        <f>M328+U328</f>
        <v>600276</v>
      </c>
      <c r="X328" s="287">
        <f>W328/$G$334</f>
        <v>0.05275801506972589</v>
      </c>
      <c r="Y328" s="412"/>
    </row>
    <row r="329" spans="1:25" ht="12.75">
      <c r="A329" s="406"/>
      <c r="B329" s="433"/>
      <c r="C329" s="433"/>
      <c r="D329" s="436"/>
      <c r="E329" s="400"/>
      <c r="F329" s="424"/>
      <c r="G329" s="427"/>
      <c r="H329" s="285" t="s">
        <v>12</v>
      </c>
      <c r="I329" s="261"/>
      <c r="J329" s="278"/>
      <c r="K329" s="249">
        <f aca="true" t="shared" si="47" ref="K329:K334">I329+J329</f>
        <v>0</v>
      </c>
      <c r="L329" s="278"/>
      <c r="M329" s="3"/>
      <c r="N329" s="278"/>
      <c r="O329" s="278"/>
      <c r="P329" s="278"/>
      <c r="Q329" s="278"/>
      <c r="R329" s="278"/>
      <c r="S329" s="278"/>
      <c r="T329" s="286"/>
      <c r="U329" s="322"/>
      <c r="V329" s="323"/>
      <c r="W329" s="3"/>
      <c r="X329" s="287"/>
      <c r="Y329" s="412"/>
    </row>
    <row r="330" spans="1:25" ht="12.75">
      <c r="A330" s="406"/>
      <c r="B330" s="433"/>
      <c r="C330" s="433"/>
      <c r="D330" s="436"/>
      <c r="E330" s="400"/>
      <c r="F330" s="424"/>
      <c r="G330" s="288" t="s">
        <v>13</v>
      </c>
      <c r="H330" s="285" t="s">
        <v>14</v>
      </c>
      <c r="I330" s="261"/>
      <c r="J330" s="278"/>
      <c r="K330" s="249">
        <f t="shared" si="47"/>
        <v>0</v>
      </c>
      <c r="L330" s="278"/>
      <c r="M330" s="3"/>
      <c r="N330" s="278"/>
      <c r="O330" s="278"/>
      <c r="P330" s="278"/>
      <c r="Q330" s="278"/>
      <c r="R330" s="278"/>
      <c r="S330" s="278"/>
      <c r="T330" s="286"/>
      <c r="U330" s="322"/>
      <c r="V330" s="323"/>
      <c r="W330" s="3"/>
      <c r="X330" s="287"/>
      <c r="Y330" s="412"/>
    </row>
    <row r="331" spans="1:25" ht="12.75">
      <c r="A331" s="406"/>
      <c r="B331" s="433"/>
      <c r="C331" s="433"/>
      <c r="D331" s="436"/>
      <c r="E331" s="400"/>
      <c r="F331" s="425"/>
      <c r="G331" s="444">
        <f>M336+N336+O336</f>
        <v>11377911</v>
      </c>
      <c r="H331" s="285" t="s">
        <v>162</v>
      </c>
      <c r="I331" s="261"/>
      <c r="J331" s="278"/>
      <c r="K331" s="249">
        <f t="shared" si="47"/>
        <v>0</v>
      </c>
      <c r="L331" s="278"/>
      <c r="M331" s="3"/>
      <c r="N331" s="278"/>
      <c r="O331" s="278"/>
      <c r="P331" s="278"/>
      <c r="Q331" s="278"/>
      <c r="R331" s="278"/>
      <c r="S331" s="278"/>
      <c r="T331" s="286"/>
      <c r="U331" s="322"/>
      <c r="V331" s="323"/>
      <c r="W331" s="3"/>
      <c r="X331" s="287"/>
      <c r="Y331" s="412"/>
    </row>
    <row r="332" spans="1:25" ht="12.75">
      <c r="A332" s="406"/>
      <c r="B332" s="433"/>
      <c r="C332" s="433"/>
      <c r="D332" s="436"/>
      <c r="E332" s="400"/>
      <c r="F332" s="428">
        <v>2014</v>
      </c>
      <c r="G332" s="445"/>
      <c r="H332" s="285" t="s">
        <v>163</v>
      </c>
      <c r="I332" s="261"/>
      <c r="J332" s="278"/>
      <c r="K332" s="249">
        <f t="shared" si="47"/>
        <v>0</v>
      </c>
      <c r="L332" s="278"/>
      <c r="M332" s="3"/>
      <c r="N332" s="278">
        <v>2000000</v>
      </c>
      <c r="O332" s="278">
        <v>3541779</v>
      </c>
      <c r="P332" s="278"/>
      <c r="Q332" s="278"/>
      <c r="R332" s="278"/>
      <c r="S332" s="278"/>
      <c r="T332" s="286"/>
      <c r="U332" s="322">
        <v>305924</v>
      </c>
      <c r="V332" s="323">
        <v>2000000</v>
      </c>
      <c r="W332" s="3">
        <f>M332+U332</f>
        <v>305924</v>
      </c>
      <c r="X332" s="287">
        <f>W332/G331</f>
        <v>0.026887536736752468</v>
      </c>
      <c r="Y332" s="412"/>
    </row>
    <row r="333" spans="1:25" ht="12.75">
      <c r="A333" s="406"/>
      <c r="B333" s="433"/>
      <c r="C333" s="433"/>
      <c r="D333" s="436"/>
      <c r="E333" s="400"/>
      <c r="F333" s="424"/>
      <c r="G333" s="288" t="s">
        <v>17</v>
      </c>
      <c r="H333" s="285" t="s">
        <v>15</v>
      </c>
      <c r="I333" s="261"/>
      <c r="J333" s="278"/>
      <c r="K333" s="249">
        <f t="shared" si="47"/>
        <v>0</v>
      </c>
      <c r="L333" s="278"/>
      <c r="M333" s="3"/>
      <c r="N333" s="278"/>
      <c r="O333" s="278"/>
      <c r="P333" s="278"/>
      <c r="Q333" s="278"/>
      <c r="R333" s="278"/>
      <c r="S333" s="278"/>
      <c r="T333" s="286"/>
      <c r="U333" s="322"/>
      <c r="V333" s="323"/>
      <c r="W333" s="3"/>
      <c r="X333" s="287"/>
      <c r="Y333" s="412"/>
    </row>
    <row r="334" spans="1:25" ht="12.75">
      <c r="A334" s="406"/>
      <c r="B334" s="433"/>
      <c r="C334" s="433"/>
      <c r="D334" s="436"/>
      <c r="E334" s="400"/>
      <c r="F334" s="424"/>
      <c r="G334" s="444">
        <f>G328+G331</f>
        <v>11377911</v>
      </c>
      <c r="H334" s="285" t="s">
        <v>16</v>
      </c>
      <c r="I334" s="261"/>
      <c r="J334" s="278"/>
      <c r="K334" s="249">
        <f t="shared" si="47"/>
        <v>0</v>
      </c>
      <c r="L334" s="278"/>
      <c r="M334" s="3"/>
      <c r="N334" s="278"/>
      <c r="O334" s="278"/>
      <c r="P334" s="278"/>
      <c r="Q334" s="278"/>
      <c r="R334" s="278"/>
      <c r="S334" s="278"/>
      <c r="T334" s="286"/>
      <c r="U334" s="322"/>
      <c r="V334" s="323"/>
      <c r="W334" s="3"/>
      <c r="X334" s="287"/>
      <c r="Y334" s="412"/>
    </row>
    <row r="335" spans="1:25" ht="12.75">
      <c r="A335" s="406"/>
      <c r="B335" s="433"/>
      <c r="C335" s="433"/>
      <c r="D335" s="436"/>
      <c r="E335" s="400"/>
      <c r="F335" s="424"/>
      <c r="G335" s="446"/>
      <c r="H335" s="285" t="s">
        <v>18</v>
      </c>
      <c r="I335" s="262">
        <f aca="true" t="shared" si="48" ref="I335:L336">I327+I329+I331+I333</f>
        <v>0</v>
      </c>
      <c r="J335" s="289">
        <f t="shared" si="48"/>
        <v>0</v>
      </c>
      <c r="K335" s="289">
        <f t="shared" si="48"/>
        <v>0</v>
      </c>
      <c r="L335" s="289">
        <f t="shared" si="48"/>
        <v>0</v>
      </c>
      <c r="M335" s="3">
        <f>K335+L335</f>
        <v>0</v>
      </c>
      <c r="N335" s="289">
        <f aca="true" t="shared" si="49" ref="N335:T336">N327+N329+N331+N333</f>
        <v>0</v>
      </c>
      <c r="O335" s="289">
        <f t="shared" si="49"/>
        <v>0</v>
      </c>
      <c r="P335" s="289">
        <f t="shared" si="49"/>
        <v>0</v>
      </c>
      <c r="Q335" s="289">
        <f t="shared" si="49"/>
        <v>0</v>
      </c>
      <c r="R335" s="289">
        <f t="shared" si="49"/>
        <v>0</v>
      </c>
      <c r="S335" s="289">
        <f t="shared" si="49"/>
        <v>0</v>
      </c>
      <c r="T335" s="290">
        <f t="shared" si="49"/>
        <v>0</v>
      </c>
      <c r="U335" s="324">
        <v>0</v>
      </c>
      <c r="V335" s="325">
        <v>0</v>
      </c>
      <c r="W335" s="3">
        <f>M335+U335</f>
        <v>0</v>
      </c>
      <c r="X335" s="287">
        <f>W335/$G$334</f>
        <v>0</v>
      </c>
      <c r="Y335" s="412"/>
    </row>
    <row r="336" spans="1:25" ht="13.5" thickBot="1">
      <c r="A336" s="407"/>
      <c r="B336" s="434"/>
      <c r="C336" s="434"/>
      <c r="D336" s="437"/>
      <c r="E336" s="401"/>
      <c r="F336" s="429"/>
      <c r="G336" s="447"/>
      <c r="H336" s="291" t="s">
        <v>19</v>
      </c>
      <c r="I336" s="263">
        <f t="shared" si="48"/>
        <v>0</v>
      </c>
      <c r="J336" s="292">
        <f t="shared" si="48"/>
        <v>0</v>
      </c>
      <c r="K336" s="292">
        <f t="shared" si="48"/>
        <v>269752</v>
      </c>
      <c r="L336" s="292">
        <f t="shared" si="48"/>
        <v>24600</v>
      </c>
      <c r="M336" s="264">
        <f>K336+L336</f>
        <v>294352</v>
      </c>
      <c r="N336" s="293">
        <f t="shared" si="49"/>
        <v>4000000</v>
      </c>
      <c r="O336" s="293">
        <f t="shared" si="49"/>
        <v>7083559</v>
      </c>
      <c r="P336" s="293">
        <f t="shared" si="49"/>
        <v>0</v>
      </c>
      <c r="Q336" s="293">
        <f t="shared" si="49"/>
        <v>0</v>
      </c>
      <c r="R336" s="293">
        <f t="shared" si="49"/>
        <v>0</v>
      </c>
      <c r="S336" s="293">
        <f t="shared" si="49"/>
        <v>0</v>
      </c>
      <c r="T336" s="294">
        <f t="shared" si="49"/>
        <v>0</v>
      </c>
      <c r="U336" s="326">
        <v>611848</v>
      </c>
      <c r="V336" s="327">
        <v>4000000</v>
      </c>
      <c r="W336" s="264">
        <f>M336+U336</f>
        <v>906200</v>
      </c>
      <c r="X336" s="295">
        <f>W336/$G$334</f>
        <v>0.07964555180647837</v>
      </c>
      <c r="Y336" s="413"/>
    </row>
    <row r="337" spans="1:25" ht="12.75" customHeight="1">
      <c r="A337" s="405">
        <f>A327+1</f>
        <v>34</v>
      </c>
      <c r="B337" s="432">
        <v>853</v>
      </c>
      <c r="C337" s="432">
        <v>85333</v>
      </c>
      <c r="D337" s="435" t="s">
        <v>208</v>
      </c>
      <c r="E337" s="441" t="s">
        <v>161</v>
      </c>
      <c r="F337" s="423">
        <v>2012</v>
      </c>
      <c r="G337" s="279" t="s">
        <v>9</v>
      </c>
      <c r="H337" s="280" t="s">
        <v>10</v>
      </c>
      <c r="I337" s="259"/>
      <c r="J337" s="281"/>
      <c r="K337" s="243">
        <f aca="true" t="shared" si="50" ref="K337:K368">I337+J337</f>
        <v>0</v>
      </c>
      <c r="L337" s="296"/>
      <c r="M337" s="244"/>
      <c r="N337" s="281"/>
      <c r="O337" s="281"/>
      <c r="P337" s="281"/>
      <c r="Q337" s="281"/>
      <c r="R337" s="281"/>
      <c r="S337" s="281"/>
      <c r="T337" s="296"/>
      <c r="U337" s="328"/>
      <c r="V337" s="329"/>
      <c r="W337" s="243"/>
      <c r="X337" s="284"/>
      <c r="Y337" s="411">
        <f>N345+O345+P345+Q345+R345+S345+N346+O346+P346+Q346+R346+T345+T346+S346</f>
        <v>36273</v>
      </c>
    </row>
    <row r="338" spans="1:25" ht="12.75">
      <c r="A338" s="406"/>
      <c r="B338" s="433"/>
      <c r="C338" s="433"/>
      <c r="D338" s="436"/>
      <c r="E338" s="442"/>
      <c r="F338" s="424"/>
      <c r="G338" s="426">
        <f>M345+N345+O345</f>
        <v>61050</v>
      </c>
      <c r="H338" s="285" t="s">
        <v>11</v>
      </c>
      <c r="I338" s="261"/>
      <c r="J338" s="278"/>
      <c r="K338" s="249">
        <f t="shared" si="50"/>
        <v>0</v>
      </c>
      <c r="L338" s="286"/>
      <c r="M338" s="250"/>
      <c r="N338" s="278"/>
      <c r="O338" s="278"/>
      <c r="P338" s="278"/>
      <c r="Q338" s="278"/>
      <c r="R338" s="278"/>
      <c r="S338" s="278"/>
      <c r="T338" s="286"/>
      <c r="U338" s="322"/>
      <c r="V338" s="323"/>
      <c r="W338" s="3"/>
      <c r="X338" s="287"/>
      <c r="Y338" s="412"/>
    </row>
    <row r="339" spans="1:25" ht="15.75" customHeight="1">
      <c r="A339" s="406"/>
      <c r="B339" s="433"/>
      <c r="C339" s="433"/>
      <c r="D339" s="436"/>
      <c r="E339" s="442"/>
      <c r="F339" s="424"/>
      <c r="G339" s="427"/>
      <c r="H339" s="285" t="s">
        <v>12</v>
      </c>
      <c r="I339" s="261"/>
      <c r="J339" s="278"/>
      <c r="K339" s="249">
        <f t="shared" si="50"/>
        <v>0</v>
      </c>
      <c r="L339" s="286">
        <v>3717</v>
      </c>
      <c r="M339" s="250">
        <f>K339+L339</f>
        <v>3717</v>
      </c>
      <c r="N339" s="278">
        <v>4175</v>
      </c>
      <c r="O339" s="278">
        <v>1266</v>
      </c>
      <c r="P339" s="278"/>
      <c r="Q339" s="278"/>
      <c r="R339" s="278"/>
      <c r="S339" s="278"/>
      <c r="T339" s="286"/>
      <c r="U339" s="322">
        <v>2256</v>
      </c>
      <c r="V339" s="323">
        <v>4175</v>
      </c>
      <c r="W339" s="3">
        <f>M339+U339</f>
        <v>5973</v>
      </c>
      <c r="X339" s="287">
        <f>W339/$G$344</f>
        <v>0.09783783783783784</v>
      </c>
      <c r="Y339" s="412"/>
    </row>
    <row r="340" spans="1:25" ht="12.75">
      <c r="A340" s="406"/>
      <c r="B340" s="433"/>
      <c r="C340" s="433"/>
      <c r="D340" s="436"/>
      <c r="E340" s="442"/>
      <c r="F340" s="424"/>
      <c r="G340" s="288" t="s">
        <v>13</v>
      </c>
      <c r="H340" s="285" t="s">
        <v>14</v>
      </c>
      <c r="I340" s="261"/>
      <c r="J340" s="278"/>
      <c r="K340" s="249">
        <f t="shared" si="50"/>
        <v>0</v>
      </c>
      <c r="L340" s="286"/>
      <c r="M340" s="250"/>
      <c r="N340" s="278"/>
      <c r="O340" s="278"/>
      <c r="P340" s="278"/>
      <c r="Q340" s="278"/>
      <c r="R340" s="278"/>
      <c r="S340" s="278"/>
      <c r="T340" s="286"/>
      <c r="U340" s="322"/>
      <c r="V340" s="323"/>
      <c r="W340" s="3"/>
      <c r="X340" s="287"/>
      <c r="Y340" s="412"/>
    </row>
    <row r="341" spans="1:25" ht="12.75">
      <c r="A341" s="406"/>
      <c r="B341" s="433"/>
      <c r="C341" s="433"/>
      <c r="D341" s="436"/>
      <c r="E341" s="442"/>
      <c r="F341" s="425"/>
      <c r="G341" s="426">
        <f>SUM(K346:T346)</f>
        <v>0</v>
      </c>
      <c r="H341" s="285" t="s">
        <v>162</v>
      </c>
      <c r="I341" s="261"/>
      <c r="J341" s="278"/>
      <c r="K341" s="249">
        <f t="shared" si="50"/>
        <v>0</v>
      </c>
      <c r="L341" s="286">
        <v>21060</v>
      </c>
      <c r="M341" s="250">
        <f>K341+L341</f>
        <v>21060</v>
      </c>
      <c r="N341" s="278">
        <v>23658</v>
      </c>
      <c r="O341" s="278">
        <v>7174</v>
      </c>
      <c r="P341" s="278"/>
      <c r="Q341" s="278"/>
      <c r="R341" s="278"/>
      <c r="S341" s="278"/>
      <c r="T341" s="286"/>
      <c r="U341" s="322">
        <v>12781</v>
      </c>
      <c r="V341" s="323">
        <v>23658</v>
      </c>
      <c r="W341" s="3">
        <f>M341+U341</f>
        <v>33841</v>
      </c>
      <c r="X341" s="287">
        <f>W341/$G$344</f>
        <v>0.5543161343161344</v>
      </c>
      <c r="Y341" s="412"/>
    </row>
    <row r="342" spans="1:25" ht="12.75">
      <c r="A342" s="406"/>
      <c r="B342" s="433"/>
      <c r="C342" s="433"/>
      <c r="D342" s="436"/>
      <c r="E342" s="442"/>
      <c r="F342" s="428">
        <v>2014</v>
      </c>
      <c r="G342" s="427"/>
      <c r="H342" s="285" t="s">
        <v>163</v>
      </c>
      <c r="I342" s="261"/>
      <c r="J342" s="278"/>
      <c r="K342" s="249">
        <f t="shared" si="50"/>
        <v>0</v>
      </c>
      <c r="L342" s="286"/>
      <c r="M342" s="250"/>
      <c r="N342" s="278"/>
      <c r="O342" s="278"/>
      <c r="P342" s="278"/>
      <c r="Q342" s="278"/>
      <c r="R342" s="278"/>
      <c r="S342" s="278"/>
      <c r="T342" s="286"/>
      <c r="U342" s="322"/>
      <c r="V342" s="323"/>
      <c r="W342" s="3"/>
      <c r="X342" s="287"/>
      <c r="Y342" s="412"/>
    </row>
    <row r="343" spans="1:25" ht="14.25" customHeight="1">
      <c r="A343" s="406"/>
      <c r="B343" s="433"/>
      <c r="C343" s="433"/>
      <c r="D343" s="436"/>
      <c r="E343" s="442"/>
      <c r="F343" s="424"/>
      <c r="G343" s="288" t="s">
        <v>17</v>
      </c>
      <c r="H343" s="285" t="s">
        <v>15</v>
      </c>
      <c r="I343" s="261"/>
      <c r="J343" s="278"/>
      <c r="K343" s="249">
        <f t="shared" si="50"/>
        <v>0</v>
      </c>
      <c r="L343" s="286"/>
      <c r="M343" s="250"/>
      <c r="N343" s="278"/>
      <c r="O343" s="278"/>
      <c r="P343" s="278"/>
      <c r="Q343" s="278"/>
      <c r="R343" s="278"/>
      <c r="S343" s="278"/>
      <c r="T343" s="286"/>
      <c r="U343" s="322"/>
      <c r="V343" s="323"/>
      <c r="W343" s="3"/>
      <c r="X343" s="287"/>
      <c r="Y343" s="412"/>
    </row>
    <row r="344" spans="1:25" ht="12.75">
      <c r="A344" s="406"/>
      <c r="B344" s="433"/>
      <c r="C344" s="433"/>
      <c r="D344" s="436"/>
      <c r="E344" s="442"/>
      <c r="F344" s="424"/>
      <c r="G344" s="426">
        <f>G338+G341</f>
        <v>61050</v>
      </c>
      <c r="H344" s="285" t="s">
        <v>16</v>
      </c>
      <c r="I344" s="261"/>
      <c r="J344" s="278"/>
      <c r="K344" s="249">
        <f t="shared" si="50"/>
        <v>0</v>
      </c>
      <c r="L344" s="286"/>
      <c r="M344" s="250"/>
      <c r="N344" s="278"/>
      <c r="O344" s="278"/>
      <c r="P344" s="278"/>
      <c r="Q344" s="278"/>
      <c r="R344" s="278"/>
      <c r="S344" s="278"/>
      <c r="T344" s="286"/>
      <c r="U344" s="322"/>
      <c r="V344" s="323"/>
      <c r="W344" s="3"/>
      <c r="X344" s="287"/>
      <c r="Y344" s="412"/>
    </row>
    <row r="345" spans="1:25" ht="12.75">
      <c r="A345" s="406"/>
      <c r="B345" s="433"/>
      <c r="C345" s="433"/>
      <c r="D345" s="436"/>
      <c r="E345" s="442"/>
      <c r="F345" s="424"/>
      <c r="G345" s="430"/>
      <c r="H345" s="285" t="s">
        <v>18</v>
      </c>
      <c r="I345" s="262">
        <f>I337+I339+I341+I343</f>
        <v>0</v>
      </c>
      <c r="J345" s="289">
        <f>J337+J339+J341+J343</f>
        <v>0</v>
      </c>
      <c r="K345" s="249">
        <f t="shared" si="50"/>
        <v>0</v>
      </c>
      <c r="L345" s="290">
        <f>L337+L339+L341+L343</f>
        <v>24777</v>
      </c>
      <c r="M345" s="250">
        <f>K345+L345</f>
        <v>24777</v>
      </c>
      <c r="N345" s="289">
        <f aca="true" t="shared" si="51" ref="N345:T346">N337+N339+N341+N343</f>
        <v>27833</v>
      </c>
      <c r="O345" s="289">
        <f t="shared" si="51"/>
        <v>8440</v>
      </c>
      <c r="P345" s="289">
        <f t="shared" si="51"/>
        <v>0</v>
      </c>
      <c r="Q345" s="289">
        <f t="shared" si="51"/>
        <v>0</v>
      </c>
      <c r="R345" s="289">
        <f t="shared" si="51"/>
        <v>0</v>
      </c>
      <c r="S345" s="289">
        <f t="shared" si="51"/>
        <v>0</v>
      </c>
      <c r="T345" s="290">
        <f t="shared" si="51"/>
        <v>0</v>
      </c>
      <c r="U345" s="324">
        <f>U339+U341</f>
        <v>15037</v>
      </c>
      <c r="V345" s="325">
        <f>V337+V339+V341+V343</f>
        <v>27833</v>
      </c>
      <c r="W345" s="3">
        <f>M345+U345</f>
        <v>39814</v>
      </c>
      <c r="X345" s="287">
        <f>W345/$G$344</f>
        <v>0.6521539721539722</v>
      </c>
      <c r="Y345" s="412"/>
    </row>
    <row r="346" spans="1:25" ht="15" customHeight="1" thickBot="1">
      <c r="A346" s="407"/>
      <c r="B346" s="434"/>
      <c r="C346" s="434"/>
      <c r="D346" s="437"/>
      <c r="E346" s="443"/>
      <c r="F346" s="429"/>
      <c r="G346" s="431"/>
      <c r="H346" s="291" t="s">
        <v>19</v>
      </c>
      <c r="I346" s="263">
        <f>I338+I340+I342+I344</f>
        <v>0</v>
      </c>
      <c r="J346" s="292">
        <f>J338+J340+J342+J344</f>
        <v>0</v>
      </c>
      <c r="K346" s="255">
        <f t="shared" si="50"/>
        <v>0</v>
      </c>
      <c r="L346" s="297">
        <f>L338+L340+L342+L344</f>
        <v>0</v>
      </c>
      <c r="M346" s="256">
        <f>K346+L346</f>
        <v>0</v>
      </c>
      <c r="N346" s="292">
        <f t="shared" si="51"/>
        <v>0</v>
      </c>
      <c r="O346" s="292">
        <f t="shared" si="51"/>
        <v>0</v>
      </c>
      <c r="P346" s="292">
        <f t="shared" si="51"/>
        <v>0</v>
      </c>
      <c r="Q346" s="292">
        <f t="shared" si="51"/>
        <v>0</v>
      </c>
      <c r="R346" s="292">
        <f t="shared" si="51"/>
        <v>0</v>
      </c>
      <c r="S346" s="292">
        <f t="shared" si="51"/>
        <v>0</v>
      </c>
      <c r="T346" s="297">
        <f t="shared" si="51"/>
        <v>0</v>
      </c>
      <c r="U346" s="330">
        <f>U338+U340+U342+U344</f>
        <v>0</v>
      </c>
      <c r="V346" s="331">
        <f>N346-U346</f>
        <v>0</v>
      </c>
      <c r="W346" s="76">
        <f>M346+U346</f>
        <v>0</v>
      </c>
      <c r="X346" s="295">
        <f>W346/$G$344</f>
        <v>0</v>
      </c>
      <c r="Y346" s="413"/>
    </row>
    <row r="347" spans="1:25" ht="12.75" customHeight="1">
      <c r="A347" s="405">
        <f>A337+1</f>
        <v>35</v>
      </c>
      <c r="B347" s="432">
        <v>853</v>
      </c>
      <c r="C347" s="432">
        <v>85333</v>
      </c>
      <c r="D347" s="435" t="s">
        <v>209</v>
      </c>
      <c r="E347" s="441" t="s">
        <v>161</v>
      </c>
      <c r="F347" s="423">
        <v>2012</v>
      </c>
      <c r="G347" s="279" t="s">
        <v>9</v>
      </c>
      <c r="H347" s="280" t="s">
        <v>10</v>
      </c>
      <c r="I347" s="259"/>
      <c r="J347" s="281"/>
      <c r="K347" s="243">
        <f t="shared" si="50"/>
        <v>0</v>
      </c>
      <c r="L347" s="281"/>
      <c r="M347" s="249"/>
      <c r="N347" s="282"/>
      <c r="O347" s="282"/>
      <c r="P347" s="282"/>
      <c r="Q347" s="282"/>
      <c r="R347" s="282"/>
      <c r="S347" s="282"/>
      <c r="T347" s="283"/>
      <c r="U347" s="320"/>
      <c r="V347" s="321"/>
      <c r="W347" s="249"/>
      <c r="X347" s="284"/>
      <c r="Y347" s="411">
        <f>N355+O355+P355+Q355+R355+S355+N356+O356+P356+Q356+R356+T355+T356+S356</f>
        <v>435121</v>
      </c>
    </row>
    <row r="348" spans="1:25" ht="12.75">
      <c r="A348" s="406"/>
      <c r="B348" s="433"/>
      <c r="C348" s="433"/>
      <c r="D348" s="436"/>
      <c r="E348" s="442"/>
      <c r="F348" s="424"/>
      <c r="G348" s="426">
        <f>M355+N355+O355</f>
        <v>442590</v>
      </c>
      <c r="H348" s="285" t="s">
        <v>11</v>
      </c>
      <c r="I348" s="261"/>
      <c r="J348" s="278"/>
      <c r="K348" s="249">
        <f t="shared" si="50"/>
        <v>0</v>
      </c>
      <c r="L348" s="278"/>
      <c r="M348" s="3"/>
      <c r="N348" s="278"/>
      <c r="O348" s="278"/>
      <c r="P348" s="278"/>
      <c r="Q348" s="278"/>
      <c r="R348" s="278"/>
      <c r="S348" s="278"/>
      <c r="T348" s="286"/>
      <c r="U348" s="322"/>
      <c r="V348" s="323"/>
      <c r="W348" s="3"/>
      <c r="X348" s="287"/>
      <c r="Y348" s="412"/>
    </row>
    <row r="349" spans="1:25" ht="12.75">
      <c r="A349" s="406"/>
      <c r="B349" s="433"/>
      <c r="C349" s="433"/>
      <c r="D349" s="436"/>
      <c r="E349" s="442"/>
      <c r="F349" s="424"/>
      <c r="G349" s="427"/>
      <c r="H349" s="285" t="s">
        <v>12</v>
      </c>
      <c r="I349" s="261"/>
      <c r="J349" s="278"/>
      <c r="K349" s="249">
        <f t="shared" si="50"/>
        <v>0</v>
      </c>
      <c r="L349" s="278">
        <v>1121</v>
      </c>
      <c r="M349" s="3">
        <f>K349+L349</f>
        <v>1121</v>
      </c>
      <c r="N349" s="278">
        <v>34817</v>
      </c>
      <c r="O349" s="278">
        <v>30451</v>
      </c>
      <c r="P349" s="278"/>
      <c r="Q349" s="278"/>
      <c r="R349" s="278"/>
      <c r="S349" s="278"/>
      <c r="T349" s="286"/>
      <c r="U349" s="322">
        <v>6257</v>
      </c>
      <c r="V349" s="323">
        <v>34817</v>
      </c>
      <c r="W349" s="3">
        <f>M349+U349</f>
        <v>7378</v>
      </c>
      <c r="X349" s="287">
        <f>W349/$G$354</f>
        <v>0.01667005580785829</v>
      </c>
      <c r="Y349" s="412"/>
    </row>
    <row r="350" spans="1:25" ht="12.75">
      <c r="A350" s="406"/>
      <c r="B350" s="433"/>
      <c r="C350" s="433"/>
      <c r="D350" s="436"/>
      <c r="E350" s="442"/>
      <c r="F350" s="424"/>
      <c r="G350" s="288" t="s">
        <v>13</v>
      </c>
      <c r="H350" s="285" t="s">
        <v>14</v>
      </c>
      <c r="I350" s="261"/>
      <c r="J350" s="278"/>
      <c r="K350" s="249">
        <f t="shared" si="50"/>
        <v>0</v>
      </c>
      <c r="L350" s="278"/>
      <c r="M350" s="3"/>
      <c r="N350" s="278"/>
      <c r="O350" s="278"/>
      <c r="P350" s="278"/>
      <c r="Q350" s="278"/>
      <c r="R350" s="278"/>
      <c r="S350" s="278"/>
      <c r="T350" s="286"/>
      <c r="U350" s="322"/>
      <c r="V350" s="323"/>
      <c r="W350" s="3"/>
      <c r="X350" s="287"/>
      <c r="Y350" s="412"/>
    </row>
    <row r="351" spans="1:25" ht="12.75">
      <c r="A351" s="406"/>
      <c r="B351" s="433"/>
      <c r="C351" s="433"/>
      <c r="D351" s="436"/>
      <c r="E351" s="442"/>
      <c r="F351" s="425"/>
      <c r="G351" s="426">
        <f>SUM(K356:T356)</f>
        <v>0</v>
      </c>
      <c r="H351" s="285" t="s">
        <v>162</v>
      </c>
      <c r="I351" s="261"/>
      <c r="J351" s="278"/>
      <c r="K351" s="249">
        <f t="shared" si="50"/>
        <v>0</v>
      </c>
      <c r="L351" s="278">
        <v>6348</v>
      </c>
      <c r="M351" s="3">
        <f>K351+L351</f>
        <v>6348</v>
      </c>
      <c r="N351" s="278">
        <v>197290</v>
      </c>
      <c r="O351" s="278">
        <v>172563</v>
      </c>
      <c r="P351" s="278"/>
      <c r="Q351" s="278"/>
      <c r="R351" s="278"/>
      <c r="S351" s="278"/>
      <c r="T351" s="286"/>
      <c r="U351" s="322">
        <v>35454</v>
      </c>
      <c r="V351" s="323">
        <v>197290</v>
      </c>
      <c r="W351" s="3">
        <f>M351+U351</f>
        <v>41802</v>
      </c>
      <c r="X351" s="287">
        <f>W351/$G$354</f>
        <v>0.09444858672812309</v>
      </c>
      <c r="Y351" s="412"/>
    </row>
    <row r="352" spans="1:25" ht="12.75">
      <c r="A352" s="406"/>
      <c r="B352" s="433"/>
      <c r="C352" s="433"/>
      <c r="D352" s="436"/>
      <c r="E352" s="442"/>
      <c r="F352" s="428">
        <v>2014</v>
      </c>
      <c r="G352" s="427"/>
      <c r="H352" s="285" t="s">
        <v>163</v>
      </c>
      <c r="I352" s="261"/>
      <c r="J352" s="278"/>
      <c r="K352" s="249">
        <f t="shared" si="50"/>
        <v>0</v>
      </c>
      <c r="L352" s="278"/>
      <c r="M352" s="3"/>
      <c r="N352" s="278"/>
      <c r="O352" s="278"/>
      <c r="P352" s="278"/>
      <c r="Q352" s="278"/>
      <c r="R352" s="278"/>
      <c r="S352" s="278"/>
      <c r="T352" s="286"/>
      <c r="U352" s="322"/>
      <c r="V352" s="323"/>
      <c r="W352" s="3"/>
      <c r="X352" s="287"/>
      <c r="Y352" s="412"/>
    </row>
    <row r="353" spans="1:25" ht="12.75">
      <c r="A353" s="406"/>
      <c r="B353" s="433"/>
      <c r="C353" s="433"/>
      <c r="D353" s="436"/>
      <c r="E353" s="442"/>
      <c r="F353" s="424"/>
      <c r="G353" s="288" t="s">
        <v>17</v>
      </c>
      <c r="H353" s="285" t="s">
        <v>15</v>
      </c>
      <c r="I353" s="261"/>
      <c r="J353" s="278"/>
      <c r="K353" s="249">
        <f t="shared" si="50"/>
        <v>0</v>
      </c>
      <c r="L353" s="278"/>
      <c r="M353" s="3"/>
      <c r="N353" s="278"/>
      <c r="O353" s="278"/>
      <c r="P353" s="278"/>
      <c r="Q353" s="278"/>
      <c r="R353" s="278"/>
      <c r="S353" s="278"/>
      <c r="T353" s="286"/>
      <c r="U353" s="322"/>
      <c r="V353" s="323"/>
      <c r="W353" s="3"/>
      <c r="X353" s="287"/>
      <c r="Y353" s="412"/>
    </row>
    <row r="354" spans="1:25" ht="12.75">
      <c r="A354" s="406"/>
      <c r="B354" s="433"/>
      <c r="C354" s="433"/>
      <c r="D354" s="436"/>
      <c r="E354" s="442"/>
      <c r="F354" s="424"/>
      <c r="G354" s="426">
        <f>G348+G351</f>
        <v>442590</v>
      </c>
      <c r="H354" s="285" t="s">
        <v>16</v>
      </c>
      <c r="I354" s="261"/>
      <c r="J354" s="278"/>
      <c r="K354" s="249">
        <f t="shared" si="50"/>
        <v>0</v>
      </c>
      <c r="L354" s="278"/>
      <c r="M354" s="3"/>
      <c r="N354" s="278"/>
      <c r="O354" s="278"/>
      <c r="P354" s="278"/>
      <c r="Q354" s="278"/>
      <c r="R354" s="278"/>
      <c r="S354" s="278"/>
      <c r="T354" s="286"/>
      <c r="U354" s="322"/>
      <c r="V354" s="323"/>
      <c r="W354" s="3"/>
      <c r="X354" s="287"/>
      <c r="Y354" s="412"/>
    </row>
    <row r="355" spans="1:25" ht="12.75">
      <c r="A355" s="406"/>
      <c r="B355" s="433"/>
      <c r="C355" s="433"/>
      <c r="D355" s="436"/>
      <c r="E355" s="442"/>
      <c r="F355" s="424"/>
      <c r="G355" s="430"/>
      <c r="H355" s="285" t="s">
        <v>18</v>
      </c>
      <c r="I355" s="262">
        <f>I347+I349+I351+I353</f>
        <v>0</v>
      </c>
      <c r="J355" s="289">
        <f>J347+J349+J351+J353</f>
        <v>0</v>
      </c>
      <c r="K355" s="249">
        <f t="shared" si="50"/>
        <v>0</v>
      </c>
      <c r="L355" s="289">
        <f>L347+L349+L351+L353</f>
        <v>7469</v>
      </c>
      <c r="M355" s="3">
        <f>K355+L355</f>
        <v>7469</v>
      </c>
      <c r="N355" s="289">
        <f aca="true" t="shared" si="52" ref="N355:V355">N347+N349+N351+N353</f>
        <v>232107</v>
      </c>
      <c r="O355" s="289">
        <f t="shared" si="52"/>
        <v>203014</v>
      </c>
      <c r="P355" s="289">
        <f t="shared" si="52"/>
        <v>0</v>
      </c>
      <c r="Q355" s="289">
        <f t="shared" si="52"/>
        <v>0</v>
      </c>
      <c r="R355" s="289">
        <f t="shared" si="52"/>
        <v>0</v>
      </c>
      <c r="S355" s="289">
        <f t="shared" si="52"/>
        <v>0</v>
      </c>
      <c r="T355" s="290">
        <f t="shared" si="52"/>
        <v>0</v>
      </c>
      <c r="U355" s="324">
        <f t="shared" si="52"/>
        <v>41711</v>
      </c>
      <c r="V355" s="325">
        <f t="shared" si="52"/>
        <v>232107</v>
      </c>
      <c r="W355" s="3">
        <f>M355+U355</f>
        <v>49180</v>
      </c>
      <c r="X355" s="287">
        <f>W355/$G$354</f>
        <v>0.11111864253598139</v>
      </c>
      <c r="Y355" s="412"/>
    </row>
    <row r="356" spans="1:25" ht="13.5" thickBot="1">
      <c r="A356" s="407"/>
      <c r="B356" s="434"/>
      <c r="C356" s="434"/>
      <c r="D356" s="437"/>
      <c r="E356" s="443"/>
      <c r="F356" s="429"/>
      <c r="G356" s="431"/>
      <c r="H356" s="291" t="s">
        <v>19</v>
      </c>
      <c r="I356" s="263">
        <f>I348+I350+I352+I354</f>
        <v>0</v>
      </c>
      <c r="J356" s="292">
        <f>J348+J350+J352+J354</f>
        <v>0</v>
      </c>
      <c r="K356" s="255">
        <f t="shared" si="50"/>
        <v>0</v>
      </c>
      <c r="L356" s="292">
        <f>L348+L350+L352+L354</f>
        <v>0</v>
      </c>
      <c r="M356" s="264">
        <f>K356+L356</f>
        <v>0</v>
      </c>
      <c r="N356" s="293">
        <f aca="true" t="shared" si="53" ref="N356:U356">N348+N350+N352+N354</f>
        <v>0</v>
      </c>
      <c r="O356" s="293">
        <f t="shared" si="53"/>
        <v>0</v>
      </c>
      <c r="P356" s="293">
        <f t="shared" si="53"/>
        <v>0</v>
      </c>
      <c r="Q356" s="293">
        <f t="shared" si="53"/>
        <v>0</v>
      </c>
      <c r="R356" s="293">
        <f t="shared" si="53"/>
        <v>0</v>
      </c>
      <c r="S356" s="293">
        <f t="shared" si="53"/>
        <v>0</v>
      </c>
      <c r="T356" s="294">
        <f t="shared" si="53"/>
        <v>0</v>
      </c>
      <c r="U356" s="326">
        <f t="shared" si="53"/>
        <v>0</v>
      </c>
      <c r="V356" s="327">
        <f>N356-U356</f>
        <v>0</v>
      </c>
      <c r="W356" s="264">
        <f>M356+U356</f>
        <v>0</v>
      </c>
      <c r="X356" s="295">
        <f>W356/$G$354</f>
        <v>0</v>
      </c>
      <c r="Y356" s="413"/>
    </row>
    <row r="357" spans="1:25" ht="12.75" customHeight="1">
      <c r="A357" s="405">
        <f>A347+1</f>
        <v>36</v>
      </c>
      <c r="B357" s="432">
        <v>853</v>
      </c>
      <c r="C357" s="432">
        <v>85333</v>
      </c>
      <c r="D357" s="435" t="s">
        <v>210</v>
      </c>
      <c r="E357" s="441" t="s">
        <v>161</v>
      </c>
      <c r="F357" s="423">
        <v>2012</v>
      </c>
      <c r="G357" s="279" t="s">
        <v>9</v>
      </c>
      <c r="H357" s="280" t="s">
        <v>10</v>
      </c>
      <c r="I357" s="259"/>
      <c r="J357" s="281"/>
      <c r="K357" s="243">
        <f t="shared" si="50"/>
        <v>0</v>
      </c>
      <c r="L357" s="296">
        <v>22645</v>
      </c>
      <c r="M357" s="244">
        <f>K357+L357</f>
        <v>22645</v>
      </c>
      <c r="N357" s="281">
        <v>28111</v>
      </c>
      <c r="O357" s="281"/>
      <c r="P357" s="281"/>
      <c r="Q357" s="281"/>
      <c r="R357" s="281"/>
      <c r="S357" s="281"/>
      <c r="T357" s="296"/>
      <c r="U357" s="328">
        <v>13560</v>
      </c>
      <c r="V357" s="329">
        <v>28111</v>
      </c>
      <c r="W357" s="243">
        <f>M357+U357</f>
        <v>36205</v>
      </c>
      <c r="X357" s="284">
        <f>W357/$G$364</f>
        <v>0.10699888878380934</v>
      </c>
      <c r="Y357" s="411">
        <f>N365+O365+P365+Q365+R365+S365+N366+O366+P366+Q366+R366+T365+T366+S366</f>
        <v>187401</v>
      </c>
    </row>
    <row r="358" spans="1:25" ht="12.75">
      <c r="A358" s="406"/>
      <c r="B358" s="433"/>
      <c r="C358" s="433"/>
      <c r="D358" s="436"/>
      <c r="E358" s="442"/>
      <c r="F358" s="424"/>
      <c r="G358" s="426">
        <f>M365+N365</f>
        <v>338368</v>
      </c>
      <c r="H358" s="285" t="s">
        <v>11</v>
      </c>
      <c r="I358" s="261"/>
      <c r="J358" s="278"/>
      <c r="K358" s="249">
        <f t="shared" si="50"/>
        <v>0</v>
      </c>
      <c r="L358" s="286"/>
      <c r="M358" s="250"/>
      <c r="N358" s="278"/>
      <c r="O358" s="278"/>
      <c r="P358" s="278"/>
      <c r="Q358" s="278"/>
      <c r="R358" s="278"/>
      <c r="S358" s="278"/>
      <c r="T358" s="286"/>
      <c r="U358" s="322"/>
      <c r="V358" s="323"/>
      <c r="W358" s="3"/>
      <c r="X358" s="287"/>
      <c r="Y358" s="412"/>
    </row>
    <row r="359" spans="1:25" ht="12.75">
      <c r="A359" s="406"/>
      <c r="B359" s="433"/>
      <c r="C359" s="433"/>
      <c r="D359" s="436"/>
      <c r="E359" s="442"/>
      <c r="F359" s="424"/>
      <c r="G359" s="427"/>
      <c r="H359" s="285" t="s">
        <v>12</v>
      </c>
      <c r="I359" s="261"/>
      <c r="J359" s="278"/>
      <c r="K359" s="249">
        <f t="shared" si="50"/>
        <v>0</v>
      </c>
      <c r="L359" s="286"/>
      <c r="M359" s="250"/>
      <c r="N359" s="278"/>
      <c r="O359" s="278"/>
      <c r="P359" s="278"/>
      <c r="Q359" s="278"/>
      <c r="R359" s="278"/>
      <c r="S359" s="278"/>
      <c r="T359" s="286"/>
      <c r="U359" s="322"/>
      <c r="V359" s="323"/>
      <c r="W359" s="3"/>
      <c r="X359" s="287"/>
      <c r="Y359" s="412"/>
    </row>
    <row r="360" spans="1:25" ht="12.75">
      <c r="A360" s="406"/>
      <c r="B360" s="433"/>
      <c r="C360" s="433"/>
      <c r="D360" s="436"/>
      <c r="E360" s="442"/>
      <c r="F360" s="424"/>
      <c r="G360" s="288" t="s">
        <v>13</v>
      </c>
      <c r="H360" s="285" t="s">
        <v>14</v>
      </c>
      <c r="I360" s="261"/>
      <c r="J360" s="278"/>
      <c r="K360" s="249">
        <f t="shared" si="50"/>
        <v>0</v>
      </c>
      <c r="L360" s="286"/>
      <c r="M360" s="250"/>
      <c r="N360" s="278"/>
      <c r="O360" s="278"/>
      <c r="P360" s="278"/>
      <c r="Q360" s="278"/>
      <c r="R360" s="278"/>
      <c r="S360" s="278"/>
      <c r="T360" s="286"/>
      <c r="U360" s="322"/>
      <c r="V360" s="323"/>
      <c r="W360" s="3"/>
      <c r="X360" s="287"/>
      <c r="Y360" s="412"/>
    </row>
    <row r="361" spans="1:25" ht="12.75">
      <c r="A361" s="406"/>
      <c r="B361" s="433"/>
      <c r="C361" s="433"/>
      <c r="D361" s="436"/>
      <c r="E361" s="442"/>
      <c r="F361" s="425"/>
      <c r="G361" s="426">
        <f>SUM(K366:T366)</f>
        <v>0</v>
      </c>
      <c r="H361" s="285" t="s">
        <v>162</v>
      </c>
      <c r="I361" s="261"/>
      <c r="J361" s="278"/>
      <c r="K361" s="249">
        <f t="shared" si="50"/>
        <v>0</v>
      </c>
      <c r="L361" s="286">
        <v>128322</v>
      </c>
      <c r="M361" s="250">
        <f>K361+L361</f>
        <v>128322</v>
      </c>
      <c r="N361" s="278">
        <v>159290</v>
      </c>
      <c r="O361" s="278"/>
      <c r="P361" s="278"/>
      <c r="Q361" s="278"/>
      <c r="R361" s="278"/>
      <c r="S361" s="278"/>
      <c r="T361" s="286"/>
      <c r="U361" s="322">
        <v>76840</v>
      </c>
      <c r="V361" s="323">
        <v>159290</v>
      </c>
      <c r="W361" s="3">
        <f>M361+U361</f>
        <v>205162</v>
      </c>
      <c r="X361" s="287">
        <f>W361/$G$364</f>
        <v>0.6063280215623227</v>
      </c>
      <c r="Y361" s="412"/>
    </row>
    <row r="362" spans="1:25" ht="12.75">
      <c r="A362" s="406"/>
      <c r="B362" s="433"/>
      <c r="C362" s="433"/>
      <c r="D362" s="436"/>
      <c r="E362" s="442"/>
      <c r="F362" s="428">
        <v>2013</v>
      </c>
      <c r="G362" s="427"/>
      <c r="H362" s="285" t="s">
        <v>163</v>
      </c>
      <c r="I362" s="261"/>
      <c r="J362" s="278"/>
      <c r="K362" s="249">
        <f t="shared" si="50"/>
        <v>0</v>
      </c>
      <c r="L362" s="286"/>
      <c r="M362" s="250"/>
      <c r="N362" s="278"/>
      <c r="O362" s="278"/>
      <c r="P362" s="278"/>
      <c r="Q362" s="278"/>
      <c r="R362" s="278"/>
      <c r="S362" s="278"/>
      <c r="T362" s="286"/>
      <c r="U362" s="322"/>
      <c r="V362" s="323"/>
      <c r="W362" s="3"/>
      <c r="X362" s="287"/>
      <c r="Y362" s="412"/>
    </row>
    <row r="363" spans="1:25" ht="12.75">
      <c r="A363" s="406"/>
      <c r="B363" s="433"/>
      <c r="C363" s="433"/>
      <c r="D363" s="436"/>
      <c r="E363" s="442"/>
      <c r="F363" s="424"/>
      <c r="G363" s="288" t="s">
        <v>17</v>
      </c>
      <c r="H363" s="285" t="s">
        <v>15</v>
      </c>
      <c r="I363" s="261"/>
      <c r="J363" s="278"/>
      <c r="K363" s="249">
        <f t="shared" si="50"/>
        <v>0</v>
      </c>
      <c r="L363" s="286"/>
      <c r="M363" s="250"/>
      <c r="N363" s="278"/>
      <c r="O363" s="278"/>
      <c r="P363" s="278"/>
      <c r="Q363" s="278"/>
      <c r="R363" s="278"/>
      <c r="S363" s="278"/>
      <c r="T363" s="286"/>
      <c r="U363" s="322"/>
      <c r="V363" s="323"/>
      <c r="W363" s="3"/>
      <c r="X363" s="287"/>
      <c r="Y363" s="412"/>
    </row>
    <row r="364" spans="1:25" ht="12.75">
      <c r="A364" s="406"/>
      <c r="B364" s="433"/>
      <c r="C364" s="433"/>
      <c r="D364" s="436"/>
      <c r="E364" s="442"/>
      <c r="F364" s="424"/>
      <c r="G364" s="426">
        <f>G358+G361</f>
        <v>338368</v>
      </c>
      <c r="H364" s="285" t="s">
        <v>16</v>
      </c>
      <c r="I364" s="261"/>
      <c r="J364" s="278"/>
      <c r="K364" s="249">
        <f t="shared" si="50"/>
        <v>0</v>
      </c>
      <c r="L364" s="286"/>
      <c r="M364" s="250"/>
      <c r="N364" s="278"/>
      <c r="O364" s="278"/>
      <c r="P364" s="278"/>
      <c r="Q364" s="278"/>
      <c r="R364" s="278"/>
      <c r="S364" s="278"/>
      <c r="T364" s="286"/>
      <c r="U364" s="322"/>
      <c r="V364" s="323"/>
      <c r="W364" s="3"/>
      <c r="X364" s="287"/>
      <c r="Y364" s="412"/>
    </row>
    <row r="365" spans="1:25" ht="12.75">
      <c r="A365" s="406"/>
      <c r="B365" s="433"/>
      <c r="C365" s="433"/>
      <c r="D365" s="436"/>
      <c r="E365" s="442"/>
      <c r="F365" s="424"/>
      <c r="G365" s="430"/>
      <c r="H365" s="285" t="s">
        <v>18</v>
      </c>
      <c r="I365" s="262">
        <f>I357+I359+I361+I363</f>
        <v>0</v>
      </c>
      <c r="J365" s="289">
        <f>J357+J359+J361+J363</f>
        <v>0</v>
      </c>
      <c r="K365" s="249">
        <f t="shared" si="50"/>
        <v>0</v>
      </c>
      <c r="L365" s="290">
        <f>L357+L359+L361+L363</f>
        <v>150967</v>
      </c>
      <c r="M365" s="250">
        <f>K365+L365</f>
        <v>150967</v>
      </c>
      <c r="N365" s="289">
        <f aca="true" t="shared" si="54" ref="N365:V365">N357+N359+N361+N363</f>
        <v>187401</v>
      </c>
      <c r="O365" s="289">
        <f t="shared" si="54"/>
        <v>0</v>
      </c>
      <c r="P365" s="289">
        <f t="shared" si="54"/>
        <v>0</v>
      </c>
      <c r="Q365" s="289">
        <f t="shared" si="54"/>
        <v>0</v>
      </c>
      <c r="R365" s="289">
        <f t="shared" si="54"/>
        <v>0</v>
      </c>
      <c r="S365" s="289">
        <f t="shared" si="54"/>
        <v>0</v>
      </c>
      <c r="T365" s="290">
        <f t="shared" si="54"/>
        <v>0</v>
      </c>
      <c r="U365" s="324">
        <f t="shared" si="54"/>
        <v>90400</v>
      </c>
      <c r="V365" s="325">
        <f t="shared" si="54"/>
        <v>187401</v>
      </c>
      <c r="W365" s="3">
        <f>M365+U365</f>
        <v>241367</v>
      </c>
      <c r="X365" s="287">
        <f>W365/$G$364</f>
        <v>0.713326910346132</v>
      </c>
      <c r="Y365" s="412"/>
    </row>
    <row r="366" spans="1:25" ht="13.5" thickBot="1">
      <c r="A366" s="407"/>
      <c r="B366" s="434"/>
      <c r="C366" s="434"/>
      <c r="D366" s="437"/>
      <c r="E366" s="443"/>
      <c r="F366" s="429"/>
      <c r="G366" s="431"/>
      <c r="H366" s="291" t="s">
        <v>19</v>
      </c>
      <c r="I366" s="263">
        <f>I358+I360+I362+I364</f>
        <v>0</v>
      </c>
      <c r="J366" s="292">
        <f>J358+J360+J362+J364</f>
        <v>0</v>
      </c>
      <c r="K366" s="255">
        <f t="shared" si="50"/>
        <v>0</v>
      </c>
      <c r="L366" s="297">
        <f>L358+L360+L362+L364</f>
        <v>0</v>
      </c>
      <c r="M366" s="256">
        <f>K366+L366</f>
        <v>0</v>
      </c>
      <c r="N366" s="292">
        <f aca="true" t="shared" si="55" ref="N366:U366">N358+N360+N362+N364</f>
        <v>0</v>
      </c>
      <c r="O366" s="292">
        <f t="shared" si="55"/>
        <v>0</v>
      </c>
      <c r="P366" s="292">
        <f t="shared" si="55"/>
        <v>0</v>
      </c>
      <c r="Q366" s="292">
        <f t="shared" si="55"/>
        <v>0</v>
      </c>
      <c r="R366" s="292">
        <f t="shared" si="55"/>
        <v>0</v>
      </c>
      <c r="S366" s="292">
        <f t="shared" si="55"/>
        <v>0</v>
      </c>
      <c r="T366" s="297">
        <f t="shared" si="55"/>
        <v>0</v>
      </c>
      <c r="U366" s="330">
        <f t="shared" si="55"/>
        <v>0</v>
      </c>
      <c r="V366" s="331">
        <f>N366-U366</f>
        <v>0</v>
      </c>
      <c r="W366" s="76">
        <f>M366+U366</f>
        <v>0</v>
      </c>
      <c r="X366" s="295">
        <f>W366/$G$364</f>
        <v>0</v>
      </c>
      <c r="Y366" s="413"/>
    </row>
    <row r="367" spans="1:25" ht="12.75" customHeight="1">
      <c r="A367" s="405">
        <f>A357+1</f>
        <v>37</v>
      </c>
      <c r="B367" s="432">
        <v>853</v>
      </c>
      <c r="C367" s="432">
        <v>85395</v>
      </c>
      <c r="D367" s="435" t="s">
        <v>211</v>
      </c>
      <c r="E367" s="441" t="s">
        <v>161</v>
      </c>
      <c r="F367" s="423">
        <v>2013</v>
      </c>
      <c r="G367" s="279" t="s">
        <v>9</v>
      </c>
      <c r="H367" s="280" t="s">
        <v>10</v>
      </c>
      <c r="I367" s="259"/>
      <c r="J367" s="281"/>
      <c r="K367" s="243">
        <f t="shared" si="50"/>
        <v>0</v>
      </c>
      <c r="L367" s="281"/>
      <c r="M367" s="243"/>
      <c r="N367" s="281"/>
      <c r="O367" s="281"/>
      <c r="P367" s="281"/>
      <c r="Q367" s="281"/>
      <c r="R367" s="281"/>
      <c r="S367" s="281"/>
      <c r="T367" s="296"/>
      <c r="U367" s="328"/>
      <c r="V367" s="329"/>
      <c r="W367" s="243"/>
      <c r="X367" s="284"/>
      <c r="Y367" s="411">
        <f>N375+O375+P375+Q375+R375+S375+N376+O376+P376+Q376+R376+T375+T376+S376</f>
        <v>1434226</v>
      </c>
    </row>
    <row r="368" spans="1:25" ht="12.75">
      <c r="A368" s="406"/>
      <c r="B368" s="433"/>
      <c r="C368" s="433"/>
      <c r="D368" s="436"/>
      <c r="E368" s="442"/>
      <c r="F368" s="424"/>
      <c r="G368" s="426">
        <f>N375+O375+P375</f>
        <v>1434226</v>
      </c>
      <c r="H368" s="285" t="s">
        <v>11</v>
      </c>
      <c r="I368" s="261"/>
      <c r="J368" s="278"/>
      <c r="K368" s="249">
        <f t="shared" si="50"/>
        <v>0</v>
      </c>
      <c r="L368" s="278"/>
      <c r="M368" s="3"/>
      <c r="N368" s="278"/>
      <c r="O368" s="278"/>
      <c r="P368" s="278"/>
      <c r="Q368" s="278"/>
      <c r="R368" s="278"/>
      <c r="S368" s="278"/>
      <c r="T368" s="286"/>
      <c r="U368" s="322"/>
      <c r="V368" s="323"/>
      <c r="W368" s="3"/>
      <c r="X368" s="287"/>
      <c r="Y368" s="412"/>
    </row>
    <row r="369" spans="1:25" ht="12.75">
      <c r="A369" s="406"/>
      <c r="B369" s="433"/>
      <c r="C369" s="433"/>
      <c r="D369" s="436"/>
      <c r="E369" s="442"/>
      <c r="F369" s="424"/>
      <c r="G369" s="427"/>
      <c r="H369" s="285" t="s">
        <v>12</v>
      </c>
      <c r="I369" s="261"/>
      <c r="J369" s="278"/>
      <c r="K369" s="249">
        <f aca="true" t="shared" si="56" ref="K369:K400">I369+J369</f>
        <v>0</v>
      </c>
      <c r="L369" s="278"/>
      <c r="M369" s="3"/>
      <c r="N369" s="278">
        <v>93557</v>
      </c>
      <c r="O369" s="278">
        <v>78955</v>
      </c>
      <c r="P369" s="278">
        <v>42620</v>
      </c>
      <c r="Q369" s="278"/>
      <c r="R369" s="278"/>
      <c r="S369" s="278"/>
      <c r="T369" s="286"/>
      <c r="U369" s="322">
        <v>33219</v>
      </c>
      <c r="V369" s="323">
        <v>93557</v>
      </c>
      <c r="W369" s="3">
        <f>M369+U369</f>
        <v>33219</v>
      </c>
      <c r="X369" s="287">
        <f>W369/$G$374</f>
        <v>0.02316162166910933</v>
      </c>
      <c r="Y369" s="412"/>
    </row>
    <row r="370" spans="1:25" ht="12.75">
      <c r="A370" s="406"/>
      <c r="B370" s="433"/>
      <c r="C370" s="433"/>
      <c r="D370" s="436"/>
      <c r="E370" s="442"/>
      <c r="F370" s="424"/>
      <c r="G370" s="288" t="s">
        <v>13</v>
      </c>
      <c r="H370" s="285" t="s">
        <v>14</v>
      </c>
      <c r="I370" s="261"/>
      <c r="J370" s="278"/>
      <c r="K370" s="249">
        <f t="shared" si="56"/>
        <v>0</v>
      </c>
      <c r="L370" s="278"/>
      <c r="M370" s="3"/>
      <c r="N370" s="278"/>
      <c r="O370" s="278"/>
      <c r="P370" s="278"/>
      <c r="Q370" s="278"/>
      <c r="R370" s="278"/>
      <c r="S370" s="278"/>
      <c r="T370" s="286"/>
      <c r="U370" s="322"/>
      <c r="V370" s="323"/>
      <c r="W370" s="3"/>
      <c r="X370" s="287"/>
      <c r="Y370" s="412"/>
    </row>
    <row r="371" spans="1:25" ht="12.75">
      <c r="A371" s="406"/>
      <c r="B371" s="433"/>
      <c r="C371" s="433"/>
      <c r="D371" s="436"/>
      <c r="E371" s="442"/>
      <c r="F371" s="425"/>
      <c r="G371" s="426">
        <f>SUM(K376:T376)</f>
        <v>0</v>
      </c>
      <c r="H371" s="285" t="s">
        <v>162</v>
      </c>
      <c r="I371" s="261"/>
      <c r="J371" s="278"/>
      <c r="K371" s="249">
        <f t="shared" si="56"/>
        <v>0</v>
      </c>
      <c r="L371" s="278"/>
      <c r="M371" s="3"/>
      <c r="N371" s="278">
        <v>530158</v>
      </c>
      <c r="O371" s="278">
        <v>447414</v>
      </c>
      <c r="P371" s="278">
        <v>241522</v>
      </c>
      <c r="Q371" s="278"/>
      <c r="R371" s="278"/>
      <c r="S371" s="278"/>
      <c r="T371" s="286"/>
      <c r="U371" s="322">
        <v>188243</v>
      </c>
      <c r="V371" s="323">
        <v>530158</v>
      </c>
      <c r="W371" s="3">
        <f>M371+U371</f>
        <v>188243</v>
      </c>
      <c r="X371" s="287">
        <f>W371/$G$374</f>
        <v>0.13125058393865402</v>
      </c>
      <c r="Y371" s="412"/>
    </row>
    <row r="372" spans="1:25" ht="12.75">
      <c r="A372" s="406"/>
      <c r="B372" s="433"/>
      <c r="C372" s="433"/>
      <c r="D372" s="436"/>
      <c r="E372" s="442"/>
      <c r="F372" s="428">
        <v>2015</v>
      </c>
      <c r="G372" s="427"/>
      <c r="H372" s="285" t="s">
        <v>163</v>
      </c>
      <c r="I372" s="261"/>
      <c r="J372" s="278"/>
      <c r="K372" s="249">
        <f t="shared" si="56"/>
        <v>0</v>
      </c>
      <c r="L372" s="278"/>
      <c r="M372" s="3"/>
      <c r="N372" s="278"/>
      <c r="O372" s="278"/>
      <c r="P372" s="278"/>
      <c r="Q372" s="278"/>
      <c r="R372" s="278"/>
      <c r="S372" s="278"/>
      <c r="T372" s="286"/>
      <c r="U372" s="322"/>
      <c r="V372" s="323"/>
      <c r="W372" s="3"/>
      <c r="X372" s="287"/>
      <c r="Y372" s="412"/>
    </row>
    <row r="373" spans="1:25" ht="12.75">
      <c r="A373" s="406"/>
      <c r="B373" s="433"/>
      <c r="C373" s="433"/>
      <c r="D373" s="436"/>
      <c r="E373" s="442"/>
      <c r="F373" s="424"/>
      <c r="G373" s="288" t="s">
        <v>17</v>
      </c>
      <c r="H373" s="285" t="s">
        <v>15</v>
      </c>
      <c r="I373" s="261"/>
      <c r="J373" s="278"/>
      <c r="K373" s="249">
        <f t="shared" si="56"/>
        <v>0</v>
      </c>
      <c r="L373" s="278"/>
      <c r="M373" s="3"/>
      <c r="N373" s="278"/>
      <c r="O373" s="278"/>
      <c r="P373" s="278"/>
      <c r="Q373" s="278"/>
      <c r="R373" s="278"/>
      <c r="S373" s="278"/>
      <c r="T373" s="286"/>
      <c r="U373" s="322"/>
      <c r="V373" s="323"/>
      <c r="W373" s="3"/>
      <c r="X373" s="287"/>
      <c r="Y373" s="412"/>
    </row>
    <row r="374" spans="1:25" ht="12.75">
      <c r="A374" s="406"/>
      <c r="B374" s="433"/>
      <c r="C374" s="433"/>
      <c r="D374" s="436"/>
      <c r="E374" s="442"/>
      <c r="F374" s="424"/>
      <c r="G374" s="426">
        <f>G368+G371</f>
        <v>1434226</v>
      </c>
      <c r="H374" s="285" t="s">
        <v>16</v>
      </c>
      <c r="I374" s="261"/>
      <c r="J374" s="278"/>
      <c r="K374" s="249">
        <f t="shared" si="56"/>
        <v>0</v>
      </c>
      <c r="L374" s="278"/>
      <c r="M374" s="3"/>
      <c r="N374" s="278"/>
      <c r="O374" s="278"/>
      <c r="P374" s="278"/>
      <c r="Q374" s="278"/>
      <c r="R374" s="278"/>
      <c r="S374" s="278"/>
      <c r="T374" s="286"/>
      <c r="U374" s="322"/>
      <c r="V374" s="323"/>
      <c r="W374" s="3"/>
      <c r="X374" s="287"/>
      <c r="Y374" s="412"/>
    </row>
    <row r="375" spans="1:25" ht="12.75">
      <c r="A375" s="406"/>
      <c r="B375" s="433"/>
      <c r="C375" s="433"/>
      <c r="D375" s="436"/>
      <c r="E375" s="442"/>
      <c r="F375" s="424"/>
      <c r="G375" s="430"/>
      <c r="H375" s="285" t="s">
        <v>18</v>
      </c>
      <c r="I375" s="262">
        <f>I367+I369+I371+I373</f>
        <v>0</v>
      </c>
      <c r="J375" s="289">
        <f>J367+J369+J371+J373</f>
        <v>0</v>
      </c>
      <c r="K375" s="249">
        <f t="shared" si="56"/>
        <v>0</v>
      </c>
      <c r="L375" s="289">
        <f>L367+L369+L371+L373</f>
        <v>0</v>
      </c>
      <c r="M375" s="3">
        <f>K375+L375</f>
        <v>0</v>
      </c>
      <c r="N375" s="289">
        <f aca="true" t="shared" si="57" ref="N375:V375">N367+N369+N371+N373</f>
        <v>623715</v>
      </c>
      <c r="O375" s="289">
        <f t="shared" si="57"/>
        <v>526369</v>
      </c>
      <c r="P375" s="289">
        <f t="shared" si="57"/>
        <v>284142</v>
      </c>
      <c r="Q375" s="289">
        <f t="shared" si="57"/>
        <v>0</v>
      </c>
      <c r="R375" s="289">
        <f t="shared" si="57"/>
        <v>0</v>
      </c>
      <c r="S375" s="289">
        <f t="shared" si="57"/>
        <v>0</v>
      </c>
      <c r="T375" s="290">
        <f t="shared" si="57"/>
        <v>0</v>
      </c>
      <c r="U375" s="324">
        <f t="shared" si="57"/>
        <v>221462</v>
      </c>
      <c r="V375" s="325">
        <f t="shared" si="57"/>
        <v>623715</v>
      </c>
      <c r="W375" s="3">
        <f>M375+U375</f>
        <v>221462</v>
      </c>
      <c r="X375" s="287">
        <f>W375/$G$374</f>
        <v>0.15441220560776336</v>
      </c>
      <c r="Y375" s="412"/>
    </row>
    <row r="376" spans="1:25" ht="13.5" thickBot="1">
      <c r="A376" s="407"/>
      <c r="B376" s="434"/>
      <c r="C376" s="434"/>
      <c r="D376" s="437"/>
      <c r="E376" s="443"/>
      <c r="F376" s="429"/>
      <c r="G376" s="431"/>
      <c r="H376" s="291" t="s">
        <v>19</v>
      </c>
      <c r="I376" s="263">
        <f>I368+I370+I372+I374</f>
        <v>0</v>
      </c>
      <c r="J376" s="292">
        <f>J368+J370+J372+J374</f>
        <v>0</v>
      </c>
      <c r="K376" s="255">
        <f t="shared" si="56"/>
        <v>0</v>
      </c>
      <c r="L376" s="292">
        <f>L368+L370+L372+L374</f>
        <v>0</v>
      </c>
      <c r="M376" s="76">
        <f>K376+L376</f>
        <v>0</v>
      </c>
      <c r="N376" s="292">
        <f aca="true" t="shared" si="58" ref="N376:U376">N368+N370+N372+N374</f>
        <v>0</v>
      </c>
      <c r="O376" s="292">
        <f t="shared" si="58"/>
        <v>0</v>
      </c>
      <c r="P376" s="292">
        <f t="shared" si="58"/>
        <v>0</v>
      </c>
      <c r="Q376" s="292">
        <f t="shared" si="58"/>
        <v>0</v>
      </c>
      <c r="R376" s="292">
        <f t="shared" si="58"/>
        <v>0</v>
      </c>
      <c r="S376" s="292">
        <f t="shared" si="58"/>
        <v>0</v>
      </c>
      <c r="T376" s="297">
        <f t="shared" si="58"/>
        <v>0</v>
      </c>
      <c r="U376" s="330">
        <f t="shared" si="58"/>
        <v>0</v>
      </c>
      <c r="V376" s="331">
        <f>N376-U376</f>
        <v>0</v>
      </c>
      <c r="W376" s="76">
        <f>M376+U376</f>
        <v>0</v>
      </c>
      <c r="X376" s="295">
        <f>W376/$G$374</f>
        <v>0</v>
      </c>
      <c r="Y376" s="413"/>
    </row>
    <row r="377" spans="1:25" ht="12.75" customHeight="1">
      <c r="A377" s="405">
        <f>A367+1</f>
        <v>38</v>
      </c>
      <c r="B377" s="405">
        <v>801</v>
      </c>
      <c r="C377" s="405">
        <v>80195</v>
      </c>
      <c r="D377" s="420" t="s">
        <v>212</v>
      </c>
      <c r="E377" s="399" t="s">
        <v>213</v>
      </c>
      <c r="F377" s="402">
        <v>2011</v>
      </c>
      <c r="G377" s="1" t="s">
        <v>9</v>
      </c>
      <c r="H377" s="241" t="s">
        <v>10</v>
      </c>
      <c r="I377" s="242"/>
      <c r="J377" s="243"/>
      <c r="K377" s="243">
        <f t="shared" si="56"/>
        <v>0</v>
      </c>
      <c r="L377" s="2"/>
      <c r="M377" s="244"/>
      <c r="N377" s="243"/>
      <c r="O377" s="243"/>
      <c r="P377" s="243"/>
      <c r="Q377" s="243"/>
      <c r="R377" s="243"/>
      <c r="S377" s="243"/>
      <c r="T377" s="2"/>
      <c r="U377" s="307"/>
      <c r="V377" s="308"/>
      <c r="W377" s="243"/>
      <c r="X377" s="260"/>
      <c r="Y377" s="411">
        <f>N385+O385+P385+Q385+R385+S385+N386+O386+P386+Q386+R386+T385+T386+S386</f>
        <v>3640</v>
      </c>
    </row>
    <row r="378" spans="1:25" ht="12.75">
      <c r="A378" s="406"/>
      <c r="B378" s="406"/>
      <c r="C378" s="406"/>
      <c r="D378" s="421"/>
      <c r="E378" s="400"/>
      <c r="F378" s="403"/>
      <c r="G378" s="414">
        <f>M385+N385</f>
        <v>14956</v>
      </c>
      <c r="H378" s="246" t="s">
        <v>11</v>
      </c>
      <c r="I378" s="247"/>
      <c r="J378" s="3"/>
      <c r="K378" s="249">
        <f t="shared" si="56"/>
        <v>0</v>
      </c>
      <c r="L378" s="4"/>
      <c r="M378" s="250"/>
      <c r="N378" s="3"/>
      <c r="O378" s="3"/>
      <c r="P378" s="3"/>
      <c r="Q378" s="3"/>
      <c r="R378" s="3"/>
      <c r="S378" s="3"/>
      <c r="T378" s="4"/>
      <c r="U378" s="309"/>
      <c r="V378" s="310"/>
      <c r="W378" s="3"/>
      <c r="X378" s="251"/>
      <c r="Y378" s="412"/>
    </row>
    <row r="379" spans="1:25" ht="12.75">
      <c r="A379" s="406"/>
      <c r="B379" s="406"/>
      <c r="C379" s="406"/>
      <c r="D379" s="421"/>
      <c r="E379" s="400"/>
      <c r="F379" s="403"/>
      <c r="G379" s="415"/>
      <c r="H379" s="246" t="s">
        <v>12</v>
      </c>
      <c r="I379" s="247"/>
      <c r="J379" s="3">
        <v>1248</v>
      </c>
      <c r="K379" s="249">
        <f t="shared" si="56"/>
        <v>1248</v>
      </c>
      <c r="L379" s="4">
        <v>450</v>
      </c>
      <c r="M379" s="250">
        <f>K379+L379</f>
        <v>1698</v>
      </c>
      <c r="N379" s="3">
        <v>546</v>
      </c>
      <c r="O379" s="3"/>
      <c r="P379" s="3"/>
      <c r="Q379" s="3"/>
      <c r="R379" s="3"/>
      <c r="S379" s="3"/>
      <c r="T379" s="4"/>
      <c r="U379" s="309">
        <v>0</v>
      </c>
      <c r="V379" s="310">
        <f>N379-U379</f>
        <v>546</v>
      </c>
      <c r="W379" s="3">
        <f>M379+U379</f>
        <v>1698</v>
      </c>
      <c r="X379" s="251">
        <f>W379/$G$384</f>
        <v>0.1135330302219845</v>
      </c>
      <c r="Y379" s="412"/>
    </row>
    <row r="380" spans="1:25" ht="12.75">
      <c r="A380" s="406"/>
      <c r="B380" s="406"/>
      <c r="C380" s="406"/>
      <c r="D380" s="421"/>
      <c r="E380" s="400"/>
      <c r="F380" s="403"/>
      <c r="G380" s="5" t="s">
        <v>13</v>
      </c>
      <c r="H380" s="246" t="s">
        <v>14</v>
      </c>
      <c r="I380" s="247"/>
      <c r="J380" s="3"/>
      <c r="K380" s="249">
        <f t="shared" si="56"/>
        <v>0</v>
      </c>
      <c r="L380" s="4"/>
      <c r="M380" s="250"/>
      <c r="N380" s="3"/>
      <c r="O380" s="3"/>
      <c r="P380" s="3"/>
      <c r="Q380" s="3"/>
      <c r="R380" s="3"/>
      <c r="S380" s="3"/>
      <c r="T380" s="4"/>
      <c r="U380" s="309"/>
      <c r="V380" s="310"/>
      <c r="W380" s="3"/>
      <c r="X380" s="251"/>
      <c r="Y380" s="412"/>
    </row>
    <row r="381" spans="1:25" ht="12.75">
      <c r="A381" s="406"/>
      <c r="B381" s="406"/>
      <c r="C381" s="406"/>
      <c r="D381" s="421"/>
      <c r="E381" s="400"/>
      <c r="F381" s="404"/>
      <c r="G381" s="414">
        <f>I386+J386+L386+N386+O386</f>
        <v>0</v>
      </c>
      <c r="H381" s="246" t="s">
        <v>162</v>
      </c>
      <c r="I381" s="247"/>
      <c r="J381" s="3">
        <v>7068</v>
      </c>
      <c r="K381" s="249">
        <f t="shared" si="56"/>
        <v>7068</v>
      </c>
      <c r="L381" s="4">
        <v>2550</v>
      </c>
      <c r="M381" s="250">
        <f>K381+L381</f>
        <v>9618</v>
      </c>
      <c r="N381" s="3">
        <v>3094</v>
      </c>
      <c r="O381" s="3"/>
      <c r="P381" s="3"/>
      <c r="Q381" s="3"/>
      <c r="R381" s="3"/>
      <c r="S381" s="3"/>
      <c r="T381" s="4"/>
      <c r="U381" s="309">
        <v>0</v>
      </c>
      <c r="V381" s="310">
        <f>N381-U381</f>
        <v>3094</v>
      </c>
      <c r="W381" s="3">
        <f>M381+U381</f>
        <v>9618</v>
      </c>
      <c r="X381" s="251">
        <f>W381/$G$384</f>
        <v>0.643086386734421</v>
      </c>
      <c r="Y381" s="412"/>
    </row>
    <row r="382" spans="1:25" ht="12.75">
      <c r="A382" s="406"/>
      <c r="B382" s="406"/>
      <c r="C382" s="406"/>
      <c r="D382" s="421"/>
      <c r="E382" s="400"/>
      <c r="F382" s="416">
        <v>2013</v>
      </c>
      <c r="G382" s="415"/>
      <c r="H382" s="246" t="s">
        <v>163</v>
      </c>
      <c r="I382" s="247"/>
      <c r="J382" s="3"/>
      <c r="K382" s="249">
        <f t="shared" si="56"/>
        <v>0</v>
      </c>
      <c r="L382" s="4"/>
      <c r="M382" s="250"/>
      <c r="N382" s="3"/>
      <c r="O382" s="3"/>
      <c r="P382" s="3"/>
      <c r="Q382" s="3"/>
      <c r="R382" s="3"/>
      <c r="S382" s="3"/>
      <c r="T382" s="4"/>
      <c r="U382" s="309"/>
      <c r="V382" s="310"/>
      <c r="W382" s="3"/>
      <c r="X382" s="251"/>
      <c r="Y382" s="412"/>
    </row>
    <row r="383" spans="1:25" ht="12.75">
      <c r="A383" s="406"/>
      <c r="B383" s="406"/>
      <c r="C383" s="406"/>
      <c r="D383" s="421"/>
      <c r="E383" s="400"/>
      <c r="F383" s="403"/>
      <c r="G383" s="5" t="s">
        <v>17</v>
      </c>
      <c r="H383" s="246" t="s">
        <v>15</v>
      </c>
      <c r="I383" s="247"/>
      <c r="J383" s="3"/>
      <c r="K383" s="249">
        <f t="shared" si="56"/>
        <v>0</v>
      </c>
      <c r="L383" s="4"/>
      <c r="M383" s="250"/>
      <c r="N383" s="3"/>
      <c r="O383" s="3"/>
      <c r="P383" s="3"/>
      <c r="Q383" s="3"/>
      <c r="R383" s="3"/>
      <c r="S383" s="3"/>
      <c r="T383" s="4"/>
      <c r="U383" s="309"/>
      <c r="V383" s="310"/>
      <c r="W383" s="3"/>
      <c r="X383" s="251"/>
      <c r="Y383" s="412"/>
    </row>
    <row r="384" spans="1:25" ht="12.75">
      <c r="A384" s="406"/>
      <c r="B384" s="406"/>
      <c r="C384" s="406"/>
      <c r="D384" s="421"/>
      <c r="E384" s="400"/>
      <c r="F384" s="403"/>
      <c r="G384" s="438">
        <f>G378+G381</f>
        <v>14956</v>
      </c>
      <c r="H384" s="246" t="s">
        <v>16</v>
      </c>
      <c r="I384" s="247"/>
      <c r="J384" s="3"/>
      <c r="K384" s="249">
        <f t="shared" si="56"/>
        <v>0</v>
      </c>
      <c r="L384" s="4"/>
      <c r="M384" s="250"/>
      <c r="N384" s="3"/>
      <c r="O384" s="3"/>
      <c r="P384" s="3"/>
      <c r="Q384" s="3"/>
      <c r="R384" s="3"/>
      <c r="S384" s="3"/>
      <c r="T384" s="4"/>
      <c r="U384" s="309"/>
      <c r="V384" s="310"/>
      <c r="W384" s="3"/>
      <c r="X384" s="251"/>
      <c r="Y384" s="412"/>
    </row>
    <row r="385" spans="1:25" ht="12.75">
      <c r="A385" s="406"/>
      <c r="B385" s="406"/>
      <c r="C385" s="406"/>
      <c r="D385" s="421"/>
      <c r="E385" s="400"/>
      <c r="F385" s="403"/>
      <c r="G385" s="439"/>
      <c r="H385" s="246" t="s">
        <v>18</v>
      </c>
      <c r="I385" s="252">
        <f>I377+I379+I381+I383</f>
        <v>0</v>
      </c>
      <c r="J385" s="7">
        <f>J377+J379+J381+J383</f>
        <v>8316</v>
      </c>
      <c r="K385" s="249">
        <f t="shared" si="56"/>
        <v>8316</v>
      </c>
      <c r="L385" s="123">
        <f>L377+L379+L381+L383</f>
        <v>3000</v>
      </c>
      <c r="M385" s="250">
        <f>K385+L385</f>
        <v>11316</v>
      </c>
      <c r="N385" s="7">
        <f aca="true" t="shared" si="59" ref="N385:U385">N377+N379+N381+N383</f>
        <v>3640</v>
      </c>
      <c r="O385" s="7">
        <f t="shared" si="59"/>
        <v>0</v>
      </c>
      <c r="P385" s="7">
        <f t="shared" si="59"/>
        <v>0</v>
      </c>
      <c r="Q385" s="7">
        <f t="shared" si="59"/>
        <v>0</v>
      </c>
      <c r="R385" s="7">
        <f t="shared" si="59"/>
        <v>0</v>
      </c>
      <c r="S385" s="7">
        <f t="shared" si="59"/>
        <v>0</v>
      </c>
      <c r="T385" s="123">
        <f t="shared" si="59"/>
        <v>0</v>
      </c>
      <c r="U385" s="311">
        <f t="shared" si="59"/>
        <v>0</v>
      </c>
      <c r="V385" s="314">
        <f>N385-U385</f>
        <v>3640</v>
      </c>
      <c r="W385" s="3">
        <f>M385+U385</f>
        <v>11316</v>
      </c>
      <c r="X385" s="251">
        <f>W385/$G$384</f>
        <v>0.7566194169564054</v>
      </c>
      <c r="Y385" s="412"/>
    </row>
    <row r="386" spans="1:25" ht="13.5" thickBot="1">
      <c r="A386" s="407"/>
      <c r="B386" s="407"/>
      <c r="C386" s="407"/>
      <c r="D386" s="422"/>
      <c r="E386" s="401"/>
      <c r="F386" s="417"/>
      <c r="G386" s="440"/>
      <c r="H386" s="253" t="s">
        <v>19</v>
      </c>
      <c r="I386" s="254"/>
      <c r="J386" s="10"/>
      <c r="K386" s="255">
        <f t="shared" si="56"/>
        <v>0</v>
      </c>
      <c r="L386" s="124"/>
      <c r="M386" s="256">
        <f>K386+L386</f>
        <v>0</v>
      </c>
      <c r="N386" s="10">
        <v>0</v>
      </c>
      <c r="O386" s="10"/>
      <c r="P386" s="10"/>
      <c r="Q386" s="10"/>
      <c r="R386" s="10"/>
      <c r="S386" s="10"/>
      <c r="T386" s="124"/>
      <c r="U386" s="312">
        <f>U378+U380+U382+U384</f>
        <v>0</v>
      </c>
      <c r="V386" s="315">
        <f>N386-U386</f>
        <v>0</v>
      </c>
      <c r="W386" s="76">
        <f>M386+U386</f>
        <v>0</v>
      </c>
      <c r="X386" s="258">
        <f>W386/$G$384</f>
        <v>0</v>
      </c>
      <c r="Y386" s="413"/>
    </row>
    <row r="387" spans="1:25" ht="12.75" customHeight="1">
      <c r="A387" s="405">
        <f>A377+1</f>
        <v>39</v>
      </c>
      <c r="B387" s="405">
        <v>853</v>
      </c>
      <c r="C387" s="405">
        <v>85395</v>
      </c>
      <c r="D387" s="420" t="s">
        <v>214</v>
      </c>
      <c r="E387" s="399" t="s">
        <v>213</v>
      </c>
      <c r="F387" s="402">
        <v>2011</v>
      </c>
      <c r="G387" s="1" t="s">
        <v>9</v>
      </c>
      <c r="H387" s="241" t="s">
        <v>10</v>
      </c>
      <c r="I387" s="242"/>
      <c r="J387" s="243"/>
      <c r="K387" s="243">
        <f t="shared" si="56"/>
        <v>0</v>
      </c>
      <c r="L387" s="243"/>
      <c r="M387" s="243"/>
      <c r="N387" s="243"/>
      <c r="O387" s="243"/>
      <c r="P387" s="243"/>
      <c r="Q387" s="243"/>
      <c r="R387" s="243"/>
      <c r="S387" s="243"/>
      <c r="T387" s="2"/>
      <c r="U387" s="307"/>
      <c r="V387" s="308"/>
      <c r="W387" s="243"/>
      <c r="X387" s="260"/>
      <c r="Y387" s="411">
        <f>N395+O395+P395+Q395+R395+S395+N396+O396+P396+Q396+R396+T395+T396+S396</f>
        <v>1135012</v>
      </c>
    </row>
    <row r="388" spans="1:25" ht="12.75">
      <c r="A388" s="406"/>
      <c r="B388" s="406"/>
      <c r="C388" s="406"/>
      <c r="D388" s="421"/>
      <c r="E388" s="400"/>
      <c r="F388" s="403"/>
      <c r="G388" s="414">
        <f>M395+N395</f>
        <v>2717521</v>
      </c>
      <c r="H388" s="246" t="s">
        <v>11</v>
      </c>
      <c r="I388" s="247"/>
      <c r="J388" s="3"/>
      <c r="K388" s="249">
        <f t="shared" si="56"/>
        <v>0</v>
      </c>
      <c r="L388" s="3"/>
      <c r="M388" s="3"/>
      <c r="N388" s="3"/>
      <c r="O388" s="3"/>
      <c r="P388" s="3"/>
      <c r="Q388" s="3"/>
      <c r="R388" s="3"/>
      <c r="S388" s="3"/>
      <c r="T388" s="4"/>
      <c r="U388" s="309"/>
      <c r="V388" s="310"/>
      <c r="W388" s="3"/>
      <c r="X388" s="251"/>
      <c r="Y388" s="412"/>
    </row>
    <row r="389" spans="1:25" ht="12.75">
      <c r="A389" s="406"/>
      <c r="B389" s="406"/>
      <c r="C389" s="406"/>
      <c r="D389" s="421"/>
      <c r="E389" s="400"/>
      <c r="F389" s="403"/>
      <c r="G389" s="415"/>
      <c r="H389" s="246" t="s">
        <v>12</v>
      </c>
      <c r="I389" s="247"/>
      <c r="J389" s="3">
        <f>138501-77609</f>
        <v>60892</v>
      </c>
      <c r="K389" s="249">
        <f t="shared" si="56"/>
        <v>60892</v>
      </c>
      <c r="L389" s="3">
        <v>176486</v>
      </c>
      <c r="M389" s="3">
        <f>K389+L389</f>
        <v>237378</v>
      </c>
      <c r="N389" s="3">
        <v>170251</v>
      </c>
      <c r="O389" s="3"/>
      <c r="P389" s="3"/>
      <c r="Q389" s="3"/>
      <c r="R389" s="3"/>
      <c r="S389" s="3"/>
      <c r="T389" s="4"/>
      <c r="U389" s="309">
        <v>93928</v>
      </c>
      <c r="V389" s="310">
        <v>170251</v>
      </c>
      <c r="W389" s="3">
        <f>M389+U389</f>
        <v>331306</v>
      </c>
      <c r="X389" s="251">
        <f>W389/$G$394</f>
        <v>0.12191478925093863</v>
      </c>
      <c r="Y389" s="412"/>
    </row>
    <row r="390" spans="1:25" ht="12.75">
      <c r="A390" s="406"/>
      <c r="B390" s="406"/>
      <c r="C390" s="406"/>
      <c r="D390" s="421"/>
      <c r="E390" s="400"/>
      <c r="F390" s="403"/>
      <c r="G390" s="5" t="s">
        <v>13</v>
      </c>
      <c r="H390" s="246" t="s">
        <v>14</v>
      </c>
      <c r="I390" s="247"/>
      <c r="J390" s="3"/>
      <c r="K390" s="249">
        <f t="shared" si="56"/>
        <v>0</v>
      </c>
      <c r="L390" s="3"/>
      <c r="M390" s="3"/>
      <c r="N390" s="3"/>
      <c r="O390" s="3"/>
      <c r="P390" s="3"/>
      <c r="Q390" s="3"/>
      <c r="R390" s="3"/>
      <c r="S390" s="3"/>
      <c r="T390" s="4"/>
      <c r="U390" s="309"/>
      <c r="V390" s="310"/>
      <c r="W390" s="3"/>
      <c r="X390" s="251"/>
      <c r="Y390" s="412"/>
    </row>
    <row r="391" spans="1:25" ht="14.25" customHeight="1">
      <c r="A391" s="406"/>
      <c r="B391" s="406"/>
      <c r="C391" s="406"/>
      <c r="D391" s="421"/>
      <c r="E391" s="400"/>
      <c r="F391" s="404"/>
      <c r="G391" s="414">
        <f>SUM(K396:T396)</f>
        <v>0</v>
      </c>
      <c r="H391" s="246" t="s">
        <v>162</v>
      </c>
      <c r="I391" s="247"/>
      <c r="J391" s="3">
        <f>784836-439785</f>
        <v>345051</v>
      </c>
      <c r="K391" s="249">
        <f t="shared" si="56"/>
        <v>345051</v>
      </c>
      <c r="L391" s="3">
        <v>1000080</v>
      </c>
      <c r="M391" s="3">
        <f>K391+L391</f>
        <v>1345131</v>
      </c>
      <c r="N391" s="3">
        <v>964761</v>
      </c>
      <c r="O391" s="3"/>
      <c r="P391" s="3"/>
      <c r="Q391" s="3"/>
      <c r="R391" s="3"/>
      <c r="S391" s="3"/>
      <c r="T391" s="4"/>
      <c r="U391" s="309">
        <v>532255</v>
      </c>
      <c r="V391" s="310">
        <v>964761</v>
      </c>
      <c r="W391" s="3">
        <f>M391+U391</f>
        <v>1877386</v>
      </c>
      <c r="X391" s="251">
        <f>W391/$G$394</f>
        <v>0.6908450753462438</v>
      </c>
      <c r="Y391" s="412"/>
    </row>
    <row r="392" spans="1:25" ht="13.5" customHeight="1">
      <c r="A392" s="406"/>
      <c r="B392" s="406"/>
      <c r="C392" s="406"/>
      <c r="D392" s="421"/>
      <c r="E392" s="400"/>
      <c r="F392" s="416">
        <v>2013</v>
      </c>
      <c r="G392" s="415"/>
      <c r="H392" s="246" t="s">
        <v>163</v>
      </c>
      <c r="I392" s="247"/>
      <c r="J392" s="3"/>
      <c r="K392" s="249">
        <f t="shared" si="56"/>
        <v>0</v>
      </c>
      <c r="L392" s="3"/>
      <c r="M392" s="3"/>
      <c r="N392" s="3"/>
      <c r="O392" s="3"/>
      <c r="P392" s="3"/>
      <c r="Q392" s="3"/>
      <c r="R392" s="3"/>
      <c r="S392" s="3"/>
      <c r="T392" s="4"/>
      <c r="U392" s="309"/>
      <c r="V392" s="310"/>
      <c r="W392" s="3"/>
      <c r="X392" s="251"/>
      <c r="Y392" s="412"/>
    </row>
    <row r="393" spans="1:25" ht="13.5" customHeight="1">
      <c r="A393" s="406"/>
      <c r="B393" s="406"/>
      <c r="C393" s="406"/>
      <c r="D393" s="421"/>
      <c r="E393" s="400"/>
      <c r="F393" s="403"/>
      <c r="G393" s="5" t="s">
        <v>17</v>
      </c>
      <c r="H393" s="246" t="s">
        <v>15</v>
      </c>
      <c r="I393" s="247"/>
      <c r="J393" s="3"/>
      <c r="K393" s="249">
        <f t="shared" si="56"/>
        <v>0</v>
      </c>
      <c r="L393" s="3"/>
      <c r="M393" s="3"/>
      <c r="N393" s="3"/>
      <c r="O393" s="3"/>
      <c r="P393" s="3"/>
      <c r="Q393" s="3"/>
      <c r="R393" s="3"/>
      <c r="S393" s="3"/>
      <c r="T393" s="4"/>
      <c r="U393" s="309"/>
      <c r="V393" s="310"/>
      <c r="W393" s="3"/>
      <c r="X393" s="251"/>
      <c r="Y393" s="412"/>
    </row>
    <row r="394" spans="1:25" ht="14.25" customHeight="1">
      <c r="A394" s="406"/>
      <c r="B394" s="406"/>
      <c r="C394" s="406"/>
      <c r="D394" s="421"/>
      <c r="E394" s="400"/>
      <c r="F394" s="403"/>
      <c r="G394" s="414">
        <f>G388+G391</f>
        <v>2717521</v>
      </c>
      <c r="H394" s="246" t="s">
        <v>16</v>
      </c>
      <c r="I394" s="247"/>
      <c r="J394" s="3"/>
      <c r="K394" s="249">
        <f t="shared" si="56"/>
        <v>0</v>
      </c>
      <c r="L394" s="3"/>
      <c r="M394" s="3"/>
      <c r="N394" s="3"/>
      <c r="O394" s="3"/>
      <c r="P394" s="3"/>
      <c r="Q394" s="3"/>
      <c r="R394" s="3"/>
      <c r="S394" s="3"/>
      <c r="T394" s="4"/>
      <c r="U394" s="309"/>
      <c r="V394" s="310"/>
      <c r="W394" s="3"/>
      <c r="X394" s="251"/>
      <c r="Y394" s="412"/>
    </row>
    <row r="395" spans="1:25" ht="12.75">
      <c r="A395" s="406"/>
      <c r="B395" s="406"/>
      <c r="C395" s="406"/>
      <c r="D395" s="421"/>
      <c r="E395" s="400"/>
      <c r="F395" s="403"/>
      <c r="G395" s="418"/>
      <c r="H395" s="246" t="s">
        <v>18</v>
      </c>
      <c r="I395" s="252">
        <f>I387+I389+I391+I393</f>
        <v>0</v>
      </c>
      <c r="J395" s="7">
        <f>J387+J389+J391+J393</f>
        <v>405943</v>
      </c>
      <c r="K395" s="249">
        <f t="shared" si="56"/>
        <v>405943</v>
      </c>
      <c r="L395" s="7">
        <f>L387+L389+L391+L393</f>
        <v>1176566</v>
      </c>
      <c r="M395" s="3">
        <f>K395+L395</f>
        <v>1582509</v>
      </c>
      <c r="N395" s="7">
        <f aca="true" t="shared" si="60" ref="N395:U396">N387+N389+N391+N393</f>
        <v>1135012</v>
      </c>
      <c r="O395" s="7">
        <f t="shared" si="60"/>
        <v>0</v>
      </c>
      <c r="P395" s="7">
        <f t="shared" si="60"/>
        <v>0</v>
      </c>
      <c r="Q395" s="7">
        <f t="shared" si="60"/>
        <v>0</v>
      </c>
      <c r="R395" s="7">
        <f t="shared" si="60"/>
        <v>0</v>
      </c>
      <c r="S395" s="7">
        <f t="shared" si="60"/>
        <v>0</v>
      </c>
      <c r="T395" s="123">
        <f t="shared" si="60"/>
        <v>0</v>
      </c>
      <c r="U395" s="311">
        <f t="shared" si="60"/>
        <v>626183</v>
      </c>
      <c r="V395" s="314">
        <v>1135012</v>
      </c>
      <c r="W395" s="3">
        <f>M395+U395</f>
        <v>2208692</v>
      </c>
      <c r="X395" s="251">
        <f>W395/$G$394</f>
        <v>0.8127598645971825</v>
      </c>
      <c r="Y395" s="412"/>
    </row>
    <row r="396" spans="1:25" ht="13.5" thickBot="1">
      <c r="A396" s="407"/>
      <c r="B396" s="407"/>
      <c r="C396" s="407"/>
      <c r="D396" s="422"/>
      <c r="E396" s="401"/>
      <c r="F396" s="417"/>
      <c r="G396" s="419"/>
      <c r="H396" s="253" t="s">
        <v>19</v>
      </c>
      <c r="I396" s="254">
        <f>I388+I390+I392+I394</f>
        <v>0</v>
      </c>
      <c r="J396" s="10">
        <f>J388+J390+J392+J394</f>
        <v>0</v>
      </c>
      <c r="K396" s="255">
        <f t="shared" si="56"/>
        <v>0</v>
      </c>
      <c r="L396" s="10">
        <f>L388+L390+L392+L394</f>
        <v>0</v>
      </c>
      <c r="M396" s="76">
        <f>K396+L396</f>
        <v>0</v>
      </c>
      <c r="N396" s="10">
        <f t="shared" si="60"/>
        <v>0</v>
      </c>
      <c r="O396" s="10">
        <f t="shared" si="60"/>
        <v>0</v>
      </c>
      <c r="P396" s="10">
        <f t="shared" si="60"/>
        <v>0</v>
      </c>
      <c r="Q396" s="10">
        <f t="shared" si="60"/>
        <v>0</v>
      </c>
      <c r="R396" s="10">
        <f t="shared" si="60"/>
        <v>0</v>
      </c>
      <c r="S396" s="10">
        <f t="shared" si="60"/>
        <v>0</v>
      </c>
      <c r="T396" s="124">
        <f t="shared" si="60"/>
        <v>0</v>
      </c>
      <c r="U396" s="312">
        <f t="shared" si="60"/>
        <v>0</v>
      </c>
      <c r="V396" s="315">
        <f>N396-U396</f>
        <v>0</v>
      </c>
      <c r="W396" s="76">
        <f>M396+U396</f>
        <v>0</v>
      </c>
      <c r="X396" s="258">
        <f>W396/$G$394</f>
        <v>0</v>
      </c>
      <c r="Y396" s="413"/>
    </row>
    <row r="397" spans="1:25" ht="12.75" customHeight="1">
      <c r="A397" s="405">
        <f>A387+1</f>
        <v>40</v>
      </c>
      <c r="B397" s="432">
        <v>853</v>
      </c>
      <c r="C397" s="432">
        <v>85395</v>
      </c>
      <c r="D397" s="435" t="s">
        <v>215</v>
      </c>
      <c r="E397" s="399" t="s">
        <v>213</v>
      </c>
      <c r="F397" s="423">
        <v>2013</v>
      </c>
      <c r="G397" s="279" t="s">
        <v>9</v>
      </c>
      <c r="H397" s="280" t="s">
        <v>10</v>
      </c>
      <c r="I397" s="259"/>
      <c r="J397" s="281"/>
      <c r="K397" s="243">
        <f t="shared" si="56"/>
        <v>0</v>
      </c>
      <c r="L397" s="296"/>
      <c r="M397" s="244"/>
      <c r="N397" s="281">
        <v>20262</v>
      </c>
      <c r="O397" s="281">
        <v>15289</v>
      </c>
      <c r="P397" s="281"/>
      <c r="Q397" s="281"/>
      <c r="R397" s="281"/>
      <c r="S397" s="281"/>
      <c r="T397" s="296"/>
      <c r="U397" s="328">
        <v>222</v>
      </c>
      <c r="V397" s="329">
        <v>20262</v>
      </c>
      <c r="W397" s="243">
        <f>M397+U397</f>
        <v>222</v>
      </c>
      <c r="X397" s="284">
        <f>W397/$G$404</f>
        <v>0.0008444660844161773</v>
      </c>
      <c r="Y397" s="411">
        <f>N405+O405+P405+Q405+R405+S405+N406+O406+P406+Q406+R406+T405+T406+S406</f>
        <v>262888</v>
      </c>
    </row>
    <row r="398" spans="1:25" ht="12.75">
      <c r="A398" s="406"/>
      <c r="B398" s="433"/>
      <c r="C398" s="433"/>
      <c r="D398" s="436"/>
      <c r="E398" s="400"/>
      <c r="F398" s="424"/>
      <c r="G398" s="426">
        <f>N405+O405</f>
        <v>236988</v>
      </c>
      <c r="H398" s="285" t="s">
        <v>11</v>
      </c>
      <c r="I398" s="261"/>
      <c r="J398" s="278"/>
      <c r="K398" s="249">
        <f t="shared" si="56"/>
        <v>0</v>
      </c>
      <c r="L398" s="286"/>
      <c r="M398" s="250"/>
      <c r="N398" s="278">
        <v>3885</v>
      </c>
      <c r="O398" s="278"/>
      <c r="P398" s="278"/>
      <c r="Q398" s="278"/>
      <c r="R398" s="278"/>
      <c r="S398" s="278"/>
      <c r="T398" s="286"/>
      <c r="U398" s="322"/>
      <c r="V398" s="323">
        <f>N398-U398</f>
        <v>3885</v>
      </c>
      <c r="W398" s="3">
        <f>M398+U398</f>
        <v>0</v>
      </c>
      <c r="X398" s="287">
        <f>W398/$G$404</f>
        <v>0</v>
      </c>
      <c r="Y398" s="412"/>
    </row>
    <row r="399" spans="1:25" ht="12.75">
      <c r="A399" s="406"/>
      <c r="B399" s="433"/>
      <c r="C399" s="433"/>
      <c r="D399" s="436"/>
      <c r="E399" s="400"/>
      <c r="F399" s="424"/>
      <c r="G399" s="427"/>
      <c r="H399" s="285" t="s">
        <v>12</v>
      </c>
      <c r="I399" s="261"/>
      <c r="J399" s="278"/>
      <c r="K399" s="249">
        <f t="shared" si="56"/>
        <v>0</v>
      </c>
      <c r="L399" s="286"/>
      <c r="M399" s="250"/>
      <c r="N399" s="278"/>
      <c r="O399" s="278"/>
      <c r="P399" s="278"/>
      <c r="Q399" s="278"/>
      <c r="R399" s="278"/>
      <c r="S399" s="278"/>
      <c r="T399" s="286"/>
      <c r="U399" s="322"/>
      <c r="V399" s="323"/>
      <c r="W399" s="3"/>
      <c r="X399" s="287"/>
      <c r="Y399" s="412"/>
    </row>
    <row r="400" spans="1:25" ht="12.75">
      <c r="A400" s="406"/>
      <c r="B400" s="433"/>
      <c r="C400" s="433"/>
      <c r="D400" s="436"/>
      <c r="E400" s="400"/>
      <c r="F400" s="424"/>
      <c r="G400" s="288" t="s">
        <v>13</v>
      </c>
      <c r="H400" s="285" t="s">
        <v>14</v>
      </c>
      <c r="I400" s="261"/>
      <c r="J400" s="278"/>
      <c r="K400" s="249">
        <f t="shared" si="56"/>
        <v>0</v>
      </c>
      <c r="L400" s="286"/>
      <c r="M400" s="250"/>
      <c r="N400" s="278"/>
      <c r="O400" s="278"/>
      <c r="P400" s="278"/>
      <c r="Q400" s="278"/>
      <c r="R400" s="278"/>
      <c r="S400" s="278"/>
      <c r="T400" s="286"/>
      <c r="U400" s="322"/>
      <c r="V400" s="323"/>
      <c r="W400" s="3"/>
      <c r="X400" s="287"/>
      <c r="Y400" s="412"/>
    </row>
    <row r="401" spans="1:25" ht="12.75">
      <c r="A401" s="406"/>
      <c r="B401" s="433"/>
      <c r="C401" s="433"/>
      <c r="D401" s="436"/>
      <c r="E401" s="400"/>
      <c r="F401" s="425"/>
      <c r="G401" s="426">
        <f>SUM(K406:T406)</f>
        <v>25900</v>
      </c>
      <c r="H401" s="285" t="s">
        <v>162</v>
      </c>
      <c r="I401" s="261"/>
      <c r="J401" s="278"/>
      <c r="K401" s="249">
        <f aca="true" t="shared" si="61" ref="K401:K432">I401+J401</f>
        <v>0</v>
      </c>
      <c r="L401" s="286"/>
      <c r="M401" s="250"/>
      <c r="N401" s="278">
        <v>114803</v>
      </c>
      <c r="O401" s="278">
        <v>86634</v>
      </c>
      <c r="P401" s="278"/>
      <c r="Q401" s="278"/>
      <c r="R401" s="278"/>
      <c r="S401" s="278"/>
      <c r="T401" s="286"/>
      <c r="U401" s="322">
        <v>1260</v>
      </c>
      <c r="V401" s="323">
        <v>114803</v>
      </c>
      <c r="W401" s="3">
        <f>M401+U401</f>
        <v>1260</v>
      </c>
      <c r="X401" s="287">
        <f>W401/$G$404</f>
        <v>0.004792915614253979</v>
      </c>
      <c r="Y401" s="412"/>
    </row>
    <row r="402" spans="1:25" ht="12.75">
      <c r="A402" s="406"/>
      <c r="B402" s="433"/>
      <c r="C402" s="433"/>
      <c r="D402" s="436"/>
      <c r="E402" s="400"/>
      <c r="F402" s="428">
        <v>2014</v>
      </c>
      <c r="G402" s="427"/>
      <c r="H402" s="285" t="s">
        <v>163</v>
      </c>
      <c r="I402" s="261"/>
      <c r="J402" s="278"/>
      <c r="K402" s="249">
        <f t="shared" si="61"/>
        <v>0</v>
      </c>
      <c r="L402" s="286"/>
      <c r="M402" s="250"/>
      <c r="N402" s="278">
        <v>22015</v>
      </c>
      <c r="O402" s="278"/>
      <c r="P402" s="278"/>
      <c r="Q402" s="278"/>
      <c r="R402" s="278"/>
      <c r="S402" s="278"/>
      <c r="T402" s="286"/>
      <c r="U402" s="322"/>
      <c r="V402" s="323">
        <v>22015</v>
      </c>
      <c r="W402" s="3">
        <f>M402+U402</f>
        <v>0</v>
      </c>
      <c r="X402" s="287">
        <f>W402/$G$404</f>
        <v>0</v>
      </c>
      <c r="Y402" s="412"/>
    </row>
    <row r="403" spans="1:25" ht="12.75">
      <c r="A403" s="406"/>
      <c r="B403" s="433"/>
      <c r="C403" s="433"/>
      <c r="D403" s="436"/>
      <c r="E403" s="400"/>
      <c r="F403" s="424"/>
      <c r="G403" s="288" t="s">
        <v>17</v>
      </c>
      <c r="H403" s="285" t="s">
        <v>15</v>
      </c>
      <c r="I403" s="261"/>
      <c r="J403" s="278"/>
      <c r="K403" s="249">
        <f t="shared" si="61"/>
        <v>0</v>
      </c>
      <c r="L403" s="286"/>
      <c r="M403" s="250"/>
      <c r="N403" s="278"/>
      <c r="O403" s="278"/>
      <c r="P403" s="278"/>
      <c r="Q403" s="278"/>
      <c r="R403" s="278"/>
      <c r="S403" s="278"/>
      <c r="T403" s="286"/>
      <c r="U403" s="322"/>
      <c r="V403" s="323"/>
      <c r="W403" s="3"/>
      <c r="X403" s="287"/>
      <c r="Y403" s="412"/>
    </row>
    <row r="404" spans="1:25" ht="12.75">
      <c r="A404" s="406"/>
      <c r="B404" s="433"/>
      <c r="C404" s="433"/>
      <c r="D404" s="436"/>
      <c r="E404" s="400"/>
      <c r="F404" s="424"/>
      <c r="G404" s="426">
        <f>G398+G401</f>
        <v>262888</v>
      </c>
      <c r="H404" s="285" t="s">
        <v>16</v>
      </c>
      <c r="I404" s="261"/>
      <c r="J404" s="278"/>
      <c r="K404" s="249">
        <f t="shared" si="61"/>
        <v>0</v>
      </c>
      <c r="L404" s="286"/>
      <c r="M404" s="250"/>
      <c r="N404" s="278"/>
      <c r="O404" s="278"/>
      <c r="P404" s="278"/>
      <c r="Q404" s="278"/>
      <c r="R404" s="278"/>
      <c r="S404" s="278"/>
      <c r="T404" s="286"/>
      <c r="U404" s="322"/>
      <c r="V404" s="323"/>
      <c r="W404" s="3"/>
      <c r="X404" s="287"/>
      <c r="Y404" s="412"/>
    </row>
    <row r="405" spans="1:25" ht="12.75">
      <c r="A405" s="406"/>
      <c r="B405" s="433"/>
      <c r="C405" s="433"/>
      <c r="D405" s="436"/>
      <c r="E405" s="400"/>
      <c r="F405" s="424"/>
      <c r="G405" s="430"/>
      <c r="H405" s="285" t="s">
        <v>18</v>
      </c>
      <c r="I405" s="262">
        <f>I397+I399+I401+I403</f>
        <v>0</v>
      </c>
      <c r="J405" s="289">
        <f>J397+J399+J401+J403</f>
        <v>0</v>
      </c>
      <c r="K405" s="249">
        <f t="shared" si="61"/>
        <v>0</v>
      </c>
      <c r="L405" s="290">
        <f>L397+L399+L401+L403</f>
        <v>0</v>
      </c>
      <c r="M405" s="250">
        <f>K405+L405</f>
        <v>0</v>
      </c>
      <c r="N405" s="289">
        <f aca="true" t="shared" si="62" ref="N405:U405">N397+N399+N401+N403</f>
        <v>135065</v>
      </c>
      <c r="O405" s="289">
        <f t="shared" si="62"/>
        <v>101923</v>
      </c>
      <c r="P405" s="289">
        <f t="shared" si="62"/>
        <v>0</v>
      </c>
      <c r="Q405" s="289">
        <f t="shared" si="62"/>
        <v>0</v>
      </c>
      <c r="R405" s="289">
        <f t="shared" si="62"/>
        <v>0</v>
      </c>
      <c r="S405" s="289">
        <f t="shared" si="62"/>
        <v>0</v>
      </c>
      <c r="T405" s="290">
        <f t="shared" si="62"/>
        <v>0</v>
      </c>
      <c r="U405" s="324">
        <f t="shared" si="62"/>
        <v>1482</v>
      </c>
      <c r="V405" s="325">
        <v>135065</v>
      </c>
      <c r="W405" s="3">
        <f>M405+U405</f>
        <v>1482</v>
      </c>
      <c r="X405" s="287">
        <f>W405/$G$404</f>
        <v>0.005637381698670156</v>
      </c>
      <c r="Y405" s="412"/>
    </row>
    <row r="406" spans="1:25" ht="13.5" thickBot="1">
      <c r="A406" s="407"/>
      <c r="B406" s="434"/>
      <c r="C406" s="434"/>
      <c r="D406" s="437"/>
      <c r="E406" s="401"/>
      <c r="F406" s="429"/>
      <c r="G406" s="431"/>
      <c r="H406" s="291" t="s">
        <v>19</v>
      </c>
      <c r="I406" s="263">
        <f>I398+I400+I402+I404</f>
        <v>0</v>
      </c>
      <c r="J406" s="292">
        <f>J398+J400+J402+J404</f>
        <v>0</v>
      </c>
      <c r="K406" s="255">
        <f t="shared" si="61"/>
        <v>0</v>
      </c>
      <c r="L406" s="297">
        <f>L398+L400+L402+L404</f>
        <v>0</v>
      </c>
      <c r="M406" s="256">
        <f>K406+L406</f>
        <v>0</v>
      </c>
      <c r="N406" s="292">
        <f aca="true" t="shared" si="63" ref="N406:T406">N398+N400+N402+N404</f>
        <v>25900</v>
      </c>
      <c r="O406" s="292">
        <f t="shared" si="63"/>
        <v>0</v>
      </c>
      <c r="P406" s="292">
        <f t="shared" si="63"/>
        <v>0</v>
      </c>
      <c r="Q406" s="292">
        <f t="shared" si="63"/>
        <v>0</v>
      </c>
      <c r="R406" s="292">
        <f t="shared" si="63"/>
        <v>0</v>
      </c>
      <c r="S406" s="292">
        <f t="shared" si="63"/>
        <v>0</v>
      </c>
      <c r="T406" s="297">
        <f t="shared" si="63"/>
        <v>0</v>
      </c>
      <c r="U406" s="330">
        <f>+U398+U400+U402+U404</f>
        <v>0</v>
      </c>
      <c r="V406" s="331">
        <f>N406-U406</f>
        <v>25900</v>
      </c>
      <c r="W406" s="76">
        <f>M406+U406</f>
        <v>0</v>
      </c>
      <c r="X406" s="295">
        <f>W406/$G$404</f>
        <v>0</v>
      </c>
      <c r="Y406" s="413"/>
    </row>
    <row r="407" spans="1:25" ht="12.75" customHeight="1">
      <c r="A407" s="405">
        <f>A397+1</f>
        <v>41</v>
      </c>
      <c r="B407" s="405">
        <v>853</v>
      </c>
      <c r="C407" s="405">
        <v>85395</v>
      </c>
      <c r="D407" s="420" t="s">
        <v>216</v>
      </c>
      <c r="E407" s="399" t="s">
        <v>217</v>
      </c>
      <c r="F407" s="402">
        <v>2008</v>
      </c>
      <c r="G407" s="1" t="s">
        <v>9</v>
      </c>
      <c r="H407" s="241" t="s">
        <v>10</v>
      </c>
      <c r="I407" s="242">
        <v>633524</v>
      </c>
      <c r="J407" s="243">
        <v>404469</v>
      </c>
      <c r="K407" s="243">
        <f t="shared" si="61"/>
        <v>1037993</v>
      </c>
      <c r="L407" s="243">
        <v>463744</v>
      </c>
      <c r="M407" s="243">
        <f>K407+L407</f>
        <v>1501737</v>
      </c>
      <c r="N407" s="243">
        <v>292084</v>
      </c>
      <c r="O407" s="243"/>
      <c r="P407" s="243"/>
      <c r="Q407" s="243"/>
      <c r="R407" s="243"/>
      <c r="S407" s="243"/>
      <c r="T407" s="2"/>
      <c r="U407" s="307">
        <v>38484</v>
      </c>
      <c r="V407" s="308">
        <v>292084</v>
      </c>
      <c r="W407" s="243">
        <f>M407+U407</f>
        <v>1540221</v>
      </c>
      <c r="X407" s="260">
        <f>W407/$G$414</f>
        <v>0.10460513018617584</v>
      </c>
      <c r="Y407" s="411">
        <f>N415+O415+P415+Q415+R415+S415+N416+O416+P416+Q416+R416+T415+T416+S416</f>
        <v>2382890</v>
      </c>
    </row>
    <row r="408" spans="1:25" ht="12.75">
      <c r="A408" s="406"/>
      <c r="B408" s="406"/>
      <c r="C408" s="406"/>
      <c r="D408" s="421"/>
      <c r="E408" s="400"/>
      <c r="F408" s="403"/>
      <c r="G408" s="414">
        <f>M415+N415</f>
        <v>14724144</v>
      </c>
      <c r="H408" s="246" t="s">
        <v>11</v>
      </c>
      <c r="I408" s="247"/>
      <c r="J408" s="3"/>
      <c r="K408" s="249">
        <f t="shared" si="61"/>
        <v>0</v>
      </c>
      <c r="L408" s="3"/>
      <c r="M408" s="3"/>
      <c r="N408" s="3"/>
      <c r="O408" s="3"/>
      <c r="P408" s="3"/>
      <c r="Q408" s="3"/>
      <c r="R408" s="3"/>
      <c r="S408" s="3"/>
      <c r="T408" s="4"/>
      <c r="U408" s="309"/>
      <c r="V408" s="310"/>
      <c r="W408" s="3"/>
      <c r="X408" s="251"/>
      <c r="Y408" s="412"/>
    </row>
    <row r="409" spans="1:25" ht="12.75">
      <c r="A409" s="406"/>
      <c r="B409" s="406"/>
      <c r="C409" s="406"/>
      <c r="D409" s="421"/>
      <c r="E409" s="400"/>
      <c r="F409" s="403"/>
      <c r="G409" s="415"/>
      <c r="H409" s="246" t="s">
        <v>12</v>
      </c>
      <c r="I409" s="247">
        <v>315654</v>
      </c>
      <c r="J409" s="3">
        <v>181007</v>
      </c>
      <c r="K409" s="249">
        <f t="shared" si="61"/>
        <v>496661</v>
      </c>
      <c r="L409" s="3"/>
      <c r="M409" s="3">
        <f>K409+L409</f>
        <v>496661</v>
      </c>
      <c r="N409" s="3"/>
      <c r="O409" s="3"/>
      <c r="P409" s="3"/>
      <c r="Q409" s="3"/>
      <c r="R409" s="3"/>
      <c r="S409" s="3"/>
      <c r="T409" s="4"/>
      <c r="U409" s="309"/>
      <c r="V409" s="310"/>
      <c r="W409" s="3">
        <f>M409+U409</f>
        <v>496661</v>
      </c>
      <c r="X409" s="251">
        <f>W409/$G$414</f>
        <v>0.03373106103825119</v>
      </c>
      <c r="Y409" s="412"/>
    </row>
    <row r="410" spans="1:25" ht="12.75">
      <c r="A410" s="406"/>
      <c r="B410" s="406"/>
      <c r="C410" s="406"/>
      <c r="D410" s="421"/>
      <c r="E410" s="400"/>
      <c r="F410" s="403"/>
      <c r="G410" s="5" t="s">
        <v>13</v>
      </c>
      <c r="H410" s="246" t="s">
        <v>14</v>
      </c>
      <c r="I410" s="247"/>
      <c r="J410" s="3"/>
      <c r="K410" s="249">
        <f t="shared" si="61"/>
        <v>0</v>
      </c>
      <c r="L410" s="3"/>
      <c r="M410" s="3"/>
      <c r="N410" s="3"/>
      <c r="O410" s="3"/>
      <c r="P410" s="3"/>
      <c r="Q410" s="3"/>
      <c r="R410" s="3"/>
      <c r="S410" s="3"/>
      <c r="T410" s="4"/>
      <c r="U410" s="309"/>
      <c r="V410" s="310"/>
      <c r="W410" s="3"/>
      <c r="X410" s="251"/>
      <c r="Y410" s="412"/>
    </row>
    <row r="411" spans="1:25" ht="12.75">
      <c r="A411" s="406"/>
      <c r="B411" s="406"/>
      <c r="C411" s="406"/>
      <c r="D411" s="421"/>
      <c r="E411" s="400"/>
      <c r="F411" s="404"/>
      <c r="G411" s="414">
        <f>SUM(K416:T416)</f>
        <v>0</v>
      </c>
      <c r="H411" s="246" t="s">
        <v>162</v>
      </c>
      <c r="I411" s="247"/>
      <c r="J411" s="3">
        <v>8111411</v>
      </c>
      <c r="K411" s="249">
        <f t="shared" si="61"/>
        <v>8111411</v>
      </c>
      <c r="L411" s="3">
        <v>2231445</v>
      </c>
      <c r="M411" s="3">
        <f>K411+L411</f>
        <v>10342856</v>
      </c>
      <c r="N411" s="3">
        <v>2090806</v>
      </c>
      <c r="O411" s="3"/>
      <c r="P411" s="3"/>
      <c r="Q411" s="3"/>
      <c r="R411" s="3"/>
      <c r="S411" s="3"/>
      <c r="T411" s="4"/>
      <c r="U411" s="309">
        <v>701961</v>
      </c>
      <c r="V411" s="310">
        <v>2090806</v>
      </c>
      <c r="W411" s="3">
        <f>M411+U411</f>
        <v>11044817</v>
      </c>
      <c r="X411" s="251">
        <f>W411/$G$414</f>
        <v>0.7501160678678502</v>
      </c>
      <c r="Y411" s="412"/>
    </row>
    <row r="412" spans="1:25" ht="12.75">
      <c r="A412" s="406"/>
      <c r="B412" s="406"/>
      <c r="C412" s="406"/>
      <c r="D412" s="421"/>
      <c r="E412" s="400"/>
      <c r="F412" s="416">
        <v>2013</v>
      </c>
      <c r="G412" s="415"/>
      <c r="H412" s="246" t="s">
        <v>163</v>
      </c>
      <c r="I412" s="247"/>
      <c r="J412" s="3"/>
      <c r="K412" s="249">
        <f t="shared" si="61"/>
        <v>0</v>
      </c>
      <c r="L412" s="3"/>
      <c r="M412" s="3"/>
      <c r="N412" s="3"/>
      <c r="O412" s="3"/>
      <c r="P412" s="3"/>
      <c r="Q412" s="3"/>
      <c r="R412" s="3"/>
      <c r="S412" s="3"/>
      <c r="T412" s="4"/>
      <c r="U412" s="309"/>
      <c r="V412" s="310"/>
      <c r="W412" s="3"/>
      <c r="X412" s="251"/>
      <c r="Y412" s="412"/>
    </row>
    <row r="413" spans="1:25" ht="12.75">
      <c r="A413" s="406"/>
      <c r="B413" s="406"/>
      <c r="C413" s="406"/>
      <c r="D413" s="421"/>
      <c r="E413" s="400"/>
      <c r="F413" s="403"/>
      <c r="G413" s="5" t="s">
        <v>17</v>
      </c>
      <c r="H413" s="246" t="s">
        <v>15</v>
      </c>
      <c r="I413" s="247"/>
      <c r="J413" s="3"/>
      <c r="K413" s="249">
        <f t="shared" si="61"/>
        <v>0</v>
      </c>
      <c r="L413" s="3"/>
      <c r="M413" s="3"/>
      <c r="N413" s="3"/>
      <c r="O413" s="3"/>
      <c r="P413" s="3"/>
      <c r="Q413" s="3"/>
      <c r="R413" s="3"/>
      <c r="S413" s="3"/>
      <c r="T413" s="4"/>
      <c r="U413" s="309"/>
      <c r="V413" s="310"/>
      <c r="W413" s="3"/>
      <c r="X413" s="251"/>
      <c r="Y413" s="412"/>
    </row>
    <row r="414" spans="1:25" ht="12.75">
      <c r="A414" s="406"/>
      <c r="B414" s="406"/>
      <c r="C414" s="406"/>
      <c r="D414" s="421"/>
      <c r="E414" s="400"/>
      <c r="F414" s="403"/>
      <c r="G414" s="414">
        <f>G408+G411</f>
        <v>14724144</v>
      </c>
      <c r="H414" s="246" t="s">
        <v>16</v>
      </c>
      <c r="I414" s="247"/>
      <c r="J414" s="3"/>
      <c r="K414" s="249">
        <f t="shared" si="61"/>
        <v>0</v>
      </c>
      <c r="L414" s="3"/>
      <c r="M414" s="3"/>
      <c r="N414" s="3"/>
      <c r="O414" s="3"/>
      <c r="P414" s="3"/>
      <c r="Q414" s="3"/>
      <c r="R414" s="3"/>
      <c r="S414" s="3"/>
      <c r="T414" s="4"/>
      <c r="U414" s="309"/>
      <c r="V414" s="310"/>
      <c r="W414" s="3"/>
      <c r="X414" s="251"/>
      <c r="Y414" s="412"/>
    </row>
    <row r="415" spans="1:25" ht="12.75">
      <c r="A415" s="406"/>
      <c r="B415" s="406"/>
      <c r="C415" s="406"/>
      <c r="D415" s="421"/>
      <c r="E415" s="400"/>
      <c r="F415" s="403"/>
      <c r="G415" s="418"/>
      <c r="H415" s="246" t="s">
        <v>18</v>
      </c>
      <c r="I415" s="252">
        <f>I407+I409+I411+I413</f>
        <v>949178</v>
      </c>
      <c r="J415" s="7">
        <f>J407+J409+J411+J413</f>
        <v>8696887</v>
      </c>
      <c r="K415" s="249">
        <f t="shared" si="61"/>
        <v>9646065</v>
      </c>
      <c r="L415" s="7">
        <f>L407+L409+L411+L413</f>
        <v>2695189</v>
      </c>
      <c r="M415" s="3">
        <f>K415+L415</f>
        <v>12341254</v>
      </c>
      <c r="N415" s="7">
        <f aca="true" t="shared" si="64" ref="N415:T416">N407+N409+N411+N413</f>
        <v>2382890</v>
      </c>
      <c r="O415" s="7">
        <f t="shared" si="64"/>
        <v>0</v>
      </c>
      <c r="P415" s="7">
        <f t="shared" si="64"/>
        <v>0</v>
      </c>
      <c r="Q415" s="7">
        <f t="shared" si="64"/>
        <v>0</v>
      </c>
      <c r="R415" s="7">
        <f t="shared" si="64"/>
        <v>0</v>
      </c>
      <c r="S415" s="7">
        <f t="shared" si="64"/>
        <v>0</v>
      </c>
      <c r="T415" s="123">
        <f t="shared" si="64"/>
        <v>0</v>
      </c>
      <c r="U415" s="311">
        <v>740445</v>
      </c>
      <c r="V415" s="314">
        <v>2382890</v>
      </c>
      <c r="W415" s="3">
        <f>M415+U415</f>
        <v>13081699</v>
      </c>
      <c r="X415" s="251">
        <f>W415/$G$414</f>
        <v>0.8884522590922773</v>
      </c>
      <c r="Y415" s="412"/>
    </row>
    <row r="416" spans="1:25" ht="13.5" thickBot="1">
      <c r="A416" s="407"/>
      <c r="B416" s="407"/>
      <c r="C416" s="407"/>
      <c r="D416" s="422"/>
      <c r="E416" s="401"/>
      <c r="F416" s="417"/>
      <c r="G416" s="419"/>
      <c r="H416" s="253" t="s">
        <v>19</v>
      </c>
      <c r="I416" s="254">
        <f>I408+I410+I412+I414</f>
        <v>0</v>
      </c>
      <c r="J416" s="10">
        <f>J408+J410+J412+J414</f>
        <v>0</v>
      </c>
      <c r="K416" s="255">
        <f t="shared" si="61"/>
        <v>0</v>
      </c>
      <c r="L416" s="10">
        <f>L408+L410+L412+L414</f>
        <v>0</v>
      </c>
      <c r="M416" s="76">
        <f>K416+L416</f>
        <v>0</v>
      </c>
      <c r="N416" s="10">
        <f t="shared" si="64"/>
        <v>0</v>
      </c>
      <c r="O416" s="10">
        <f t="shared" si="64"/>
        <v>0</v>
      </c>
      <c r="P416" s="10">
        <f t="shared" si="64"/>
        <v>0</v>
      </c>
      <c r="Q416" s="10">
        <f t="shared" si="64"/>
        <v>0</v>
      </c>
      <c r="R416" s="10">
        <f t="shared" si="64"/>
        <v>0</v>
      </c>
      <c r="S416" s="10">
        <f t="shared" si="64"/>
        <v>0</v>
      </c>
      <c r="T416" s="124">
        <f t="shared" si="64"/>
        <v>0</v>
      </c>
      <c r="U416" s="312">
        <v>0</v>
      </c>
      <c r="V416" s="315">
        <v>0</v>
      </c>
      <c r="W416" s="76">
        <f>M416+U416</f>
        <v>0</v>
      </c>
      <c r="X416" s="258">
        <f>W416/$G$414</f>
        <v>0</v>
      </c>
      <c r="Y416" s="413"/>
    </row>
    <row r="417" spans="1:25" ht="13.5" customHeight="1">
      <c r="A417" s="405">
        <f>A407+1</f>
        <v>42</v>
      </c>
      <c r="B417" s="405">
        <v>900</v>
      </c>
      <c r="C417" s="405">
        <v>90001</v>
      </c>
      <c r="D417" s="408" t="s">
        <v>218</v>
      </c>
      <c r="E417" s="399" t="s">
        <v>219</v>
      </c>
      <c r="F417" s="402">
        <v>2009</v>
      </c>
      <c r="G417" s="1" t="s">
        <v>9</v>
      </c>
      <c r="H417" s="241" t="s">
        <v>10</v>
      </c>
      <c r="I417" s="242"/>
      <c r="J417" s="243"/>
      <c r="K417" s="243">
        <f t="shared" si="61"/>
        <v>0</v>
      </c>
      <c r="L417" s="2"/>
      <c r="M417" s="244"/>
      <c r="N417" s="243"/>
      <c r="O417" s="243"/>
      <c r="P417" s="243"/>
      <c r="Q417" s="243"/>
      <c r="R417" s="243"/>
      <c r="S417" s="243"/>
      <c r="T417" s="2"/>
      <c r="U417" s="307"/>
      <c r="V417" s="308"/>
      <c r="W417" s="243"/>
      <c r="X417" s="260"/>
      <c r="Y417" s="411">
        <f>N425+O425+P425+Q425+R425+S425+N426+O426+P426+Q426+R426+T425+T426+S426</f>
        <v>33988848</v>
      </c>
    </row>
    <row r="418" spans="1:25" ht="12.75">
      <c r="A418" s="406"/>
      <c r="B418" s="406"/>
      <c r="C418" s="406"/>
      <c r="D418" s="409"/>
      <c r="E418" s="400"/>
      <c r="F418" s="403"/>
      <c r="G418" s="414">
        <f>SUM(K425:T425)</f>
        <v>0</v>
      </c>
      <c r="H418" s="246" t="s">
        <v>11</v>
      </c>
      <c r="I418" s="247">
        <f>1536778+37088</f>
        <v>1573866</v>
      </c>
      <c r="J418" s="3">
        <v>235658</v>
      </c>
      <c r="K418" s="249">
        <f t="shared" si="61"/>
        <v>1809524</v>
      </c>
      <c r="L418" s="4">
        <v>4185598</v>
      </c>
      <c r="M418" s="250">
        <f>K418+L418</f>
        <v>5995122</v>
      </c>
      <c r="N418" s="3">
        <f>4951591+111732</f>
        <v>5063323</v>
      </c>
      <c r="O418" s="3">
        <f>4756347+80690</f>
        <v>4837037</v>
      </c>
      <c r="P418" s="3">
        <f>577247+6420</f>
        <v>583667</v>
      </c>
      <c r="Q418" s="3"/>
      <c r="R418" s="3"/>
      <c r="S418" s="3"/>
      <c r="T418" s="4"/>
      <c r="U418" s="309">
        <v>151138</v>
      </c>
      <c r="V418" s="310">
        <v>5063323</v>
      </c>
      <c r="W418" s="3">
        <f>M418+U418</f>
        <v>6146260</v>
      </c>
      <c r="X418" s="251">
        <f>W418/$G$424</f>
        <v>0.11466919885945354</v>
      </c>
      <c r="Y418" s="412"/>
    </row>
    <row r="419" spans="1:25" ht="12.75">
      <c r="A419" s="406"/>
      <c r="B419" s="406"/>
      <c r="C419" s="406"/>
      <c r="D419" s="409"/>
      <c r="E419" s="400"/>
      <c r="F419" s="403"/>
      <c r="G419" s="415"/>
      <c r="H419" s="246" t="s">
        <v>12</v>
      </c>
      <c r="I419" s="247"/>
      <c r="J419" s="3"/>
      <c r="K419" s="249">
        <f t="shared" si="61"/>
        <v>0</v>
      </c>
      <c r="L419" s="4"/>
      <c r="M419" s="250"/>
      <c r="N419" s="3"/>
      <c r="O419" s="3"/>
      <c r="P419" s="3"/>
      <c r="Q419" s="3"/>
      <c r="R419" s="3"/>
      <c r="S419" s="3"/>
      <c r="T419" s="4"/>
      <c r="U419" s="309"/>
      <c r="V419" s="310"/>
      <c r="W419" s="3"/>
      <c r="X419" s="251"/>
      <c r="Y419" s="412"/>
    </row>
    <row r="420" spans="1:25" ht="12.75">
      <c r="A420" s="406"/>
      <c r="B420" s="406"/>
      <c r="C420" s="406"/>
      <c r="D420" s="409"/>
      <c r="E420" s="400"/>
      <c r="F420" s="403"/>
      <c r="G420" s="5" t="s">
        <v>13</v>
      </c>
      <c r="H420" s="246" t="s">
        <v>14</v>
      </c>
      <c r="I420" s="247"/>
      <c r="J420" s="3"/>
      <c r="K420" s="249">
        <f t="shared" si="61"/>
        <v>0</v>
      </c>
      <c r="L420" s="4"/>
      <c r="M420" s="250"/>
      <c r="N420" s="3"/>
      <c r="O420" s="3"/>
      <c r="P420" s="3"/>
      <c r="Q420" s="3"/>
      <c r="R420" s="3"/>
      <c r="S420" s="3"/>
      <c r="T420" s="4"/>
      <c r="U420" s="309"/>
      <c r="V420" s="310"/>
      <c r="W420" s="3"/>
      <c r="X420" s="251"/>
      <c r="Y420" s="412"/>
    </row>
    <row r="421" spans="1:25" ht="12.75">
      <c r="A421" s="406"/>
      <c r="B421" s="406"/>
      <c r="C421" s="406"/>
      <c r="D421" s="409"/>
      <c r="E421" s="400"/>
      <c r="F421" s="404"/>
      <c r="G421" s="414">
        <f>M426+N426+O426+P426</f>
        <v>53599921</v>
      </c>
      <c r="H421" s="246" t="s">
        <v>162</v>
      </c>
      <c r="I421" s="247"/>
      <c r="J421" s="3"/>
      <c r="K421" s="249">
        <f t="shared" si="61"/>
        <v>0</v>
      </c>
      <c r="L421" s="4"/>
      <c r="M421" s="250"/>
      <c r="N421" s="3"/>
      <c r="O421" s="3"/>
      <c r="P421" s="3"/>
      <c r="Q421" s="3"/>
      <c r="R421" s="3"/>
      <c r="S421" s="3"/>
      <c r="T421" s="4"/>
      <c r="U421" s="309"/>
      <c r="V421" s="310"/>
      <c r="W421" s="3"/>
      <c r="X421" s="251"/>
      <c r="Y421" s="412"/>
    </row>
    <row r="422" spans="1:25" ht="12.75">
      <c r="A422" s="406"/>
      <c r="B422" s="406"/>
      <c r="C422" s="406"/>
      <c r="D422" s="409"/>
      <c r="E422" s="400"/>
      <c r="F422" s="416">
        <v>2015</v>
      </c>
      <c r="G422" s="415"/>
      <c r="H422" s="246" t="s">
        <v>163</v>
      </c>
      <c r="I422" s="247">
        <v>3512014</v>
      </c>
      <c r="J422" s="3">
        <v>538553</v>
      </c>
      <c r="K422" s="249">
        <f t="shared" si="61"/>
        <v>4050567</v>
      </c>
      <c r="L422" s="4">
        <v>9565384</v>
      </c>
      <c r="M422" s="250">
        <f>K422+L422</f>
        <v>13615951</v>
      </c>
      <c r="N422" s="3">
        <v>11315914</v>
      </c>
      <c r="O422" s="3">
        <v>10869721</v>
      </c>
      <c r="P422" s="3">
        <v>1319186</v>
      </c>
      <c r="Q422" s="3"/>
      <c r="R422" s="3"/>
      <c r="S422" s="3"/>
      <c r="T422" s="4"/>
      <c r="U422" s="309">
        <v>336810</v>
      </c>
      <c r="V422" s="310">
        <v>11315914</v>
      </c>
      <c r="W422" s="3">
        <f>M422+U422</f>
        <v>13952761</v>
      </c>
      <c r="X422" s="251">
        <f>W422/$G$424</f>
        <v>0.26031308889429144</v>
      </c>
      <c r="Y422" s="412"/>
    </row>
    <row r="423" spans="1:25" ht="12.75">
      <c r="A423" s="406"/>
      <c r="B423" s="406"/>
      <c r="C423" s="406"/>
      <c r="D423" s="409"/>
      <c r="E423" s="400"/>
      <c r="F423" s="403"/>
      <c r="G423" s="5" t="s">
        <v>17</v>
      </c>
      <c r="H423" s="246" t="s">
        <v>15</v>
      </c>
      <c r="I423" s="247"/>
      <c r="J423" s="3"/>
      <c r="K423" s="249">
        <f t="shared" si="61"/>
        <v>0</v>
      </c>
      <c r="L423" s="4"/>
      <c r="M423" s="250"/>
      <c r="N423" s="3"/>
      <c r="O423" s="3"/>
      <c r="P423" s="3"/>
      <c r="Q423" s="3"/>
      <c r="R423" s="3"/>
      <c r="S423" s="3"/>
      <c r="T423" s="4"/>
      <c r="U423" s="309"/>
      <c r="V423" s="310"/>
      <c r="W423" s="3"/>
      <c r="X423" s="251"/>
      <c r="Y423" s="412"/>
    </row>
    <row r="424" spans="1:25" ht="12.75">
      <c r="A424" s="406"/>
      <c r="B424" s="406"/>
      <c r="C424" s="406"/>
      <c r="D424" s="409"/>
      <c r="E424" s="400"/>
      <c r="F424" s="403"/>
      <c r="G424" s="414">
        <f>G418+G421</f>
        <v>53599921</v>
      </c>
      <c r="H424" s="246" t="s">
        <v>16</v>
      </c>
      <c r="I424" s="247"/>
      <c r="J424" s="3"/>
      <c r="K424" s="249">
        <f t="shared" si="61"/>
        <v>0</v>
      </c>
      <c r="L424" s="4"/>
      <c r="M424" s="250"/>
      <c r="N424" s="3"/>
      <c r="O424" s="3"/>
      <c r="P424" s="3"/>
      <c r="Q424" s="3"/>
      <c r="R424" s="3"/>
      <c r="S424" s="3"/>
      <c r="T424" s="4"/>
      <c r="U424" s="309"/>
      <c r="V424" s="310"/>
      <c r="W424" s="3"/>
      <c r="X424" s="251"/>
      <c r="Y424" s="412"/>
    </row>
    <row r="425" spans="1:25" ht="12.75">
      <c r="A425" s="406"/>
      <c r="B425" s="406"/>
      <c r="C425" s="406"/>
      <c r="D425" s="409"/>
      <c r="E425" s="400"/>
      <c r="F425" s="403"/>
      <c r="G425" s="418"/>
      <c r="H425" s="246" t="s">
        <v>18</v>
      </c>
      <c r="I425" s="252">
        <f>I417+I419+I421+I423</f>
        <v>0</v>
      </c>
      <c r="J425" s="7">
        <f>J417+J419+J421+J423</f>
        <v>0</v>
      </c>
      <c r="K425" s="249">
        <f t="shared" si="61"/>
        <v>0</v>
      </c>
      <c r="L425" s="123">
        <f>L417+L419+L421+L423</f>
        <v>0</v>
      </c>
      <c r="M425" s="250">
        <f>K425+L425</f>
        <v>0</v>
      </c>
      <c r="N425" s="7">
        <f aca="true" t="shared" si="65" ref="N425:T426">N417+N419+N421+N423</f>
        <v>0</v>
      </c>
      <c r="O425" s="7">
        <f t="shared" si="65"/>
        <v>0</v>
      </c>
      <c r="P425" s="7">
        <f t="shared" si="65"/>
        <v>0</v>
      </c>
      <c r="Q425" s="7">
        <f t="shared" si="65"/>
        <v>0</v>
      </c>
      <c r="R425" s="7">
        <f t="shared" si="65"/>
        <v>0</v>
      </c>
      <c r="S425" s="7">
        <f t="shared" si="65"/>
        <v>0</v>
      </c>
      <c r="T425" s="123">
        <f t="shared" si="65"/>
        <v>0</v>
      </c>
      <c r="U425" s="311">
        <v>0</v>
      </c>
      <c r="V425" s="314">
        <v>0</v>
      </c>
      <c r="W425" s="3">
        <v>0</v>
      </c>
      <c r="X425" s="251">
        <v>0</v>
      </c>
      <c r="Y425" s="412"/>
    </row>
    <row r="426" spans="1:25" ht="13.5" thickBot="1">
      <c r="A426" s="407"/>
      <c r="B426" s="407"/>
      <c r="C426" s="407"/>
      <c r="D426" s="410"/>
      <c r="E426" s="401"/>
      <c r="F426" s="417"/>
      <c r="G426" s="419"/>
      <c r="H426" s="253" t="s">
        <v>19</v>
      </c>
      <c r="I426" s="254">
        <f>I418+I420+I422+I424</f>
        <v>5085880</v>
      </c>
      <c r="J426" s="10">
        <f>J418+J420+J422+J424</f>
        <v>774211</v>
      </c>
      <c r="K426" s="255">
        <f t="shared" si="61"/>
        <v>5860091</v>
      </c>
      <c r="L426" s="124">
        <f>L418+L420+L422+L424</f>
        <v>13750982</v>
      </c>
      <c r="M426" s="256">
        <f>K426+L426</f>
        <v>19611073</v>
      </c>
      <c r="N426" s="10">
        <f t="shared" si="65"/>
        <v>16379237</v>
      </c>
      <c r="O426" s="10">
        <f t="shared" si="65"/>
        <v>15706758</v>
      </c>
      <c r="P426" s="10">
        <f t="shared" si="65"/>
        <v>1902853</v>
      </c>
      <c r="Q426" s="10">
        <f t="shared" si="65"/>
        <v>0</v>
      </c>
      <c r="R426" s="10">
        <f t="shared" si="65"/>
        <v>0</v>
      </c>
      <c r="S426" s="10">
        <f t="shared" si="65"/>
        <v>0</v>
      </c>
      <c r="T426" s="124">
        <f t="shared" si="65"/>
        <v>0</v>
      </c>
      <c r="U426" s="312">
        <v>487948</v>
      </c>
      <c r="V426" s="315">
        <f>V418+V420+V422+V424</f>
        <v>16379237</v>
      </c>
      <c r="W426" s="76">
        <f>M426+U426</f>
        <v>20099021</v>
      </c>
      <c r="X426" s="258">
        <f>W426/$G$424</f>
        <v>0.37498228775374504</v>
      </c>
      <c r="Y426" s="413"/>
    </row>
    <row r="427" spans="1:25" ht="12.75" customHeight="1">
      <c r="A427" s="405">
        <f>A417+1</f>
        <v>43</v>
      </c>
      <c r="B427" s="405">
        <v>900</v>
      </c>
      <c r="C427" s="405">
        <v>90004</v>
      </c>
      <c r="D427" s="408" t="s">
        <v>220</v>
      </c>
      <c r="E427" s="399" t="s">
        <v>221</v>
      </c>
      <c r="F427" s="402">
        <v>2011</v>
      </c>
      <c r="G427" s="1" t="s">
        <v>9</v>
      </c>
      <c r="H427" s="241" t="s">
        <v>10</v>
      </c>
      <c r="I427" s="242"/>
      <c r="J427" s="243"/>
      <c r="K427" s="243">
        <f t="shared" si="61"/>
        <v>0</v>
      </c>
      <c r="L427" s="2"/>
      <c r="M427" s="244"/>
      <c r="N427" s="243"/>
      <c r="O427" s="243"/>
      <c r="P427" s="243"/>
      <c r="Q427" s="243"/>
      <c r="R427" s="243"/>
      <c r="S427" s="243"/>
      <c r="T427" s="2"/>
      <c r="U427" s="307"/>
      <c r="V427" s="308"/>
      <c r="W427" s="243"/>
      <c r="X427" s="260"/>
      <c r="Y427" s="411">
        <f>N435+O435+P435+Q435+R435+S435+N436+O436+P436+Q436+R436+T435+T436+S436</f>
        <v>2153476</v>
      </c>
    </row>
    <row r="428" spans="1:25" ht="12.75">
      <c r="A428" s="406"/>
      <c r="B428" s="406"/>
      <c r="C428" s="406"/>
      <c r="D428" s="409"/>
      <c r="E428" s="400"/>
      <c r="F428" s="403"/>
      <c r="G428" s="414">
        <f>SUM(K435:T435)</f>
        <v>0</v>
      </c>
      <c r="H428" s="246" t="s">
        <v>11</v>
      </c>
      <c r="I428" s="247"/>
      <c r="J428" s="3">
        <v>2676</v>
      </c>
      <c r="K428" s="249">
        <f t="shared" si="61"/>
        <v>2676</v>
      </c>
      <c r="L428" s="4"/>
      <c r="M428" s="250">
        <f>K428+L428</f>
        <v>2676</v>
      </c>
      <c r="N428" s="3">
        <f>85468+444128</f>
        <v>529596</v>
      </c>
      <c r="O428" s="3"/>
      <c r="P428" s="3"/>
      <c r="Q428" s="3"/>
      <c r="R428" s="3"/>
      <c r="S428" s="3"/>
      <c r="T428" s="4"/>
      <c r="U428" s="309">
        <v>0</v>
      </c>
      <c r="V428" s="310">
        <v>529596</v>
      </c>
      <c r="W428" s="3">
        <f>M428+U428</f>
        <v>2676</v>
      </c>
      <c r="X428" s="251">
        <f>W428/$G$434</f>
        <v>0.0012125150035138467</v>
      </c>
      <c r="Y428" s="412"/>
    </row>
    <row r="429" spans="1:25" ht="12.75">
      <c r="A429" s="406"/>
      <c r="B429" s="406"/>
      <c r="C429" s="406"/>
      <c r="D429" s="409"/>
      <c r="E429" s="400"/>
      <c r="F429" s="403"/>
      <c r="G429" s="415"/>
      <c r="H429" s="246" t="s">
        <v>12</v>
      </c>
      <c r="I429" s="247"/>
      <c r="J429" s="3"/>
      <c r="K429" s="249">
        <f t="shared" si="61"/>
        <v>0</v>
      </c>
      <c r="L429" s="4"/>
      <c r="M429" s="250"/>
      <c r="N429" s="3"/>
      <c r="O429" s="3"/>
      <c r="P429" s="3"/>
      <c r="Q429" s="3"/>
      <c r="R429" s="3"/>
      <c r="S429" s="3"/>
      <c r="T429" s="4"/>
      <c r="U429" s="309"/>
      <c r="V429" s="310"/>
      <c r="W429" s="3"/>
      <c r="X429" s="251"/>
      <c r="Y429" s="412"/>
    </row>
    <row r="430" spans="1:25" ht="12.75">
      <c r="A430" s="406"/>
      <c r="B430" s="406"/>
      <c r="C430" s="406"/>
      <c r="D430" s="409"/>
      <c r="E430" s="400"/>
      <c r="F430" s="403"/>
      <c r="G430" s="5" t="s">
        <v>13</v>
      </c>
      <c r="H430" s="246" t="s">
        <v>14</v>
      </c>
      <c r="I430" s="247"/>
      <c r="J430" s="3">
        <v>5351</v>
      </c>
      <c r="K430" s="249">
        <f t="shared" si="61"/>
        <v>5351</v>
      </c>
      <c r="L430" s="4"/>
      <c r="M430" s="250">
        <f>K430+L430</f>
        <v>5351</v>
      </c>
      <c r="N430" s="3">
        <v>170934</v>
      </c>
      <c r="O430" s="3"/>
      <c r="P430" s="3"/>
      <c r="Q430" s="3"/>
      <c r="R430" s="3"/>
      <c r="S430" s="3"/>
      <c r="T430" s="4"/>
      <c r="U430" s="309">
        <v>0</v>
      </c>
      <c r="V430" s="310">
        <v>170934</v>
      </c>
      <c r="W430" s="3">
        <v>5351</v>
      </c>
      <c r="X430" s="251">
        <f>W430/$G$434</f>
        <v>0.002424576899776754</v>
      </c>
      <c r="Y430" s="412"/>
    </row>
    <row r="431" spans="1:25" ht="12.75">
      <c r="A431" s="406"/>
      <c r="B431" s="406"/>
      <c r="C431" s="406"/>
      <c r="D431" s="409"/>
      <c r="E431" s="400"/>
      <c r="F431" s="404"/>
      <c r="G431" s="414">
        <f>M436+N436</f>
        <v>2206983</v>
      </c>
      <c r="H431" s="246" t="s">
        <v>162</v>
      </c>
      <c r="I431" s="247"/>
      <c r="J431" s="3"/>
      <c r="K431" s="249">
        <f t="shared" si="61"/>
        <v>0</v>
      </c>
      <c r="L431" s="4"/>
      <c r="M431" s="250"/>
      <c r="N431" s="3"/>
      <c r="O431" s="3"/>
      <c r="P431" s="3"/>
      <c r="Q431" s="3"/>
      <c r="R431" s="3"/>
      <c r="S431" s="3"/>
      <c r="T431" s="4"/>
      <c r="U431" s="309"/>
      <c r="V431" s="310"/>
      <c r="W431" s="3"/>
      <c r="X431" s="251"/>
      <c r="Y431" s="412"/>
    </row>
    <row r="432" spans="1:25" ht="12.75">
      <c r="A432" s="406"/>
      <c r="B432" s="406"/>
      <c r="C432" s="406"/>
      <c r="D432" s="409"/>
      <c r="E432" s="400"/>
      <c r="F432" s="416">
        <v>2013</v>
      </c>
      <c r="G432" s="415"/>
      <c r="H432" s="246" t="s">
        <v>163</v>
      </c>
      <c r="I432" s="247"/>
      <c r="J432" s="3">
        <v>45480</v>
      </c>
      <c r="K432" s="249">
        <f t="shared" si="61"/>
        <v>45480</v>
      </c>
      <c r="L432" s="4"/>
      <c r="M432" s="250">
        <f>K432+L432</f>
        <v>45480</v>
      </c>
      <c r="N432" s="3">
        <v>1452946</v>
      </c>
      <c r="O432" s="3"/>
      <c r="P432" s="3"/>
      <c r="Q432" s="3"/>
      <c r="R432" s="3"/>
      <c r="S432" s="3"/>
      <c r="T432" s="4"/>
      <c r="U432" s="309">
        <v>0</v>
      </c>
      <c r="V432" s="310">
        <v>1452946</v>
      </c>
      <c r="W432" s="3">
        <f>M432+U432</f>
        <v>45480</v>
      </c>
      <c r="X432" s="251">
        <f>W432/$G$434</f>
        <v>0.02060731777272412</v>
      </c>
      <c r="Y432" s="412"/>
    </row>
    <row r="433" spans="1:25" ht="12.75">
      <c r="A433" s="406"/>
      <c r="B433" s="406"/>
      <c r="C433" s="406"/>
      <c r="D433" s="409"/>
      <c r="E433" s="400"/>
      <c r="F433" s="403"/>
      <c r="G433" s="5" t="s">
        <v>17</v>
      </c>
      <c r="H433" s="246" t="s">
        <v>15</v>
      </c>
      <c r="I433" s="247"/>
      <c r="J433" s="3"/>
      <c r="K433" s="249">
        <f aca="true" t="shared" si="66" ref="K433:K464">I433+J433</f>
        <v>0</v>
      </c>
      <c r="L433" s="4"/>
      <c r="M433" s="250"/>
      <c r="N433" s="3"/>
      <c r="O433" s="3"/>
      <c r="P433" s="3"/>
      <c r="Q433" s="3"/>
      <c r="R433" s="3"/>
      <c r="S433" s="3"/>
      <c r="T433" s="4"/>
      <c r="U433" s="309"/>
      <c r="V433" s="310"/>
      <c r="W433" s="3"/>
      <c r="X433" s="251"/>
      <c r="Y433" s="412"/>
    </row>
    <row r="434" spans="1:25" ht="12.75">
      <c r="A434" s="406"/>
      <c r="B434" s="406"/>
      <c r="C434" s="406"/>
      <c r="D434" s="409"/>
      <c r="E434" s="400"/>
      <c r="F434" s="403"/>
      <c r="G434" s="414">
        <f>G428+G431</f>
        <v>2206983</v>
      </c>
      <c r="H434" s="246" t="s">
        <v>16</v>
      </c>
      <c r="I434" s="247"/>
      <c r="J434" s="3"/>
      <c r="K434" s="249">
        <f t="shared" si="66"/>
        <v>0</v>
      </c>
      <c r="L434" s="4"/>
      <c r="M434" s="250"/>
      <c r="N434" s="3"/>
      <c r="O434" s="3"/>
      <c r="P434" s="3"/>
      <c r="Q434" s="3"/>
      <c r="R434" s="3"/>
      <c r="S434" s="3"/>
      <c r="T434" s="4"/>
      <c r="U434" s="309"/>
      <c r="V434" s="310"/>
      <c r="W434" s="3"/>
      <c r="X434" s="251"/>
      <c r="Y434" s="412"/>
    </row>
    <row r="435" spans="1:25" ht="12.75">
      <c r="A435" s="406"/>
      <c r="B435" s="406"/>
      <c r="C435" s="406"/>
      <c r="D435" s="409"/>
      <c r="E435" s="400"/>
      <c r="F435" s="403"/>
      <c r="G435" s="418"/>
      <c r="H435" s="246" t="s">
        <v>18</v>
      </c>
      <c r="I435" s="252">
        <f>I427+I429+I431+I433</f>
        <v>0</v>
      </c>
      <c r="J435" s="7">
        <f>J427+J429+J431+J433</f>
        <v>0</v>
      </c>
      <c r="K435" s="249">
        <f t="shared" si="66"/>
        <v>0</v>
      </c>
      <c r="L435" s="123">
        <f>L427+L429+L431+L433</f>
        <v>0</v>
      </c>
      <c r="M435" s="250">
        <f>K435+L435</f>
        <v>0</v>
      </c>
      <c r="N435" s="7">
        <f aca="true" t="shared" si="67" ref="N435:T436">N427+N429+N431+N433</f>
        <v>0</v>
      </c>
      <c r="O435" s="7">
        <f t="shared" si="67"/>
        <v>0</v>
      </c>
      <c r="P435" s="7">
        <f t="shared" si="67"/>
        <v>0</v>
      </c>
      <c r="Q435" s="7">
        <f t="shared" si="67"/>
        <v>0</v>
      </c>
      <c r="R435" s="7">
        <f t="shared" si="67"/>
        <v>0</v>
      </c>
      <c r="S435" s="7">
        <f t="shared" si="67"/>
        <v>0</v>
      </c>
      <c r="T435" s="123">
        <f t="shared" si="67"/>
        <v>0</v>
      </c>
      <c r="U435" s="311">
        <v>0</v>
      </c>
      <c r="V435" s="314">
        <f>V427+V429+V431+V433</f>
        <v>0</v>
      </c>
      <c r="W435" s="3">
        <f>M435+U435</f>
        <v>0</v>
      </c>
      <c r="X435" s="251">
        <f>W435/$G$434</f>
        <v>0</v>
      </c>
      <c r="Y435" s="412"/>
    </row>
    <row r="436" spans="1:25" ht="13.5" thickBot="1">
      <c r="A436" s="407"/>
      <c r="B436" s="407"/>
      <c r="C436" s="407"/>
      <c r="D436" s="410"/>
      <c r="E436" s="401"/>
      <c r="F436" s="417"/>
      <c r="G436" s="419"/>
      <c r="H436" s="253" t="s">
        <v>19</v>
      </c>
      <c r="I436" s="254">
        <f>I428+I430+I432+I434</f>
        <v>0</v>
      </c>
      <c r="J436" s="10">
        <f>J428+J430+J432+J434</f>
        <v>53507</v>
      </c>
      <c r="K436" s="255">
        <f t="shared" si="66"/>
        <v>53507</v>
      </c>
      <c r="L436" s="124">
        <f>L428+L430+L432+L434</f>
        <v>0</v>
      </c>
      <c r="M436" s="256">
        <f>K436+L436</f>
        <v>53507</v>
      </c>
      <c r="N436" s="10">
        <f t="shared" si="67"/>
        <v>2153476</v>
      </c>
      <c r="O436" s="10">
        <f t="shared" si="67"/>
        <v>0</v>
      </c>
      <c r="P436" s="10">
        <f t="shared" si="67"/>
        <v>0</v>
      </c>
      <c r="Q436" s="10">
        <f t="shared" si="67"/>
        <v>0</v>
      </c>
      <c r="R436" s="10">
        <f t="shared" si="67"/>
        <v>0</v>
      </c>
      <c r="S436" s="10">
        <f t="shared" si="67"/>
        <v>0</v>
      </c>
      <c r="T436" s="124">
        <f t="shared" si="67"/>
        <v>0</v>
      </c>
      <c r="U436" s="312">
        <v>0</v>
      </c>
      <c r="V436" s="315">
        <f>V428+V430+V432+V434</f>
        <v>2153476</v>
      </c>
      <c r="W436" s="76">
        <f>M436+U436</f>
        <v>53507</v>
      </c>
      <c r="X436" s="258">
        <f>W436/$G$434</f>
        <v>0.02424440967601472</v>
      </c>
      <c r="Y436" s="413"/>
    </row>
    <row r="437" spans="1:25" ht="12.75" customHeight="1">
      <c r="A437" s="405">
        <f>A427+1</f>
        <v>44</v>
      </c>
      <c r="B437" s="405">
        <v>900</v>
      </c>
      <c r="C437" s="405">
        <v>90095</v>
      </c>
      <c r="D437" s="408" t="s">
        <v>222</v>
      </c>
      <c r="E437" s="399" t="s">
        <v>219</v>
      </c>
      <c r="F437" s="402">
        <v>2010</v>
      </c>
      <c r="G437" s="1" t="s">
        <v>9</v>
      </c>
      <c r="H437" s="241" t="s">
        <v>10</v>
      </c>
      <c r="I437" s="242"/>
      <c r="J437" s="243"/>
      <c r="K437" s="243">
        <f t="shared" si="66"/>
        <v>0</v>
      </c>
      <c r="L437" s="243"/>
      <c r="M437" s="243"/>
      <c r="N437" s="243"/>
      <c r="O437" s="243"/>
      <c r="P437" s="243"/>
      <c r="Q437" s="243"/>
      <c r="R437" s="243"/>
      <c r="S437" s="243"/>
      <c r="T437" s="2"/>
      <c r="U437" s="307"/>
      <c r="V437" s="308"/>
      <c r="W437" s="243"/>
      <c r="X437" s="260"/>
      <c r="Y437" s="411">
        <f>N445+O445+P445+Q445+R445+S445+N446+O446+P446+Q446+R446+T445+T446+S446</f>
        <v>4538460</v>
      </c>
    </row>
    <row r="438" spans="1:25" ht="16.5" customHeight="1">
      <c r="A438" s="406"/>
      <c r="B438" s="406"/>
      <c r="C438" s="406"/>
      <c r="D438" s="409"/>
      <c r="E438" s="400"/>
      <c r="F438" s="403"/>
      <c r="G438" s="414">
        <f>SUM(K445:T445)</f>
        <v>0</v>
      </c>
      <c r="H438" s="246" t="s">
        <v>11</v>
      </c>
      <c r="I438" s="247"/>
      <c r="J438" s="3">
        <v>0</v>
      </c>
      <c r="K438" s="249">
        <f t="shared" si="66"/>
        <v>0</v>
      </c>
      <c r="L438" s="3">
        <v>0</v>
      </c>
      <c r="M438" s="3">
        <v>0</v>
      </c>
      <c r="N438" s="3">
        <v>714</v>
      </c>
      <c r="O438" s="3">
        <v>849452</v>
      </c>
      <c r="P438" s="3"/>
      <c r="Q438" s="3"/>
      <c r="R438" s="3"/>
      <c r="S438" s="3"/>
      <c r="T438" s="4"/>
      <c r="U438" s="309">
        <v>0</v>
      </c>
      <c r="V438" s="310">
        <v>714</v>
      </c>
      <c r="W438" s="3">
        <f>M438+U438</f>
        <v>0</v>
      </c>
      <c r="X438" s="251">
        <f>W438/$G$444</f>
        <v>0</v>
      </c>
      <c r="Y438" s="412"/>
    </row>
    <row r="439" spans="1:25" ht="12.75">
      <c r="A439" s="406"/>
      <c r="B439" s="406"/>
      <c r="C439" s="406"/>
      <c r="D439" s="409"/>
      <c r="E439" s="400"/>
      <c r="F439" s="403"/>
      <c r="G439" s="415"/>
      <c r="H439" s="246" t="s">
        <v>12</v>
      </c>
      <c r="I439" s="247"/>
      <c r="J439" s="3"/>
      <c r="K439" s="249">
        <f t="shared" si="66"/>
        <v>0</v>
      </c>
      <c r="L439" s="3"/>
      <c r="M439" s="3"/>
      <c r="N439" s="3"/>
      <c r="O439" s="3"/>
      <c r="P439" s="3"/>
      <c r="Q439" s="3"/>
      <c r="R439" s="3"/>
      <c r="S439" s="3"/>
      <c r="T439" s="4"/>
      <c r="U439" s="309"/>
      <c r="V439" s="310"/>
      <c r="W439" s="3"/>
      <c r="X439" s="251"/>
      <c r="Y439" s="412"/>
    </row>
    <row r="440" spans="1:25" ht="12.75">
      <c r="A440" s="406"/>
      <c r="B440" s="406"/>
      <c r="C440" s="406"/>
      <c r="D440" s="409"/>
      <c r="E440" s="400"/>
      <c r="F440" s="403"/>
      <c r="G440" s="5" t="s">
        <v>13</v>
      </c>
      <c r="H440" s="246" t="s">
        <v>14</v>
      </c>
      <c r="I440" s="247"/>
      <c r="J440" s="3">
        <v>0</v>
      </c>
      <c r="K440" s="249">
        <f t="shared" si="66"/>
        <v>0</v>
      </c>
      <c r="L440" s="3">
        <v>0</v>
      </c>
      <c r="M440" s="3">
        <v>0</v>
      </c>
      <c r="N440" s="3">
        <v>777</v>
      </c>
      <c r="O440" s="3">
        <v>921297</v>
      </c>
      <c r="P440" s="3"/>
      <c r="Q440" s="3"/>
      <c r="R440" s="3"/>
      <c r="S440" s="3"/>
      <c r="T440" s="4"/>
      <c r="U440" s="309">
        <v>0</v>
      </c>
      <c r="V440" s="310">
        <v>777</v>
      </c>
      <c r="W440" s="3">
        <f>M440+U440</f>
        <v>0</v>
      </c>
      <c r="X440" s="251">
        <f>W440/$G$444</f>
        <v>0</v>
      </c>
      <c r="Y440" s="412"/>
    </row>
    <row r="441" spans="1:25" ht="14.25" customHeight="1">
      <c r="A441" s="406"/>
      <c r="B441" s="406"/>
      <c r="C441" s="406"/>
      <c r="D441" s="409"/>
      <c r="E441" s="400"/>
      <c r="F441" s="404"/>
      <c r="G441" s="414">
        <f>N446+O446</f>
        <v>4538460</v>
      </c>
      <c r="H441" s="246" t="s">
        <v>162</v>
      </c>
      <c r="I441" s="247"/>
      <c r="J441" s="3"/>
      <c r="K441" s="249">
        <f t="shared" si="66"/>
        <v>0</v>
      </c>
      <c r="L441" s="3"/>
      <c r="M441" s="3"/>
      <c r="N441" s="3"/>
      <c r="O441" s="3"/>
      <c r="P441" s="3"/>
      <c r="Q441" s="3"/>
      <c r="R441" s="3"/>
      <c r="S441" s="3"/>
      <c r="T441" s="4"/>
      <c r="U441" s="309"/>
      <c r="V441" s="310"/>
      <c r="W441" s="3"/>
      <c r="X441" s="251"/>
      <c r="Y441" s="412"/>
    </row>
    <row r="442" spans="1:25" ht="12.75">
      <c r="A442" s="406"/>
      <c r="B442" s="406"/>
      <c r="C442" s="406"/>
      <c r="D442" s="409"/>
      <c r="E442" s="400"/>
      <c r="F442" s="416">
        <v>2014</v>
      </c>
      <c r="G442" s="415"/>
      <c r="H442" s="246" t="s">
        <v>163</v>
      </c>
      <c r="I442" s="247"/>
      <c r="J442" s="3">
        <v>0</v>
      </c>
      <c r="K442" s="249">
        <f t="shared" si="66"/>
        <v>0</v>
      </c>
      <c r="L442" s="3">
        <v>0</v>
      </c>
      <c r="M442" s="3">
        <v>0</v>
      </c>
      <c r="N442" s="3">
        <v>2330</v>
      </c>
      <c r="O442" s="3">
        <v>2763890</v>
      </c>
      <c r="P442" s="3"/>
      <c r="Q442" s="3"/>
      <c r="R442" s="3"/>
      <c r="S442" s="3"/>
      <c r="T442" s="4"/>
      <c r="U442" s="309">
        <v>0</v>
      </c>
      <c r="V442" s="310">
        <v>2330</v>
      </c>
      <c r="W442" s="3">
        <f>M442+U442</f>
        <v>0</v>
      </c>
      <c r="X442" s="251">
        <f>W442/$G$444</f>
        <v>0</v>
      </c>
      <c r="Y442" s="412"/>
    </row>
    <row r="443" spans="1:25" ht="12.75">
      <c r="A443" s="406"/>
      <c r="B443" s="406"/>
      <c r="C443" s="406"/>
      <c r="D443" s="409"/>
      <c r="E443" s="400"/>
      <c r="F443" s="403"/>
      <c r="G443" s="5" t="s">
        <v>17</v>
      </c>
      <c r="H443" s="246" t="s">
        <v>15</v>
      </c>
      <c r="I443" s="247"/>
      <c r="J443" s="3"/>
      <c r="K443" s="249">
        <f t="shared" si="66"/>
        <v>0</v>
      </c>
      <c r="L443" s="3"/>
      <c r="M443" s="3"/>
      <c r="N443" s="3"/>
      <c r="O443" s="3"/>
      <c r="P443" s="3"/>
      <c r="Q443" s="3"/>
      <c r="R443" s="3"/>
      <c r="S443" s="3"/>
      <c r="T443" s="4"/>
      <c r="U443" s="309"/>
      <c r="V443" s="310"/>
      <c r="W443" s="3"/>
      <c r="X443" s="251"/>
      <c r="Y443" s="412"/>
    </row>
    <row r="444" spans="1:25" ht="14.25" customHeight="1">
      <c r="A444" s="406"/>
      <c r="B444" s="406"/>
      <c r="C444" s="406"/>
      <c r="D444" s="409"/>
      <c r="E444" s="400"/>
      <c r="F444" s="403"/>
      <c r="G444" s="414">
        <f>G438+G441</f>
        <v>4538460</v>
      </c>
      <c r="H444" s="246" t="s">
        <v>16</v>
      </c>
      <c r="I444" s="247"/>
      <c r="J444" s="3"/>
      <c r="K444" s="249">
        <f t="shared" si="66"/>
        <v>0</v>
      </c>
      <c r="L444" s="3"/>
      <c r="M444" s="3"/>
      <c r="N444" s="3"/>
      <c r="O444" s="3"/>
      <c r="P444" s="3"/>
      <c r="Q444" s="3"/>
      <c r="R444" s="3"/>
      <c r="S444" s="3"/>
      <c r="T444" s="4"/>
      <c r="U444" s="309"/>
      <c r="V444" s="310"/>
      <c r="W444" s="3"/>
      <c r="X444" s="251"/>
      <c r="Y444" s="412"/>
    </row>
    <row r="445" spans="1:25" ht="12.75">
      <c r="A445" s="406"/>
      <c r="B445" s="406"/>
      <c r="C445" s="406"/>
      <c r="D445" s="409"/>
      <c r="E445" s="400"/>
      <c r="F445" s="403"/>
      <c r="G445" s="418"/>
      <c r="H445" s="246" t="s">
        <v>18</v>
      </c>
      <c r="I445" s="252">
        <f>I437+I439+I441+I443</f>
        <v>0</v>
      </c>
      <c r="J445" s="7"/>
      <c r="K445" s="249">
        <f t="shared" si="66"/>
        <v>0</v>
      </c>
      <c r="L445" s="7">
        <f>L437+L439+L441+L443</f>
        <v>0</v>
      </c>
      <c r="M445" s="3">
        <f>K445+L445</f>
        <v>0</v>
      </c>
      <c r="N445" s="7">
        <f aca="true" t="shared" si="68" ref="N445:T446">N437+N439+N441+N443</f>
        <v>0</v>
      </c>
      <c r="O445" s="7">
        <f t="shared" si="68"/>
        <v>0</v>
      </c>
      <c r="P445" s="7">
        <f t="shared" si="68"/>
        <v>0</v>
      </c>
      <c r="Q445" s="7">
        <f t="shared" si="68"/>
        <v>0</v>
      </c>
      <c r="R445" s="7">
        <f t="shared" si="68"/>
        <v>0</v>
      </c>
      <c r="S445" s="7">
        <f t="shared" si="68"/>
        <v>0</v>
      </c>
      <c r="T445" s="123">
        <f t="shared" si="68"/>
        <v>0</v>
      </c>
      <c r="U445" s="311">
        <v>0</v>
      </c>
      <c r="V445" s="314">
        <v>0</v>
      </c>
      <c r="W445" s="3">
        <v>0</v>
      </c>
      <c r="X445" s="251">
        <v>0</v>
      </c>
      <c r="Y445" s="412"/>
    </row>
    <row r="446" spans="1:25" ht="13.5" thickBot="1">
      <c r="A446" s="407"/>
      <c r="B446" s="407"/>
      <c r="C446" s="407"/>
      <c r="D446" s="410"/>
      <c r="E446" s="401"/>
      <c r="F446" s="417"/>
      <c r="G446" s="419"/>
      <c r="H446" s="253" t="s">
        <v>19</v>
      </c>
      <c r="I446" s="254">
        <f>I438+I440+I442+I444</f>
        <v>0</v>
      </c>
      <c r="J446" s="10">
        <f>J438+J440+J442+J444</f>
        <v>0</v>
      </c>
      <c r="K446" s="255">
        <f t="shared" si="66"/>
        <v>0</v>
      </c>
      <c r="L446" s="10">
        <f>L438+L440+L442+L444</f>
        <v>0</v>
      </c>
      <c r="M446" s="76">
        <f>K446+L446</f>
        <v>0</v>
      </c>
      <c r="N446" s="10">
        <f t="shared" si="68"/>
        <v>3821</v>
      </c>
      <c r="O446" s="10">
        <f t="shared" si="68"/>
        <v>4534639</v>
      </c>
      <c r="P446" s="10">
        <f t="shared" si="68"/>
        <v>0</v>
      </c>
      <c r="Q446" s="10">
        <f t="shared" si="68"/>
        <v>0</v>
      </c>
      <c r="R446" s="10">
        <f t="shared" si="68"/>
        <v>0</v>
      </c>
      <c r="S446" s="10">
        <f t="shared" si="68"/>
        <v>0</v>
      </c>
      <c r="T446" s="124">
        <f t="shared" si="68"/>
        <v>0</v>
      </c>
      <c r="U446" s="312">
        <v>0</v>
      </c>
      <c r="V446" s="315">
        <v>3821</v>
      </c>
      <c r="W446" s="76">
        <f>M446+U446</f>
        <v>0</v>
      </c>
      <c r="X446" s="258">
        <f>W446/$G$444</f>
        <v>0</v>
      </c>
      <c r="Y446" s="413"/>
    </row>
    <row r="447" spans="1:25" ht="12.75" customHeight="1">
      <c r="A447" s="405">
        <f>A437+1</f>
        <v>45</v>
      </c>
      <c r="B447" s="405">
        <v>900</v>
      </c>
      <c r="C447" s="405">
        <v>90095</v>
      </c>
      <c r="D447" s="408" t="s">
        <v>223</v>
      </c>
      <c r="E447" s="399" t="s">
        <v>219</v>
      </c>
      <c r="F447" s="402">
        <v>2010</v>
      </c>
      <c r="G447" s="1" t="s">
        <v>9</v>
      </c>
      <c r="H447" s="241" t="s">
        <v>10</v>
      </c>
      <c r="I447" s="242"/>
      <c r="J447" s="243"/>
      <c r="K447" s="243">
        <f t="shared" si="66"/>
        <v>0</v>
      </c>
      <c r="L447" s="2"/>
      <c r="M447" s="244"/>
      <c r="N447" s="243"/>
      <c r="O447" s="243"/>
      <c r="P447" s="243"/>
      <c r="Q447" s="243"/>
      <c r="R447" s="243"/>
      <c r="S447" s="243"/>
      <c r="T447" s="2"/>
      <c r="U447" s="307"/>
      <c r="V447" s="308"/>
      <c r="W447" s="243"/>
      <c r="X447" s="260"/>
      <c r="Y447" s="411">
        <f>N455+O455+P455+Q455+R455+S455+N456+O456+P456+Q456+R456+T455+T456+S456</f>
        <v>1004126</v>
      </c>
    </row>
    <row r="448" spans="1:25" ht="12.75">
      <c r="A448" s="406"/>
      <c r="B448" s="406"/>
      <c r="C448" s="406"/>
      <c r="D448" s="409"/>
      <c r="E448" s="400"/>
      <c r="F448" s="403"/>
      <c r="G448" s="414">
        <f>SUM(K455:T455)</f>
        <v>0</v>
      </c>
      <c r="H448" s="246" t="s">
        <v>11</v>
      </c>
      <c r="I448" s="247"/>
      <c r="J448" s="3">
        <v>0</v>
      </c>
      <c r="K448" s="249">
        <f t="shared" si="66"/>
        <v>0</v>
      </c>
      <c r="L448" s="4">
        <v>0</v>
      </c>
      <c r="M448" s="250"/>
      <c r="N448" s="3"/>
      <c r="O448" s="3">
        <v>194552</v>
      </c>
      <c r="P448" s="3"/>
      <c r="Q448" s="3"/>
      <c r="R448" s="3"/>
      <c r="S448" s="3"/>
      <c r="T448" s="4"/>
      <c r="U448" s="309"/>
      <c r="V448" s="310"/>
      <c r="W448" s="3"/>
      <c r="X448" s="251"/>
      <c r="Y448" s="412"/>
    </row>
    <row r="449" spans="1:25" ht="12.75">
      <c r="A449" s="406"/>
      <c r="B449" s="406"/>
      <c r="C449" s="406"/>
      <c r="D449" s="409"/>
      <c r="E449" s="400"/>
      <c r="F449" s="403"/>
      <c r="G449" s="415"/>
      <c r="H449" s="246" t="s">
        <v>12</v>
      </c>
      <c r="I449" s="247"/>
      <c r="J449" s="3"/>
      <c r="K449" s="249">
        <f t="shared" si="66"/>
        <v>0</v>
      </c>
      <c r="L449" s="4"/>
      <c r="M449" s="250"/>
      <c r="N449" s="3"/>
      <c r="O449" s="3"/>
      <c r="P449" s="3"/>
      <c r="Q449" s="3"/>
      <c r="R449" s="3"/>
      <c r="S449" s="3"/>
      <c r="T449" s="4"/>
      <c r="U449" s="309"/>
      <c r="V449" s="310"/>
      <c r="W449" s="3"/>
      <c r="X449" s="251"/>
      <c r="Y449" s="412"/>
    </row>
    <row r="450" spans="1:25" ht="12.75">
      <c r="A450" s="406"/>
      <c r="B450" s="406"/>
      <c r="C450" s="406"/>
      <c r="D450" s="409"/>
      <c r="E450" s="400"/>
      <c r="F450" s="403"/>
      <c r="G450" s="5" t="s">
        <v>13</v>
      </c>
      <c r="H450" s="246" t="s">
        <v>14</v>
      </c>
      <c r="I450" s="247"/>
      <c r="J450" s="3">
        <v>0</v>
      </c>
      <c r="K450" s="249">
        <f t="shared" si="66"/>
        <v>0</v>
      </c>
      <c r="L450" s="4">
        <v>0</v>
      </c>
      <c r="M450" s="250"/>
      <c r="N450" s="3"/>
      <c r="O450" s="3">
        <v>202394</v>
      </c>
      <c r="P450" s="3"/>
      <c r="Q450" s="3"/>
      <c r="R450" s="3"/>
      <c r="S450" s="3"/>
      <c r="T450" s="4"/>
      <c r="U450" s="309"/>
      <c r="V450" s="310"/>
      <c r="W450" s="3"/>
      <c r="X450" s="251"/>
      <c r="Y450" s="412"/>
    </row>
    <row r="451" spans="1:25" ht="12.75">
      <c r="A451" s="406"/>
      <c r="B451" s="406"/>
      <c r="C451" s="406"/>
      <c r="D451" s="409"/>
      <c r="E451" s="400"/>
      <c r="F451" s="404"/>
      <c r="G451" s="414">
        <f>O456</f>
        <v>1004126</v>
      </c>
      <c r="H451" s="246" t="s">
        <v>162</v>
      </c>
      <c r="I451" s="247"/>
      <c r="J451" s="3"/>
      <c r="K451" s="249">
        <f t="shared" si="66"/>
        <v>0</v>
      </c>
      <c r="L451" s="4"/>
      <c r="M451" s="250"/>
      <c r="N451" s="3"/>
      <c r="O451" s="3"/>
      <c r="P451" s="3"/>
      <c r="Q451" s="3"/>
      <c r="R451" s="3"/>
      <c r="S451" s="3"/>
      <c r="T451" s="4"/>
      <c r="U451" s="309"/>
      <c r="V451" s="310"/>
      <c r="W451" s="3"/>
      <c r="X451" s="251"/>
      <c r="Y451" s="412"/>
    </row>
    <row r="452" spans="1:25" ht="12.75">
      <c r="A452" s="406"/>
      <c r="B452" s="406"/>
      <c r="C452" s="406"/>
      <c r="D452" s="409"/>
      <c r="E452" s="400"/>
      <c r="F452" s="416">
        <v>2014</v>
      </c>
      <c r="G452" s="415"/>
      <c r="H452" s="246" t="s">
        <v>163</v>
      </c>
      <c r="I452" s="247"/>
      <c r="J452" s="3">
        <v>0</v>
      </c>
      <c r="K452" s="249">
        <f t="shared" si="66"/>
        <v>0</v>
      </c>
      <c r="L452" s="4">
        <v>0</v>
      </c>
      <c r="M452" s="250"/>
      <c r="N452" s="3"/>
      <c r="O452" s="3">
        <v>607180</v>
      </c>
      <c r="P452" s="3"/>
      <c r="Q452" s="3"/>
      <c r="R452" s="3"/>
      <c r="S452" s="3"/>
      <c r="T452" s="4"/>
      <c r="U452" s="309"/>
      <c r="V452" s="310"/>
      <c r="W452" s="3"/>
      <c r="X452" s="251"/>
      <c r="Y452" s="412"/>
    </row>
    <row r="453" spans="1:25" ht="12.75">
      <c r="A453" s="406"/>
      <c r="B453" s="406"/>
      <c r="C453" s="406"/>
      <c r="D453" s="409"/>
      <c r="E453" s="400"/>
      <c r="F453" s="403"/>
      <c r="G453" s="5" t="s">
        <v>17</v>
      </c>
      <c r="H453" s="246" t="s">
        <v>15</v>
      </c>
      <c r="I453" s="247"/>
      <c r="J453" s="3"/>
      <c r="K453" s="249">
        <f t="shared" si="66"/>
        <v>0</v>
      </c>
      <c r="L453" s="4"/>
      <c r="M453" s="250"/>
      <c r="N453" s="3"/>
      <c r="O453" s="3"/>
      <c r="P453" s="3"/>
      <c r="Q453" s="3"/>
      <c r="R453" s="3"/>
      <c r="S453" s="3"/>
      <c r="T453" s="4"/>
      <c r="U453" s="309"/>
      <c r="V453" s="310"/>
      <c r="W453" s="3"/>
      <c r="X453" s="251"/>
      <c r="Y453" s="412"/>
    </row>
    <row r="454" spans="1:25" ht="12.75">
      <c r="A454" s="406"/>
      <c r="B454" s="406"/>
      <c r="C454" s="406"/>
      <c r="D454" s="409"/>
      <c r="E454" s="400"/>
      <c r="F454" s="403"/>
      <c r="G454" s="414">
        <f>G448+G451</f>
        <v>1004126</v>
      </c>
      <c r="H454" s="246" t="s">
        <v>16</v>
      </c>
      <c r="I454" s="247"/>
      <c r="J454" s="3"/>
      <c r="K454" s="249">
        <f t="shared" si="66"/>
        <v>0</v>
      </c>
      <c r="L454" s="4"/>
      <c r="M454" s="250"/>
      <c r="N454" s="3"/>
      <c r="O454" s="3"/>
      <c r="P454" s="3"/>
      <c r="Q454" s="3"/>
      <c r="R454" s="3"/>
      <c r="S454" s="3"/>
      <c r="T454" s="4"/>
      <c r="U454" s="309"/>
      <c r="V454" s="310"/>
      <c r="W454" s="3"/>
      <c r="X454" s="251"/>
      <c r="Y454" s="412"/>
    </row>
    <row r="455" spans="1:25" ht="12.75">
      <c r="A455" s="406"/>
      <c r="B455" s="406"/>
      <c r="C455" s="406"/>
      <c r="D455" s="409"/>
      <c r="E455" s="400"/>
      <c r="F455" s="403"/>
      <c r="G455" s="418"/>
      <c r="H455" s="246" t="s">
        <v>18</v>
      </c>
      <c r="I455" s="252">
        <f>I447+I449+I451+I453</f>
        <v>0</v>
      </c>
      <c r="J455" s="7">
        <f>J447+J449+J451+J453</f>
        <v>0</v>
      </c>
      <c r="K455" s="249">
        <f t="shared" si="66"/>
        <v>0</v>
      </c>
      <c r="L455" s="123">
        <f>L447+L449+L451+L453</f>
        <v>0</v>
      </c>
      <c r="M455" s="250">
        <f>K455+L455</f>
        <v>0</v>
      </c>
      <c r="N455" s="7">
        <f aca="true" t="shared" si="69" ref="N455:T456">N447+N449+N451+N453</f>
        <v>0</v>
      </c>
      <c r="O455" s="7">
        <f t="shared" si="69"/>
        <v>0</v>
      </c>
      <c r="P455" s="7">
        <f t="shared" si="69"/>
        <v>0</v>
      </c>
      <c r="Q455" s="7">
        <f t="shared" si="69"/>
        <v>0</v>
      </c>
      <c r="R455" s="7">
        <f t="shared" si="69"/>
        <v>0</v>
      </c>
      <c r="S455" s="7">
        <f t="shared" si="69"/>
        <v>0</v>
      </c>
      <c r="T455" s="123">
        <f t="shared" si="69"/>
        <v>0</v>
      </c>
      <c r="U455" s="311">
        <v>0</v>
      </c>
      <c r="V455" s="314">
        <v>0</v>
      </c>
      <c r="W455" s="3">
        <f>M455+U455</f>
        <v>0</v>
      </c>
      <c r="X455" s="251">
        <f>W455/$G$454</f>
        <v>0</v>
      </c>
      <c r="Y455" s="412"/>
    </row>
    <row r="456" spans="1:25" ht="13.5" thickBot="1">
      <c r="A456" s="407"/>
      <c r="B456" s="407"/>
      <c r="C456" s="407"/>
      <c r="D456" s="410"/>
      <c r="E456" s="401"/>
      <c r="F456" s="417"/>
      <c r="G456" s="419"/>
      <c r="H456" s="253" t="s">
        <v>19</v>
      </c>
      <c r="I456" s="254">
        <f>I448+I450+I452+I454</f>
        <v>0</v>
      </c>
      <c r="J456" s="10">
        <f>J448+J450+J452+J454</f>
        <v>0</v>
      </c>
      <c r="K456" s="255">
        <f t="shared" si="66"/>
        <v>0</v>
      </c>
      <c r="L456" s="124">
        <f>L448+L450+L452+L454</f>
        <v>0</v>
      </c>
      <c r="M456" s="256">
        <f>K456+L456</f>
        <v>0</v>
      </c>
      <c r="N456" s="10">
        <f t="shared" si="69"/>
        <v>0</v>
      </c>
      <c r="O456" s="10">
        <f t="shared" si="69"/>
        <v>1004126</v>
      </c>
      <c r="P456" s="10">
        <f t="shared" si="69"/>
        <v>0</v>
      </c>
      <c r="Q456" s="10">
        <f t="shared" si="69"/>
        <v>0</v>
      </c>
      <c r="R456" s="10">
        <f t="shared" si="69"/>
        <v>0</v>
      </c>
      <c r="S456" s="10">
        <f t="shared" si="69"/>
        <v>0</v>
      </c>
      <c r="T456" s="124">
        <f t="shared" si="69"/>
        <v>0</v>
      </c>
      <c r="U456" s="312">
        <v>0</v>
      </c>
      <c r="V456" s="315">
        <v>0</v>
      </c>
      <c r="W456" s="76">
        <f>M456+U456</f>
        <v>0</v>
      </c>
      <c r="X456" s="258">
        <f>W456/$G$454</f>
        <v>0</v>
      </c>
      <c r="Y456" s="413"/>
    </row>
    <row r="457" spans="1:25" ht="14.25" customHeight="1">
      <c r="A457" s="405">
        <f>A447+1</f>
        <v>46</v>
      </c>
      <c r="B457" s="405">
        <v>900</v>
      </c>
      <c r="C457" s="405">
        <v>90095</v>
      </c>
      <c r="D457" s="408" t="s">
        <v>224</v>
      </c>
      <c r="E457" s="399" t="s">
        <v>219</v>
      </c>
      <c r="F457" s="402">
        <v>2010</v>
      </c>
      <c r="G457" s="1" t="s">
        <v>9</v>
      </c>
      <c r="H457" s="241" t="s">
        <v>10</v>
      </c>
      <c r="I457" s="242"/>
      <c r="J457" s="243"/>
      <c r="K457" s="243">
        <f t="shared" si="66"/>
        <v>0</v>
      </c>
      <c r="L457" s="243"/>
      <c r="M457" s="243"/>
      <c r="N457" s="243"/>
      <c r="O457" s="243"/>
      <c r="P457" s="243"/>
      <c r="Q457" s="243"/>
      <c r="R457" s="243"/>
      <c r="S457" s="243"/>
      <c r="T457" s="2"/>
      <c r="U457" s="307"/>
      <c r="V457" s="308"/>
      <c r="W457" s="243"/>
      <c r="X457" s="260"/>
      <c r="Y457" s="411">
        <f>N465+O465+P465+Q465+R465+S465+N466+O466+P466+Q466+R466+T465+T466+S466</f>
        <v>4291914</v>
      </c>
    </row>
    <row r="458" spans="1:25" ht="12.75">
      <c r="A458" s="406"/>
      <c r="B458" s="406"/>
      <c r="C458" s="406"/>
      <c r="D458" s="409"/>
      <c r="E458" s="400"/>
      <c r="F458" s="403"/>
      <c r="G458" s="414">
        <v>0</v>
      </c>
      <c r="H458" s="246" t="s">
        <v>11</v>
      </c>
      <c r="I458" s="247"/>
      <c r="J458" s="3">
        <v>5290</v>
      </c>
      <c r="K458" s="249">
        <f t="shared" si="66"/>
        <v>5290</v>
      </c>
      <c r="L458" s="3">
        <v>9200</v>
      </c>
      <c r="M458" s="3">
        <f>K458+L458</f>
        <v>14490</v>
      </c>
      <c r="N458" s="3">
        <v>714</v>
      </c>
      <c r="O458" s="3">
        <v>772741</v>
      </c>
      <c r="P458" s="3"/>
      <c r="Q458" s="3"/>
      <c r="R458" s="3"/>
      <c r="S458" s="3"/>
      <c r="T458" s="4"/>
      <c r="U458" s="309">
        <v>0</v>
      </c>
      <c r="V458" s="310">
        <v>714</v>
      </c>
      <c r="W458" s="3">
        <f>M458+U458</f>
        <v>14490</v>
      </c>
      <c r="X458" s="251">
        <f>W458/$G$464</f>
        <v>0.0332031787059697</v>
      </c>
      <c r="Y458" s="412"/>
    </row>
    <row r="459" spans="1:25" ht="12.75">
      <c r="A459" s="406"/>
      <c r="B459" s="406"/>
      <c r="C459" s="406"/>
      <c r="D459" s="409"/>
      <c r="E459" s="400"/>
      <c r="F459" s="403"/>
      <c r="G459" s="415"/>
      <c r="H459" s="246" t="s">
        <v>12</v>
      </c>
      <c r="I459" s="247"/>
      <c r="J459" s="3"/>
      <c r="K459" s="249">
        <f t="shared" si="66"/>
        <v>0</v>
      </c>
      <c r="L459" s="3"/>
      <c r="M459" s="3"/>
      <c r="N459" s="3"/>
      <c r="O459" s="3"/>
      <c r="P459" s="3"/>
      <c r="Q459" s="3"/>
      <c r="R459" s="3"/>
      <c r="S459" s="3"/>
      <c r="T459" s="4"/>
      <c r="U459" s="309"/>
      <c r="V459" s="310"/>
      <c r="W459" s="3"/>
      <c r="X459" s="251"/>
      <c r="Y459" s="412"/>
    </row>
    <row r="460" spans="1:25" ht="12.75">
      <c r="A460" s="406"/>
      <c r="B460" s="406"/>
      <c r="C460" s="406"/>
      <c r="D460" s="409"/>
      <c r="E460" s="400"/>
      <c r="F460" s="403"/>
      <c r="G460" s="5" t="s">
        <v>13</v>
      </c>
      <c r="H460" s="246" t="s">
        <v>14</v>
      </c>
      <c r="I460" s="247"/>
      <c r="J460" s="3">
        <v>5750</v>
      </c>
      <c r="K460" s="249">
        <f t="shared" si="66"/>
        <v>5750</v>
      </c>
      <c r="L460" s="3">
        <v>10000</v>
      </c>
      <c r="M460" s="3">
        <f>K460+L460</f>
        <v>15750</v>
      </c>
      <c r="N460" s="3">
        <v>777</v>
      </c>
      <c r="O460" s="3">
        <v>878838</v>
      </c>
      <c r="P460" s="3"/>
      <c r="Q460" s="3"/>
      <c r="R460" s="3"/>
      <c r="S460" s="3"/>
      <c r="T460" s="4"/>
      <c r="U460" s="309">
        <v>0</v>
      </c>
      <c r="V460" s="310">
        <v>777</v>
      </c>
      <c r="W460" s="3">
        <f>M460+U460</f>
        <v>15750</v>
      </c>
      <c r="X460" s="251">
        <f>W460/$G$464</f>
        <v>0.036090411636923586</v>
      </c>
      <c r="Y460" s="412"/>
    </row>
    <row r="461" spans="1:25" ht="12.75">
      <c r="A461" s="406"/>
      <c r="B461" s="406"/>
      <c r="C461" s="406"/>
      <c r="D461" s="409"/>
      <c r="E461" s="400"/>
      <c r="F461" s="404"/>
      <c r="G461" s="414">
        <v>436404</v>
      </c>
      <c r="H461" s="246" t="s">
        <v>162</v>
      </c>
      <c r="I461" s="247"/>
      <c r="J461" s="3"/>
      <c r="K461" s="249">
        <f t="shared" si="66"/>
        <v>0</v>
      </c>
      <c r="L461" s="3"/>
      <c r="M461" s="3"/>
      <c r="N461" s="3"/>
      <c r="O461" s="3"/>
      <c r="P461" s="3"/>
      <c r="Q461" s="3"/>
      <c r="R461" s="3"/>
      <c r="S461" s="3"/>
      <c r="T461" s="4"/>
      <c r="U461" s="309"/>
      <c r="V461" s="310"/>
      <c r="W461" s="3"/>
      <c r="X461" s="251"/>
      <c r="Y461" s="412"/>
    </row>
    <row r="462" spans="1:25" ht="12.75" customHeight="1">
      <c r="A462" s="406"/>
      <c r="B462" s="406"/>
      <c r="C462" s="406"/>
      <c r="D462" s="409"/>
      <c r="E462" s="400"/>
      <c r="F462" s="416">
        <v>2014</v>
      </c>
      <c r="G462" s="415"/>
      <c r="H462" s="246" t="s">
        <v>163</v>
      </c>
      <c r="I462" s="247"/>
      <c r="J462" s="3">
        <v>17250</v>
      </c>
      <c r="K462" s="249">
        <f t="shared" si="66"/>
        <v>17250</v>
      </c>
      <c r="L462" s="3">
        <v>30000</v>
      </c>
      <c r="M462" s="3">
        <f>K462+L462</f>
        <v>47250</v>
      </c>
      <c r="N462" s="3">
        <v>2330</v>
      </c>
      <c r="O462" s="3">
        <v>2636514</v>
      </c>
      <c r="P462" s="3"/>
      <c r="Q462" s="3"/>
      <c r="R462" s="3"/>
      <c r="S462" s="3"/>
      <c r="T462" s="4"/>
      <c r="U462" s="309">
        <v>0</v>
      </c>
      <c r="V462" s="310">
        <v>2330</v>
      </c>
      <c r="W462" s="3">
        <f>M462+U462</f>
        <v>47250</v>
      </c>
      <c r="X462" s="251">
        <f>W462/$G$464</f>
        <v>0.10827123491077076</v>
      </c>
      <c r="Y462" s="412"/>
    </row>
    <row r="463" spans="1:25" ht="12" customHeight="1">
      <c r="A463" s="406"/>
      <c r="B463" s="406"/>
      <c r="C463" s="406"/>
      <c r="D463" s="409"/>
      <c r="E463" s="400"/>
      <c r="F463" s="403"/>
      <c r="G463" s="5" t="s">
        <v>17</v>
      </c>
      <c r="H463" s="246" t="s">
        <v>15</v>
      </c>
      <c r="I463" s="247"/>
      <c r="J463" s="3"/>
      <c r="K463" s="249">
        <f t="shared" si="66"/>
        <v>0</v>
      </c>
      <c r="L463" s="3"/>
      <c r="M463" s="3"/>
      <c r="N463" s="3"/>
      <c r="O463" s="3"/>
      <c r="P463" s="3"/>
      <c r="Q463" s="3"/>
      <c r="R463" s="3"/>
      <c r="S463" s="3"/>
      <c r="T463" s="4"/>
      <c r="U463" s="309"/>
      <c r="V463" s="310"/>
      <c r="W463" s="3"/>
      <c r="X463" s="251"/>
      <c r="Y463" s="412"/>
    </row>
    <row r="464" spans="1:25" ht="12.75">
      <c r="A464" s="406"/>
      <c r="B464" s="406"/>
      <c r="C464" s="406"/>
      <c r="D464" s="409"/>
      <c r="E464" s="400"/>
      <c r="F464" s="403"/>
      <c r="G464" s="414">
        <f>G458+G461</f>
        <v>436404</v>
      </c>
      <c r="H464" s="246" t="s">
        <v>16</v>
      </c>
      <c r="I464" s="247"/>
      <c r="J464" s="3"/>
      <c r="K464" s="249">
        <f t="shared" si="66"/>
        <v>0</v>
      </c>
      <c r="L464" s="3"/>
      <c r="M464" s="3"/>
      <c r="N464" s="3"/>
      <c r="O464" s="3"/>
      <c r="P464" s="3"/>
      <c r="Q464" s="3"/>
      <c r="R464" s="3"/>
      <c r="S464" s="3"/>
      <c r="T464" s="4"/>
      <c r="U464" s="309"/>
      <c r="V464" s="310"/>
      <c r="W464" s="3"/>
      <c r="X464" s="251"/>
      <c r="Y464" s="412"/>
    </row>
    <row r="465" spans="1:25" ht="12.75">
      <c r="A465" s="406"/>
      <c r="B465" s="406"/>
      <c r="C465" s="406"/>
      <c r="D465" s="409"/>
      <c r="E465" s="400"/>
      <c r="F465" s="403"/>
      <c r="G465" s="418"/>
      <c r="H465" s="246" t="s">
        <v>18</v>
      </c>
      <c r="I465" s="252">
        <f>I457+I459+I461+I463</f>
        <v>0</v>
      </c>
      <c r="J465" s="7">
        <f>J457+J459+J461+J463</f>
        <v>0</v>
      </c>
      <c r="K465" s="249">
        <f>I465+J465</f>
        <v>0</v>
      </c>
      <c r="L465" s="7">
        <f>L457+L459+L461+L463</f>
        <v>0</v>
      </c>
      <c r="M465" s="3">
        <f>K465+L465</f>
        <v>0</v>
      </c>
      <c r="N465" s="7">
        <f aca="true" t="shared" si="70" ref="N465:T466">N457+N459+N461+N463</f>
        <v>0</v>
      </c>
      <c r="O465" s="7">
        <f t="shared" si="70"/>
        <v>0</v>
      </c>
      <c r="P465" s="7">
        <f t="shared" si="70"/>
        <v>0</v>
      </c>
      <c r="Q465" s="7">
        <f t="shared" si="70"/>
        <v>0</v>
      </c>
      <c r="R465" s="7">
        <f t="shared" si="70"/>
        <v>0</v>
      </c>
      <c r="S465" s="7">
        <f t="shared" si="70"/>
        <v>0</v>
      </c>
      <c r="T465" s="123">
        <f t="shared" si="70"/>
        <v>0</v>
      </c>
      <c r="U465" s="311">
        <v>0</v>
      </c>
      <c r="V465" s="314">
        <v>0</v>
      </c>
      <c r="W465" s="3">
        <f>M465+U465</f>
        <v>0</v>
      </c>
      <c r="X465" s="251">
        <f>W465/$G$464</f>
        <v>0</v>
      </c>
      <c r="Y465" s="412"/>
    </row>
    <row r="466" spans="1:25" ht="12.75" customHeight="1" thickBot="1">
      <c r="A466" s="407"/>
      <c r="B466" s="407"/>
      <c r="C466" s="407"/>
      <c r="D466" s="410"/>
      <c r="E466" s="401"/>
      <c r="F466" s="417"/>
      <c r="G466" s="419"/>
      <c r="H466" s="253" t="s">
        <v>19</v>
      </c>
      <c r="I466" s="254">
        <f>I458+I460+I462+I464</f>
        <v>0</v>
      </c>
      <c r="J466" s="10">
        <f>J458+J460+J462+J464</f>
        <v>28290</v>
      </c>
      <c r="K466" s="255">
        <f>K458+K460+K464+K462</f>
        <v>28290</v>
      </c>
      <c r="L466" s="10">
        <f>L458+L460+L462+L464</f>
        <v>49200</v>
      </c>
      <c r="M466" s="76">
        <f>K466+L466</f>
        <v>77490</v>
      </c>
      <c r="N466" s="10">
        <f t="shared" si="70"/>
        <v>3821</v>
      </c>
      <c r="O466" s="10">
        <f t="shared" si="70"/>
        <v>4288093</v>
      </c>
      <c r="P466" s="10">
        <f t="shared" si="70"/>
        <v>0</v>
      </c>
      <c r="Q466" s="10">
        <f t="shared" si="70"/>
        <v>0</v>
      </c>
      <c r="R466" s="10">
        <f t="shared" si="70"/>
        <v>0</v>
      </c>
      <c r="S466" s="10">
        <f t="shared" si="70"/>
        <v>0</v>
      </c>
      <c r="T466" s="124">
        <f t="shared" si="70"/>
        <v>0</v>
      </c>
      <c r="U466" s="312">
        <v>0</v>
      </c>
      <c r="V466" s="315">
        <f>V458+V460+V462+V464</f>
        <v>3821</v>
      </c>
      <c r="W466" s="76">
        <f>M466+U466</f>
        <v>77490</v>
      </c>
      <c r="X466" s="258">
        <f>W466/$G$464</f>
        <v>0.17756482525366404</v>
      </c>
      <c r="Y466" s="413"/>
    </row>
    <row r="467" spans="1:25" ht="14.25" customHeight="1">
      <c r="A467" s="405">
        <f>A457+1</f>
        <v>47</v>
      </c>
      <c r="B467" s="405">
        <v>926</v>
      </c>
      <c r="C467" s="405">
        <v>92605</v>
      </c>
      <c r="D467" s="408" t="s">
        <v>225</v>
      </c>
      <c r="E467" s="399" t="s">
        <v>226</v>
      </c>
      <c r="F467" s="402">
        <v>2012</v>
      </c>
      <c r="G467" s="1" t="s">
        <v>9</v>
      </c>
      <c r="H467" s="241" t="s">
        <v>10</v>
      </c>
      <c r="I467" s="242"/>
      <c r="J467" s="243"/>
      <c r="K467" s="243">
        <f aca="true" t="shared" si="71" ref="K467:K475">I467+J467</f>
        <v>0</v>
      </c>
      <c r="L467" s="2">
        <v>8126</v>
      </c>
      <c r="M467" s="244">
        <f>K467+L467</f>
        <v>8126</v>
      </c>
      <c r="N467" s="243">
        <v>30866</v>
      </c>
      <c r="O467" s="243"/>
      <c r="P467" s="243"/>
      <c r="Q467" s="243"/>
      <c r="R467" s="243"/>
      <c r="S467" s="243"/>
      <c r="T467" s="2"/>
      <c r="U467" s="307">
        <v>9416</v>
      </c>
      <c r="V467" s="308">
        <v>30866</v>
      </c>
      <c r="W467" s="243">
        <f>M467+U467</f>
        <v>17542</v>
      </c>
      <c r="X467" s="260">
        <f>W467/$G$474</f>
        <v>0.06748558304512248</v>
      </c>
      <c r="Y467" s="411">
        <f>N475+O475+P475+Q475+R475+S475+N476+O476+P476+Q476+R476+T475+T476+S476</f>
        <v>205768</v>
      </c>
    </row>
    <row r="468" spans="1:25" ht="12.75">
      <c r="A468" s="406"/>
      <c r="B468" s="406"/>
      <c r="C468" s="406"/>
      <c r="D468" s="409"/>
      <c r="E468" s="400"/>
      <c r="F468" s="403"/>
      <c r="G468" s="414">
        <f>M475+N475</f>
        <v>259937</v>
      </c>
      <c r="H468" s="246" t="s">
        <v>11</v>
      </c>
      <c r="I468" s="247"/>
      <c r="J468" s="3"/>
      <c r="K468" s="249">
        <f t="shared" si="71"/>
        <v>0</v>
      </c>
      <c r="L468" s="4"/>
      <c r="M468" s="250"/>
      <c r="N468" s="3"/>
      <c r="O468" s="3"/>
      <c r="P468" s="3"/>
      <c r="Q468" s="3"/>
      <c r="R468" s="3"/>
      <c r="S468" s="3"/>
      <c r="T468" s="4"/>
      <c r="U468" s="309"/>
      <c r="V468" s="310"/>
      <c r="W468" s="3"/>
      <c r="X468" s="251"/>
      <c r="Y468" s="412"/>
    </row>
    <row r="469" spans="1:25" ht="12.75">
      <c r="A469" s="406"/>
      <c r="B469" s="406"/>
      <c r="C469" s="406"/>
      <c r="D469" s="409"/>
      <c r="E469" s="400"/>
      <c r="F469" s="403"/>
      <c r="G469" s="415"/>
      <c r="H469" s="246" t="s">
        <v>12</v>
      </c>
      <c r="I469" s="247"/>
      <c r="J469" s="3"/>
      <c r="K469" s="249">
        <f t="shared" si="71"/>
        <v>0</v>
      </c>
      <c r="L469" s="4"/>
      <c r="M469" s="250"/>
      <c r="N469" s="3"/>
      <c r="O469" s="3"/>
      <c r="P469" s="3"/>
      <c r="Q469" s="3"/>
      <c r="R469" s="3"/>
      <c r="S469" s="3"/>
      <c r="T469" s="4"/>
      <c r="U469" s="309"/>
      <c r="V469" s="310"/>
      <c r="W469" s="3"/>
      <c r="X469" s="251"/>
      <c r="Y469" s="412"/>
    </row>
    <row r="470" spans="1:25" ht="12.75">
      <c r="A470" s="406"/>
      <c r="B470" s="406"/>
      <c r="C470" s="406"/>
      <c r="D470" s="409"/>
      <c r="E470" s="400"/>
      <c r="F470" s="403"/>
      <c r="G470" s="5" t="s">
        <v>13</v>
      </c>
      <c r="H470" s="246" t="s">
        <v>14</v>
      </c>
      <c r="I470" s="247"/>
      <c r="J470" s="3"/>
      <c r="K470" s="249">
        <f t="shared" si="71"/>
        <v>0</v>
      </c>
      <c r="L470" s="4"/>
      <c r="M470" s="250"/>
      <c r="N470" s="3"/>
      <c r="O470" s="3"/>
      <c r="P470" s="3"/>
      <c r="Q470" s="3"/>
      <c r="R470" s="3"/>
      <c r="S470" s="3"/>
      <c r="T470" s="4"/>
      <c r="U470" s="309"/>
      <c r="V470" s="310"/>
      <c r="W470" s="3"/>
      <c r="X470" s="251"/>
      <c r="Y470" s="412"/>
    </row>
    <row r="471" spans="1:25" ht="12.75">
      <c r="A471" s="406"/>
      <c r="B471" s="406"/>
      <c r="C471" s="406"/>
      <c r="D471" s="409"/>
      <c r="E471" s="400"/>
      <c r="F471" s="404"/>
      <c r="G471" s="414">
        <f>SUM(K476:T476)</f>
        <v>0</v>
      </c>
      <c r="H471" s="246" t="s">
        <v>162</v>
      </c>
      <c r="I471" s="247"/>
      <c r="J471" s="3"/>
      <c r="K471" s="249">
        <f t="shared" si="71"/>
        <v>0</v>
      </c>
      <c r="L471" s="4">
        <v>46043</v>
      </c>
      <c r="M471" s="250">
        <f>K471+L471</f>
        <v>46043</v>
      </c>
      <c r="N471" s="3">
        <v>174902</v>
      </c>
      <c r="O471" s="3"/>
      <c r="P471" s="3"/>
      <c r="Q471" s="3"/>
      <c r="R471" s="3"/>
      <c r="S471" s="3"/>
      <c r="T471" s="4"/>
      <c r="U471" s="309">
        <v>53356</v>
      </c>
      <c r="V471" s="310">
        <v>174902</v>
      </c>
      <c r="W471" s="3">
        <f>M471+U471</f>
        <v>99399</v>
      </c>
      <c r="X471" s="251">
        <f>W471/$G$474</f>
        <v>0.38239650376822076</v>
      </c>
      <c r="Y471" s="412"/>
    </row>
    <row r="472" spans="1:25" ht="12.75" customHeight="1">
      <c r="A472" s="406"/>
      <c r="B472" s="406"/>
      <c r="C472" s="406"/>
      <c r="D472" s="409"/>
      <c r="E472" s="400"/>
      <c r="F472" s="416">
        <v>2013</v>
      </c>
      <c r="G472" s="415"/>
      <c r="H472" s="246" t="s">
        <v>163</v>
      </c>
      <c r="I472" s="247"/>
      <c r="J472" s="3"/>
      <c r="K472" s="249">
        <f t="shared" si="71"/>
        <v>0</v>
      </c>
      <c r="L472" s="4"/>
      <c r="M472" s="250"/>
      <c r="N472" s="3"/>
      <c r="O472" s="3"/>
      <c r="P472" s="3"/>
      <c r="Q472" s="3"/>
      <c r="R472" s="3"/>
      <c r="S472" s="3"/>
      <c r="T472" s="4"/>
      <c r="U472" s="309"/>
      <c r="V472" s="310"/>
      <c r="W472" s="3"/>
      <c r="X472" s="251"/>
      <c r="Y472" s="412"/>
    </row>
    <row r="473" spans="1:25" ht="12" customHeight="1">
      <c r="A473" s="406"/>
      <c r="B473" s="406"/>
      <c r="C473" s="406"/>
      <c r="D473" s="409"/>
      <c r="E473" s="400"/>
      <c r="F473" s="403"/>
      <c r="G473" s="5" t="s">
        <v>17</v>
      </c>
      <c r="H473" s="246" t="s">
        <v>15</v>
      </c>
      <c r="I473" s="247"/>
      <c r="J473" s="3"/>
      <c r="K473" s="249">
        <f t="shared" si="71"/>
        <v>0</v>
      </c>
      <c r="L473" s="4"/>
      <c r="M473" s="250"/>
      <c r="N473" s="3"/>
      <c r="O473" s="3"/>
      <c r="P473" s="3"/>
      <c r="Q473" s="3"/>
      <c r="R473" s="3"/>
      <c r="S473" s="3"/>
      <c r="T473" s="4"/>
      <c r="U473" s="309"/>
      <c r="V473" s="310"/>
      <c r="W473" s="3"/>
      <c r="X473" s="251"/>
      <c r="Y473" s="412"/>
    </row>
    <row r="474" spans="1:25" ht="12.75">
      <c r="A474" s="406"/>
      <c r="B474" s="406"/>
      <c r="C474" s="406"/>
      <c r="D474" s="409"/>
      <c r="E474" s="400"/>
      <c r="F474" s="403"/>
      <c r="G474" s="414">
        <f>G468+G471</f>
        <v>259937</v>
      </c>
      <c r="H474" s="246" t="s">
        <v>16</v>
      </c>
      <c r="I474" s="247"/>
      <c r="J474" s="3"/>
      <c r="K474" s="249">
        <f t="shared" si="71"/>
        <v>0</v>
      </c>
      <c r="L474" s="4"/>
      <c r="M474" s="250"/>
      <c r="N474" s="3"/>
      <c r="O474" s="3"/>
      <c r="P474" s="3"/>
      <c r="Q474" s="3"/>
      <c r="R474" s="3"/>
      <c r="S474" s="3"/>
      <c r="T474" s="4"/>
      <c r="U474" s="309"/>
      <c r="V474" s="310"/>
      <c r="W474" s="3"/>
      <c r="X474" s="251"/>
      <c r="Y474" s="412"/>
    </row>
    <row r="475" spans="1:25" ht="12.75">
      <c r="A475" s="406"/>
      <c r="B475" s="406"/>
      <c r="C475" s="406"/>
      <c r="D475" s="409"/>
      <c r="E475" s="400"/>
      <c r="F475" s="403"/>
      <c r="G475" s="418"/>
      <c r="H475" s="246" t="s">
        <v>18</v>
      </c>
      <c r="I475" s="252">
        <f>I467+I469+I471+I473</f>
        <v>0</v>
      </c>
      <c r="J475" s="7">
        <f>J467+J469+J471+J473</f>
        <v>0</v>
      </c>
      <c r="K475" s="249">
        <f t="shared" si="71"/>
        <v>0</v>
      </c>
      <c r="L475" s="123">
        <f>L467+L469+L471+L473</f>
        <v>54169</v>
      </c>
      <c r="M475" s="250">
        <f>K475+L475</f>
        <v>54169</v>
      </c>
      <c r="N475" s="7">
        <f aca="true" t="shared" si="72" ref="N475:T476">N467+N469+N471+N473</f>
        <v>205768</v>
      </c>
      <c r="O475" s="7">
        <f t="shared" si="72"/>
        <v>0</v>
      </c>
      <c r="P475" s="7">
        <f t="shared" si="72"/>
        <v>0</v>
      </c>
      <c r="Q475" s="7">
        <f t="shared" si="72"/>
        <v>0</v>
      </c>
      <c r="R475" s="7">
        <f t="shared" si="72"/>
        <v>0</v>
      </c>
      <c r="S475" s="7">
        <f t="shared" si="72"/>
        <v>0</v>
      </c>
      <c r="T475" s="123">
        <f t="shared" si="72"/>
        <v>0</v>
      </c>
      <c r="U475" s="311">
        <v>62772</v>
      </c>
      <c r="V475" s="314">
        <v>205768</v>
      </c>
      <c r="W475" s="3">
        <f>M475+U475</f>
        <v>116941</v>
      </c>
      <c r="X475" s="251">
        <f>W475/$G$474</f>
        <v>0.44988208681334324</v>
      </c>
      <c r="Y475" s="412"/>
    </row>
    <row r="476" spans="1:25" ht="12.75" customHeight="1" thickBot="1">
      <c r="A476" s="407"/>
      <c r="B476" s="407"/>
      <c r="C476" s="407"/>
      <c r="D476" s="410"/>
      <c r="E476" s="401"/>
      <c r="F476" s="417"/>
      <c r="G476" s="419"/>
      <c r="H476" s="253" t="s">
        <v>19</v>
      </c>
      <c r="I476" s="254">
        <f>I468+I470+I472+I474</f>
        <v>0</v>
      </c>
      <c r="J476" s="10">
        <f>J468+J470+J472+J474</f>
        <v>0</v>
      </c>
      <c r="K476" s="255">
        <f>K468+K470+K474+K472</f>
        <v>0</v>
      </c>
      <c r="L476" s="124">
        <f>L468+L470+L472+L474</f>
        <v>0</v>
      </c>
      <c r="M476" s="256">
        <f>K476+L476</f>
        <v>0</v>
      </c>
      <c r="N476" s="10">
        <f t="shared" si="72"/>
        <v>0</v>
      </c>
      <c r="O476" s="10">
        <f t="shared" si="72"/>
        <v>0</v>
      </c>
      <c r="P476" s="10">
        <f t="shared" si="72"/>
        <v>0</v>
      </c>
      <c r="Q476" s="10">
        <f t="shared" si="72"/>
        <v>0</v>
      </c>
      <c r="R476" s="10">
        <f t="shared" si="72"/>
        <v>0</v>
      </c>
      <c r="S476" s="10">
        <f t="shared" si="72"/>
        <v>0</v>
      </c>
      <c r="T476" s="124">
        <f t="shared" si="72"/>
        <v>0</v>
      </c>
      <c r="U476" s="312">
        <v>0</v>
      </c>
      <c r="V476" s="315">
        <v>0</v>
      </c>
      <c r="W476" s="76">
        <f>M476+U476</f>
        <v>0</v>
      </c>
      <c r="X476" s="258">
        <f>W476/$G$474</f>
        <v>0</v>
      </c>
      <c r="Y476" s="413"/>
    </row>
    <row r="477" spans="1:25" ht="12.75">
      <c r="A477" s="298"/>
      <c r="B477" s="298"/>
      <c r="C477" s="298"/>
      <c r="D477" s="299"/>
      <c r="E477" s="300"/>
      <c r="F477" s="301"/>
      <c r="G477" s="302"/>
      <c r="H477" s="303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332"/>
      <c r="V477" s="332"/>
      <c r="W477" s="84"/>
      <c r="X477" s="84"/>
      <c r="Y477" s="304"/>
    </row>
    <row r="478" spans="9:25" ht="12.75">
      <c r="I478" s="82"/>
      <c r="J478" s="82"/>
      <c r="K478" s="82"/>
      <c r="L478" s="82"/>
      <c r="M478" s="82"/>
      <c r="N478" s="82"/>
      <c r="O478" s="82"/>
      <c r="P478" s="305"/>
      <c r="Q478" s="305"/>
      <c r="R478" s="305"/>
      <c r="S478" s="305"/>
      <c r="T478" s="305"/>
      <c r="U478" s="333"/>
      <c r="V478" s="333"/>
      <c r="W478" s="305"/>
      <c r="X478" s="305"/>
      <c r="Y478" s="305"/>
    </row>
    <row r="479" spans="1:25" ht="12.75">
      <c r="A479" s="397" t="s">
        <v>233</v>
      </c>
      <c r="B479" s="397"/>
      <c r="C479" s="397"/>
      <c r="D479" s="397"/>
      <c r="E479" s="397"/>
      <c r="F479" s="397"/>
      <c r="G479" s="397"/>
      <c r="H479" s="397"/>
      <c r="I479" s="397"/>
      <c r="J479" s="397"/>
      <c r="K479" s="397"/>
      <c r="L479" s="397"/>
      <c r="M479" s="397"/>
      <c r="N479" s="397"/>
      <c r="O479" s="397"/>
      <c r="P479" s="397"/>
      <c r="Q479" s="397"/>
      <c r="R479" s="397"/>
      <c r="S479" s="397"/>
      <c r="T479" s="397"/>
      <c r="U479" s="397"/>
      <c r="V479" s="397"/>
      <c r="W479" s="397"/>
      <c r="X479" s="397"/>
      <c r="Y479" s="305"/>
    </row>
    <row r="480" spans="9:25" ht="12.75">
      <c r="I480" s="82"/>
      <c r="J480" s="82"/>
      <c r="K480" s="82"/>
      <c r="L480" s="82"/>
      <c r="M480" s="82"/>
      <c r="N480" s="82"/>
      <c r="O480" s="82"/>
      <c r="P480" s="305"/>
      <c r="Q480" s="305"/>
      <c r="R480" s="305"/>
      <c r="S480" s="305"/>
      <c r="T480" s="305"/>
      <c r="U480" s="333"/>
      <c r="V480" s="333"/>
      <c r="W480" s="305"/>
      <c r="X480" s="305"/>
      <c r="Y480" s="305"/>
    </row>
    <row r="481" spans="9:25" ht="12.75">
      <c r="I481" s="82"/>
      <c r="J481" s="82"/>
      <c r="K481" s="82"/>
      <c r="L481" s="82"/>
      <c r="M481" s="82"/>
      <c r="N481" s="82"/>
      <c r="O481" s="82"/>
      <c r="P481" s="305"/>
      <c r="Q481" s="305"/>
      <c r="R481" s="305"/>
      <c r="S481" s="305"/>
      <c r="T481" s="305"/>
      <c r="U481" s="333"/>
      <c r="V481" s="333"/>
      <c r="W481" s="305"/>
      <c r="X481" s="305"/>
      <c r="Y481" s="305"/>
    </row>
    <row r="482" spans="9:25" ht="12.75">
      <c r="I482" s="84"/>
      <c r="J482" s="84"/>
      <c r="K482" s="84"/>
      <c r="L482" s="84"/>
      <c r="M482" s="84"/>
      <c r="N482" s="84"/>
      <c r="O482" s="84"/>
      <c r="P482" s="305"/>
      <c r="Q482" s="305"/>
      <c r="R482" s="305"/>
      <c r="S482" s="305"/>
      <c r="T482" s="305"/>
      <c r="U482" s="333"/>
      <c r="V482" s="333"/>
      <c r="W482" s="305"/>
      <c r="X482" s="305"/>
      <c r="Y482" s="305"/>
    </row>
    <row r="483" spans="9:25" ht="12.75">
      <c r="I483" s="84"/>
      <c r="J483" s="84"/>
      <c r="K483" s="84"/>
      <c r="L483" s="84"/>
      <c r="M483" s="84"/>
      <c r="N483" s="84"/>
      <c r="O483" s="84"/>
      <c r="P483" s="305"/>
      <c r="Q483" s="305"/>
      <c r="R483" s="305"/>
      <c r="S483" s="305"/>
      <c r="T483" s="305"/>
      <c r="U483" s="333"/>
      <c r="V483" s="333"/>
      <c r="W483" s="305"/>
      <c r="X483" s="305"/>
      <c r="Y483" s="305"/>
    </row>
    <row r="484" spans="9:25" ht="12.75">
      <c r="I484" s="82"/>
      <c r="J484" s="82"/>
      <c r="K484" s="82"/>
      <c r="L484" s="82"/>
      <c r="M484" s="82"/>
      <c r="N484" s="82"/>
      <c r="O484" s="82"/>
      <c r="P484" s="305"/>
      <c r="Q484" s="305"/>
      <c r="R484" s="305"/>
      <c r="S484" s="305"/>
      <c r="T484" s="305"/>
      <c r="U484" s="333"/>
      <c r="V484" s="333"/>
      <c r="W484" s="305"/>
      <c r="X484" s="305"/>
      <c r="Y484" s="305"/>
    </row>
    <row r="485" spans="9:25" ht="12.75">
      <c r="I485" s="82"/>
      <c r="J485" s="82"/>
      <c r="K485" s="82"/>
      <c r="L485" s="82"/>
      <c r="M485" s="82"/>
      <c r="N485" s="82"/>
      <c r="O485" s="82"/>
      <c r="P485" s="305"/>
      <c r="Q485" s="305"/>
      <c r="R485" s="305"/>
      <c r="S485" s="305"/>
      <c r="T485" s="305"/>
      <c r="U485" s="333"/>
      <c r="V485" s="333"/>
      <c r="W485" s="305"/>
      <c r="X485" s="305"/>
      <c r="Y485" s="305"/>
    </row>
    <row r="486" spans="9:25" ht="12.75">
      <c r="I486" s="82"/>
      <c r="J486" s="82"/>
      <c r="K486" s="82"/>
      <c r="L486" s="82"/>
      <c r="M486" s="82"/>
      <c r="N486" s="82"/>
      <c r="O486" s="82"/>
      <c r="P486" s="305"/>
      <c r="Q486" s="305"/>
      <c r="R486" s="305"/>
      <c r="S486" s="305"/>
      <c r="T486" s="305"/>
      <c r="U486" s="333"/>
      <c r="V486" s="333"/>
      <c r="W486" s="305"/>
      <c r="X486" s="305"/>
      <c r="Y486" s="305"/>
    </row>
    <row r="487" spans="9:25" ht="12.75">
      <c r="I487" s="82"/>
      <c r="J487" s="82"/>
      <c r="K487" s="82"/>
      <c r="L487" s="82"/>
      <c r="M487" s="82"/>
      <c r="N487" s="82"/>
      <c r="O487" s="82"/>
      <c r="P487" s="305"/>
      <c r="Q487" s="305"/>
      <c r="R487" s="305"/>
      <c r="S487" s="305"/>
      <c r="T487" s="305"/>
      <c r="U487" s="333"/>
      <c r="V487" s="333"/>
      <c r="W487" s="305"/>
      <c r="X487" s="305"/>
      <c r="Y487" s="305"/>
    </row>
    <row r="488" spans="9:25" ht="12.75">
      <c r="I488" s="82"/>
      <c r="J488" s="82"/>
      <c r="K488" s="82"/>
      <c r="L488" s="82"/>
      <c r="M488" s="82"/>
      <c r="N488" s="82"/>
      <c r="O488" s="82"/>
      <c r="P488" s="305"/>
      <c r="Q488" s="305"/>
      <c r="R488" s="305"/>
      <c r="S488" s="305"/>
      <c r="T488" s="305"/>
      <c r="U488" s="333"/>
      <c r="V488" s="333"/>
      <c r="W488" s="305"/>
      <c r="X488" s="305"/>
      <c r="Y488" s="305"/>
    </row>
    <row r="489" spans="9:25" ht="12.75">
      <c r="I489" s="82"/>
      <c r="J489" s="82"/>
      <c r="K489" s="82"/>
      <c r="L489" s="82"/>
      <c r="M489" s="82"/>
      <c r="N489" s="82"/>
      <c r="O489" s="82"/>
      <c r="P489" s="305"/>
      <c r="Q489" s="305"/>
      <c r="R489" s="305"/>
      <c r="S489" s="305"/>
      <c r="T489" s="305"/>
      <c r="U489" s="333"/>
      <c r="V489" s="333"/>
      <c r="W489" s="305"/>
      <c r="X489" s="305"/>
      <c r="Y489" s="305"/>
    </row>
    <row r="490" spans="9:25" ht="12.75">
      <c r="I490" s="82"/>
      <c r="J490" s="82"/>
      <c r="K490" s="82"/>
      <c r="L490" s="82"/>
      <c r="M490" s="82"/>
      <c r="N490" s="82"/>
      <c r="O490" s="82"/>
      <c r="P490" s="305"/>
      <c r="Q490" s="305"/>
      <c r="R490" s="305"/>
      <c r="S490" s="305"/>
      <c r="T490" s="305"/>
      <c r="U490" s="333"/>
      <c r="V490" s="333"/>
      <c r="W490" s="305"/>
      <c r="X490" s="305"/>
      <c r="Y490" s="305"/>
    </row>
    <row r="491" spans="9:25" ht="12.75">
      <c r="I491" s="82"/>
      <c r="J491" s="82"/>
      <c r="K491" s="82"/>
      <c r="L491" s="82"/>
      <c r="M491" s="82"/>
      <c r="N491" s="82"/>
      <c r="O491" s="82"/>
      <c r="P491" s="305"/>
      <c r="Q491" s="305"/>
      <c r="R491" s="305"/>
      <c r="S491" s="305"/>
      <c r="T491" s="305"/>
      <c r="U491" s="333"/>
      <c r="V491" s="333"/>
      <c r="W491" s="305"/>
      <c r="X491" s="305"/>
      <c r="Y491" s="305"/>
    </row>
    <row r="492" spans="9:25" ht="12.75">
      <c r="I492" s="84"/>
      <c r="J492" s="84"/>
      <c r="K492" s="84"/>
      <c r="L492" s="84"/>
      <c r="M492" s="84"/>
      <c r="N492" s="84"/>
      <c r="O492" s="84"/>
      <c r="P492" s="305"/>
      <c r="Q492" s="305"/>
      <c r="R492" s="305"/>
      <c r="S492" s="305"/>
      <c r="T492" s="305"/>
      <c r="U492" s="333"/>
      <c r="V492" s="333"/>
      <c r="W492" s="305"/>
      <c r="X492" s="305"/>
      <c r="Y492" s="305"/>
    </row>
    <row r="493" spans="9:25" ht="12.75">
      <c r="I493" s="84"/>
      <c r="J493" s="84"/>
      <c r="K493" s="84"/>
      <c r="L493" s="84"/>
      <c r="M493" s="84"/>
      <c r="N493" s="84"/>
      <c r="O493" s="84"/>
      <c r="P493" s="305"/>
      <c r="Q493" s="305"/>
      <c r="R493" s="305"/>
      <c r="S493" s="305"/>
      <c r="T493" s="305"/>
      <c r="U493" s="333"/>
      <c r="V493" s="333"/>
      <c r="W493" s="305"/>
      <c r="X493" s="305"/>
      <c r="Y493" s="305"/>
    </row>
    <row r="494" spans="9:25" ht="12.75">
      <c r="I494" s="82"/>
      <c r="J494" s="82"/>
      <c r="K494" s="82"/>
      <c r="L494" s="82"/>
      <c r="M494" s="82"/>
      <c r="N494" s="82"/>
      <c r="O494" s="82"/>
      <c r="P494" s="305"/>
      <c r="Q494" s="305"/>
      <c r="R494" s="305"/>
      <c r="S494" s="305"/>
      <c r="T494" s="305"/>
      <c r="U494" s="333"/>
      <c r="V494" s="333"/>
      <c r="W494" s="305"/>
      <c r="X494" s="305"/>
      <c r="Y494" s="305"/>
    </row>
    <row r="495" spans="9:25" ht="12.75">
      <c r="I495" s="82"/>
      <c r="J495" s="82"/>
      <c r="K495" s="82"/>
      <c r="L495" s="82"/>
      <c r="M495" s="82"/>
      <c r="N495" s="82"/>
      <c r="O495" s="82"/>
      <c r="P495" s="305"/>
      <c r="Q495" s="305"/>
      <c r="R495" s="305"/>
      <c r="S495" s="305"/>
      <c r="T495" s="305"/>
      <c r="U495" s="333"/>
      <c r="V495" s="333"/>
      <c r="W495" s="305"/>
      <c r="X495" s="305"/>
      <c r="Y495" s="305"/>
    </row>
    <row r="496" spans="9:25" ht="12.75">
      <c r="I496" s="82"/>
      <c r="J496" s="82"/>
      <c r="K496" s="82"/>
      <c r="L496" s="82"/>
      <c r="M496" s="82"/>
      <c r="N496" s="82"/>
      <c r="O496" s="82"/>
      <c r="P496" s="305"/>
      <c r="Q496" s="305"/>
      <c r="R496" s="305"/>
      <c r="S496" s="305"/>
      <c r="T496" s="305"/>
      <c r="U496" s="333"/>
      <c r="V496" s="333"/>
      <c r="W496" s="305"/>
      <c r="X496" s="305"/>
      <c r="Y496" s="305"/>
    </row>
    <row r="497" spans="9:25" ht="12.75">
      <c r="I497" s="82"/>
      <c r="J497" s="82"/>
      <c r="K497" s="82"/>
      <c r="L497" s="82"/>
      <c r="M497" s="82"/>
      <c r="N497" s="82"/>
      <c r="O497" s="82"/>
      <c r="P497" s="305"/>
      <c r="Q497" s="305"/>
      <c r="R497" s="305"/>
      <c r="S497" s="305"/>
      <c r="T497" s="305"/>
      <c r="U497" s="333"/>
      <c r="V497" s="333"/>
      <c r="W497" s="305"/>
      <c r="X497" s="305"/>
      <c r="Y497" s="305"/>
    </row>
    <row r="498" spans="9:25" ht="12.75">
      <c r="I498" s="82"/>
      <c r="J498" s="82"/>
      <c r="K498" s="82"/>
      <c r="L498" s="82"/>
      <c r="M498" s="82"/>
      <c r="N498" s="82"/>
      <c r="O498" s="82"/>
      <c r="P498" s="305"/>
      <c r="Q498" s="305"/>
      <c r="R498" s="305"/>
      <c r="S498" s="305"/>
      <c r="T498" s="305"/>
      <c r="U498" s="333"/>
      <c r="V498" s="333"/>
      <c r="W498" s="305"/>
      <c r="X498" s="305"/>
      <c r="Y498" s="305"/>
    </row>
    <row r="499" spans="9:25" ht="12.75">
      <c r="I499" s="82"/>
      <c r="J499" s="82"/>
      <c r="K499" s="82"/>
      <c r="L499" s="82"/>
      <c r="M499" s="82"/>
      <c r="N499" s="82"/>
      <c r="O499" s="82"/>
      <c r="P499" s="305"/>
      <c r="Q499" s="305"/>
      <c r="R499" s="305"/>
      <c r="S499" s="305"/>
      <c r="T499" s="305"/>
      <c r="U499" s="333"/>
      <c r="V499" s="333"/>
      <c r="W499" s="305"/>
      <c r="X499" s="305"/>
      <c r="Y499" s="305"/>
    </row>
    <row r="500" spans="9:25" ht="12.75">
      <c r="I500" s="82"/>
      <c r="J500" s="82"/>
      <c r="K500" s="82"/>
      <c r="L500" s="82"/>
      <c r="M500" s="82"/>
      <c r="N500" s="82"/>
      <c r="O500" s="82"/>
      <c r="P500" s="305"/>
      <c r="Q500" s="305"/>
      <c r="R500" s="305"/>
      <c r="S500" s="305"/>
      <c r="T500" s="305"/>
      <c r="U500" s="333"/>
      <c r="V500" s="333"/>
      <c r="W500" s="305"/>
      <c r="X500" s="305"/>
      <c r="Y500" s="305"/>
    </row>
    <row r="501" spans="9:25" ht="12.75">
      <c r="I501" s="82"/>
      <c r="J501" s="82"/>
      <c r="K501" s="82"/>
      <c r="L501" s="82"/>
      <c r="M501" s="82"/>
      <c r="N501" s="82"/>
      <c r="O501" s="82"/>
      <c r="P501" s="305"/>
      <c r="Q501" s="305"/>
      <c r="R501" s="305"/>
      <c r="S501" s="305"/>
      <c r="T501" s="305"/>
      <c r="U501" s="333"/>
      <c r="V501" s="333"/>
      <c r="W501" s="305"/>
      <c r="X501" s="305"/>
      <c r="Y501" s="305"/>
    </row>
    <row r="502" spans="9:25" ht="12.75">
      <c r="I502" s="84"/>
      <c r="J502" s="84"/>
      <c r="K502" s="84"/>
      <c r="L502" s="84"/>
      <c r="M502" s="84"/>
      <c r="N502" s="84"/>
      <c r="O502" s="84"/>
      <c r="P502" s="305"/>
      <c r="Q502" s="305"/>
      <c r="R502" s="305"/>
      <c r="S502" s="305"/>
      <c r="T502" s="305"/>
      <c r="U502" s="333"/>
      <c r="V502" s="333"/>
      <c r="W502" s="305"/>
      <c r="X502" s="305"/>
      <c r="Y502" s="305"/>
    </row>
    <row r="503" spans="9:25" ht="12.75">
      <c r="I503" s="84"/>
      <c r="J503" s="84"/>
      <c r="K503" s="84"/>
      <c r="L503" s="84"/>
      <c r="M503" s="84"/>
      <c r="N503" s="84"/>
      <c r="O503" s="84"/>
      <c r="P503" s="305"/>
      <c r="Q503" s="305"/>
      <c r="R503" s="305"/>
      <c r="S503" s="305"/>
      <c r="T503" s="305"/>
      <c r="U503" s="333"/>
      <c r="V503" s="333"/>
      <c r="W503" s="305"/>
      <c r="X503" s="305"/>
      <c r="Y503" s="305"/>
    </row>
    <row r="504" spans="9:25" ht="12.75">
      <c r="I504" s="82"/>
      <c r="J504" s="82"/>
      <c r="K504" s="82"/>
      <c r="L504" s="82"/>
      <c r="M504" s="82"/>
      <c r="N504" s="82"/>
      <c r="O504" s="82"/>
      <c r="P504" s="305"/>
      <c r="Q504" s="305"/>
      <c r="R504" s="305"/>
      <c r="S504" s="305"/>
      <c r="T504" s="305"/>
      <c r="U504" s="333"/>
      <c r="V504" s="333"/>
      <c r="W504" s="305"/>
      <c r="X504" s="305"/>
      <c r="Y504" s="305"/>
    </row>
    <row r="505" spans="9:25" ht="12.75">
      <c r="I505" s="82"/>
      <c r="J505" s="82"/>
      <c r="K505" s="82"/>
      <c r="L505" s="82"/>
      <c r="M505" s="82"/>
      <c r="N505" s="82"/>
      <c r="O505" s="82"/>
      <c r="P505" s="305"/>
      <c r="Q505" s="305"/>
      <c r="R505" s="305"/>
      <c r="S505" s="305"/>
      <c r="T505" s="305"/>
      <c r="U505" s="333"/>
      <c r="V505" s="333"/>
      <c r="W505" s="305"/>
      <c r="X505" s="305"/>
      <c r="Y505" s="305"/>
    </row>
    <row r="506" spans="9:25" ht="12.75">
      <c r="I506" s="82"/>
      <c r="J506" s="82"/>
      <c r="K506" s="82"/>
      <c r="L506" s="82"/>
      <c r="M506" s="82"/>
      <c r="N506" s="82"/>
      <c r="O506" s="82"/>
      <c r="P506" s="305"/>
      <c r="Q506" s="305"/>
      <c r="R506" s="305"/>
      <c r="S506" s="305"/>
      <c r="T506" s="305"/>
      <c r="U506" s="333"/>
      <c r="V506" s="333"/>
      <c r="W506" s="305"/>
      <c r="X506" s="305"/>
      <c r="Y506" s="305"/>
    </row>
    <row r="507" spans="9:25" ht="12.75">
      <c r="I507" s="82"/>
      <c r="J507" s="82"/>
      <c r="K507" s="82"/>
      <c r="L507" s="82"/>
      <c r="M507" s="82"/>
      <c r="N507" s="82"/>
      <c r="O507" s="82"/>
      <c r="P507" s="305"/>
      <c r="Q507" s="305"/>
      <c r="R507" s="305"/>
      <c r="S507" s="305"/>
      <c r="T507" s="305"/>
      <c r="U507" s="333"/>
      <c r="V507" s="333"/>
      <c r="W507" s="305"/>
      <c r="X507" s="305"/>
      <c r="Y507" s="305"/>
    </row>
    <row r="508" spans="9:25" ht="12.75">
      <c r="I508" s="82"/>
      <c r="J508" s="82"/>
      <c r="K508" s="82"/>
      <c r="L508" s="82"/>
      <c r="M508" s="82"/>
      <c r="N508" s="82"/>
      <c r="O508" s="82"/>
      <c r="P508" s="305"/>
      <c r="Q508" s="305"/>
      <c r="R508" s="305"/>
      <c r="S508" s="305"/>
      <c r="T508" s="305"/>
      <c r="U508" s="333"/>
      <c r="V508" s="333"/>
      <c r="W508" s="305"/>
      <c r="X508" s="305"/>
      <c r="Y508" s="305"/>
    </row>
    <row r="509" spans="9:25" ht="12.75">
      <c r="I509" s="82"/>
      <c r="J509" s="82"/>
      <c r="K509" s="82"/>
      <c r="L509" s="82"/>
      <c r="M509" s="82"/>
      <c r="N509" s="82"/>
      <c r="O509" s="82"/>
      <c r="P509" s="305"/>
      <c r="Q509" s="305"/>
      <c r="R509" s="305"/>
      <c r="S509" s="305"/>
      <c r="T509" s="305"/>
      <c r="U509" s="333"/>
      <c r="V509" s="333"/>
      <c r="W509" s="305"/>
      <c r="X509" s="305"/>
      <c r="Y509" s="305"/>
    </row>
    <row r="510" spans="9:25" ht="12.75">
      <c r="I510" s="82"/>
      <c r="J510" s="82"/>
      <c r="K510" s="82"/>
      <c r="L510" s="82"/>
      <c r="M510" s="82"/>
      <c r="N510" s="82"/>
      <c r="O510" s="82"/>
      <c r="P510" s="305"/>
      <c r="Q510" s="305"/>
      <c r="R510" s="305"/>
      <c r="S510" s="305"/>
      <c r="T510" s="305"/>
      <c r="U510" s="333"/>
      <c r="V510" s="333"/>
      <c r="W510" s="305"/>
      <c r="X510" s="305"/>
      <c r="Y510" s="305"/>
    </row>
    <row r="511" spans="9:25" ht="12.75">
      <c r="I511" s="82"/>
      <c r="J511" s="82"/>
      <c r="K511" s="82"/>
      <c r="L511" s="82"/>
      <c r="M511" s="82"/>
      <c r="N511" s="82"/>
      <c r="O511" s="82"/>
      <c r="P511" s="305"/>
      <c r="Q511" s="305"/>
      <c r="R511" s="305"/>
      <c r="S511" s="305"/>
      <c r="T511" s="305"/>
      <c r="U511" s="333"/>
      <c r="V511" s="333"/>
      <c r="W511" s="305"/>
      <c r="X511" s="305"/>
      <c r="Y511" s="305"/>
    </row>
    <row r="512" spans="9:25" ht="12.75">
      <c r="I512" s="84"/>
      <c r="J512" s="84"/>
      <c r="K512" s="84"/>
      <c r="L512" s="84"/>
      <c r="M512" s="84"/>
      <c r="N512" s="84"/>
      <c r="O512" s="84"/>
      <c r="P512" s="305"/>
      <c r="Q512" s="305"/>
      <c r="R512" s="305"/>
      <c r="S512" s="305"/>
      <c r="T512" s="305"/>
      <c r="U512" s="333"/>
      <c r="V512" s="333"/>
      <c r="W512" s="305"/>
      <c r="X512" s="305"/>
      <c r="Y512" s="305"/>
    </row>
    <row r="513" spans="9:25" ht="12.75">
      <c r="I513" s="84"/>
      <c r="J513" s="84"/>
      <c r="K513" s="84"/>
      <c r="L513" s="84"/>
      <c r="M513" s="84"/>
      <c r="N513" s="84"/>
      <c r="O513" s="84"/>
      <c r="P513" s="305"/>
      <c r="Q513" s="305"/>
      <c r="R513" s="305"/>
      <c r="S513" s="305"/>
      <c r="T513" s="305"/>
      <c r="U513" s="333"/>
      <c r="V513" s="333"/>
      <c r="W513" s="305"/>
      <c r="X513" s="305"/>
      <c r="Y513" s="305"/>
    </row>
    <row r="514" spans="9:25" ht="12.75">
      <c r="I514" s="82"/>
      <c r="J514" s="82"/>
      <c r="K514" s="82"/>
      <c r="L514" s="82"/>
      <c r="M514" s="82"/>
      <c r="N514" s="82"/>
      <c r="O514" s="82"/>
      <c r="P514" s="305"/>
      <c r="Q514" s="305"/>
      <c r="R514" s="305"/>
      <c r="S514" s="305"/>
      <c r="T514" s="305"/>
      <c r="U514" s="333"/>
      <c r="V514" s="333"/>
      <c r="W514" s="305"/>
      <c r="X514" s="305"/>
      <c r="Y514" s="305"/>
    </row>
    <row r="515" spans="9:25" ht="12.75">
      <c r="I515" s="82"/>
      <c r="J515" s="82"/>
      <c r="K515" s="82"/>
      <c r="L515" s="82"/>
      <c r="M515" s="82"/>
      <c r="N515" s="82"/>
      <c r="O515" s="82"/>
      <c r="P515" s="305"/>
      <c r="Q515" s="305"/>
      <c r="R515" s="305"/>
      <c r="S515" s="305"/>
      <c r="T515" s="305"/>
      <c r="U515" s="333"/>
      <c r="V515" s="333"/>
      <c r="W515" s="305"/>
      <c r="X515" s="305"/>
      <c r="Y515" s="305"/>
    </row>
    <row r="516" spans="9:25" ht="12.75">
      <c r="I516" s="82"/>
      <c r="J516" s="82"/>
      <c r="K516" s="82"/>
      <c r="L516" s="82"/>
      <c r="M516" s="82"/>
      <c r="N516" s="82"/>
      <c r="O516" s="82"/>
      <c r="P516" s="305"/>
      <c r="Q516" s="305"/>
      <c r="R516" s="305"/>
      <c r="S516" s="305"/>
      <c r="T516" s="305"/>
      <c r="U516" s="333"/>
      <c r="V516" s="333"/>
      <c r="W516" s="305"/>
      <c r="X516" s="305"/>
      <c r="Y516" s="305"/>
    </row>
    <row r="517" spans="9:25" ht="12.75">
      <c r="I517" s="82"/>
      <c r="J517" s="82"/>
      <c r="K517" s="82"/>
      <c r="L517" s="82"/>
      <c r="M517" s="82"/>
      <c r="N517" s="82"/>
      <c r="O517" s="82"/>
      <c r="P517" s="305"/>
      <c r="Q517" s="305"/>
      <c r="R517" s="305"/>
      <c r="S517" s="305"/>
      <c r="T517" s="305"/>
      <c r="U517" s="333"/>
      <c r="V517" s="333"/>
      <c r="W517" s="305"/>
      <c r="X517" s="305"/>
      <c r="Y517" s="305"/>
    </row>
    <row r="518" spans="9:25" ht="12.75">
      <c r="I518" s="82"/>
      <c r="J518" s="82"/>
      <c r="K518" s="82"/>
      <c r="L518" s="82"/>
      <c r="M518" s="82"/>
      <c r="N518" s="82"/>
      <c r="O518" s="82"/>
      <c r="P518" s="305"/>
      <c r="Q518" s="305"/>
      <c r="R518" s="305"/>
      <c r="S518" s="305"/>
      <c r="T518" s="305"/>
      <c r="U518" s="333"/>
      <c r="V518" s="333"/>
      <c r="W518" s="305"/>
      <c r="X518" s="305"/>
      <c r="Y518" s="305"/>
    </row>
    <row r="519" spans="9:25" ht="12.75">
      <c r="I519" s="82"/>
      <c r="J519" s="82"/>
      <c r="K519" s="82"/>
      <c r="L519" s="82"/>
      <c r="M519" s="82"/>
      <c r="N519" s="82"/>
      <c r="O519" s="82"/>
      <c r="P519" s="305"/>
      <c r="Q519" s="305"/>
      <c r="R519" s="305"/>
      <c r="S519" s="305"/>
      <c r="T519" s="305"/>
      <c r="U519" s="333"/>
      <c r="V519" s="333"/>
      <c r="W519" s="305"/>
      <c r="X519" s="305"/>
      <c r="Y519" s="305"/>
    </row>
    <row r="520" spans="9:25" ht="12.75">
      <c r="I520" s="82"/>
      <c r="J520" s="82"/>
      <c r="K520" s="82"/>
      <c r="L520" s="82"/>
      <c r="M520" s="82"/>
      <c r="N520" s="82"/>
      <c r="O520" s="82"/>
      <c r="P520" s="305"/>
      <c r="Q520" s="305"/>
      <c r="R520" s="305"/>
      <c r="S520" s="305"/>
      <c r="T520" s="305"/>
      <c r="U520" s="333"/>
      <c r="V520" s="333"/>
      <c r="W520" s="305"/>
      <c r="X520" s="305"/>
      <c r="Y520" s="305"/>
    </row>
    <row r="521" spans="9:25" ht="12.75">
      <c r="I521" s="82"/>
      <c r="J521" s="82"/>
      <c r="K521" s="82"/>
      <c r="L521" s="82"/>
      <c r="M521" s="82"/>
      <c r="N521" s="82"/>
      <c r="O521" s="82"/>
      <c r="P521" s="305"/>
      <c r="Q521" s="305"/>
      <c r="R521" s="305"/>
      <c r="S521" s="305"/>
      <c r="T521" s="305"/>
      <c r="U521" s="333"/>
      <c r="V521" s="333"/>
      <c r="W521" s="305"/>
      <c r="X521" s="305"/>
      <c r="Y521" s="305"/>
    </row>
    <row r="522" spans="9:25" ht="12.75">
      <c r="I522" s="84"/>
      <c r="J522" s="84"/>
      <c r="K522" s="84"/>
      <c r="L522" s="84"/>
      <c r="M522" s="84"/>
      <c r="N522" s="84"/>
      <c r="O522" s="84"/>
      <c r="P522" s="305"/>
      <c r="Q522" s="305"/>
      <c r="R522" s="305"/>
      <c r="S522" s="305"/>
      <c r="T522" s="305"/>
      <c r="U522" s="333"/>
      <c r="V522" s="333"/>
      <c r="W522" s="305"/>
      <c r="X522" s="305"/>
      <c r="Y522" s="305"/>
    </row>
    <row r="523" spans="9:25" ht="12.75">
      <c r="I523" s="84"/>
      <c r="J523" s="84"/>
      <c r="K523" s="84"/>
      <c r="L523" s="84"/>
      <c r="M523" s="84"/>
      <c r="N523" s="84"/>
      <c r="O523" s="84"/>
      <c r="P523" s="305"/>
      <c r="Q523" s="305"/>
      <c r="R523" s="305"/>
      <c r="S523" s="305"/>
      <c r="T523" s="305"/>
      <c r="U523" s="333"/>
      <c r="V523" s="333"/>
      <c r="W523" s="305"/>
      <c r="X523" s="305"/>
      <c r="Y523" s="305"/>
    </row>
    <row r="524" spans="9:25" ht="12.75">
      <c r="I524" s="82"/>
      <c r="J524" s="82"/>
      <c r="K524" s="82"/>
      <c r="L524" s="82"/>
      <c r="M524" s="82"/>
      <c r="N524" s="82"/>
      <c r="O524" s="82"/>
      <c r="P524" s="305"/>
      <c r="Q524" s="305"/>
      <c r="R524" s="305"/>
      <c r="S524" s="305"/>
      <c r="T524" s="305"/>
      <c r="U524" s="333"/>
      <c r="V524" s="333"/>
      <c r="W524" s="305"/>
      <c r="X524" s="305"/>
      <c r="Y524" s="305"/>
    </row>
    <row r="525" spans="9:25" ht="12.75">
      <c r="I525" s="82"/>
      <c r="J525" s="82"/>
      <c r="K525" s="82"/>
      <c r="L525" s="82"/>
      <c r="M525" s="82"/>
      <c r="N525" s="82"/>
      <c r="O525" s="82"/>
      <c r="P525" s="305"/>
      <c r="Q525" s="305"/>
      <c r="R525" s="305"/>
      <c r="S525" s="305"/>
      <c r="T525" s="305"/>
      <c r="U525" s="333"/>
      <c r="V525" s="333"/>
      <c r="W525" s="305"/>
      <c r="X525" s="305"/>
      <c r="Y525" s="305"/>
    </row>
    <row r="526" spans="9:25" ht="12.75">
      <c r="I526" s="82"/>
      <c r="J526" s="82"/>
      <c r="K526" s="82"/>
      <c r="L526" s="82"/>
      <c r="M526" s="82"/>
      <c r="N526" s="82"/>
      <c r="O526" s="82"/>
      <c r="P526" s="305"/>
      <c r="Q526" s="305"/>
      <c r="R526" s="305"/>
      <c r="S526" s="305"/>
      <c r="T526" s="305"/>
      <c r="U526" s="333"/>
      <c r="V526" s="333"/>
      <c r="W526" s="305"/>
      <c r="X526" s="305"/>
      <c r="Y526" s="305"/>
    </row>
    <row r="527" spans="9:25" ht="12.75">
      <c r="I527" s="82"/>
      <c r="J527" s="82"/>
      <c r="K527" s="82"/>
      <c r="L527" s="82"/>
      <c r="M527" s="82"/>
      <c r="N527" s="82"/>
      <c r="O527" s="82"/>
      <c r="P527" s="305"/>
      <c r="Q527" s="305"/>
      <c r="R527" s="305"/>
      <c r="S527" s="305"/>
      <c r="T527" s="305"/>
      <c r="U527" s="333"/>
      <c r="V527" s="333"/>
      <c r="W527" s="305"/>
      <c r="X527" s="305"/>
      <c r="Y527" s="305"/>
    </row>
    <row r="528" spans="9:25" ht="12.75">
      <c r="I528" s="82"/>
      <c r="J528" s="82"/>
      <c r="K528" s="82"/>
      <c r="L528" s="82"/>
      <c r="M528" s="82"/>
      <c r="N528" s="82"/>
      <c r="O528" s="82"/>
      <c r="P528" s="305"/>
      <c r="Q528" s="305"/>
      <c r="R528" s="305"/>
      <c r="S528" s="305"/>
      <c r="T528" s="305"/>
      <c r="U528" s="333"/>
      <c r="V528" s="333"/>
      <c r="W528" s="305"/>
      <c r="X528" s="305"/>
      <c r="Y528" s="305"/>
    </row>
    <row r="529" spans="9:25" ht="12.75">
      <c r="I529" s="82"/>
      <c r="J529" s="82"/>
      <c r="K529" s="82"/>
      <c r="L529" s="82"/>
      <c r="M529" s="82"/>
      <c r="N529" s="82"/>
      <c r="O529" s="82"/>
      <c r="P529" s="305"/>
      <c r="Q529" s="305"/>
      <c r="R529" s="305"/>
      <c r="S529" s="305"/>
      <c r="T529" s="305"/>
      <c r="U529" s="333"/>
      <c r="V529" s="333"/>
      <c r="W529" s="305"/>
      <c r="X529" s="305"/>
      <c r="Y529" s="305"/>
    </row>
    <row r="530" spans="9:25" ht="12.75">
      <c r="I530" s="82"/>
      <c r="J530" s="82"/>
      <c r="K530" s="82"/>
      <c r="L530" s="82"/>
      <c r="M530" s="82"/>
      <c r="N530" s="82"/>
      <c r="O530" s="82"/>
      <c r="P530" s="305"/>
      <c r="Q530" s="305"/>
      <c r="R530" s="305"/>
      <c r="S530" s="305"/>
      <c r="T530" s="305"/>
      <c r="U530" s="333"/>
      <c r="V530" s="333"/>
      <c r="W530" s="305"/>
      <c r="X530" s="305"/>
      <c r="Y530" s="305"/>
    </row>
    <row r="531" spans="9:25" ht="12.75">
      <c r="I531" s="82"/>
      <c r="J531" s="82"/>
      <c r="K531" s="82"/>
      <c r="L531" s="82"/>
      <c r="M531" s="82"/>
      <c r="N531" s="82"/>
      <c r="O531" s="82"/>
      <c r="P531" s="305"/>
      <c r="Q531" s="305"/>
      <c r="R531" s="305"/>
      <c r="S531" s="305"/>
      <c r="T531" s="305"/>
      <c r="U531" s="333"/>
      <c r="V531" s="333"/>
      <c r="W531" s="305"/>
      <c r="X531" s="305"/>
      <c r="Y531" s="305"/>
    </row>
    <row r="532" spans="9:25" ht="12.75">
      <c r="I532" s="84"/>
      <c r="J532" s="84"/>
      <c r="K532" s="84"/>
      <c r="L532" s="84"/>
      <c r="M532" s="84"/>
      <c r="N532" s="84"/>
      <c r="O532" s="84"/>
      <c r="P532" s="305"/>
      <c r="Q532" s="305"/>
      <c r="R532" s="305"/>
      <c r="S532" s="305"/>
      <c r="T532" s="305"/>
      <c r="U532" s="333"/>
      <c r="V532" s="333"/>
      <c r="W532" s="305"/>
      <c r="X532" s="305"/>
      <c r="Y532" s="305"/>
    </row>
    <row r="533" spans="9:25" ht="12.75">
      <c r="I533" s="84"/>
      <c r="J533" s="84"/>
      <c r="K533" s="84"/>
      <c r="L533" s="84"/>
      <c r="M533" s="84"/>
      <c r="N533" s="84"/>
      <c r="O533" s="84"/>
      <c r="P533" s="305"/>
      <c r="Q533" s="305"/>
      <c r="R533" s="305"/>
      <c r="S533" s="305"/>
      <c r="T533" s="305"/>
      <c r="U533" s="333"/>
      <c r="V533" s="333"/>
      <c r="W533" s="305"/>
      <c r="X533" s="305"/>
      <c r="Y533" s="305"/>
    </row>
    <row r="534" spans="9:25" ht="12.75">
      <c r="I534" s="82"/>
      <c r="J534" s="82"/>
      <c r="K534" s="82"/>
      <c r="L534" s="82"/>
      <c r="M534" s="82"/>
      <c r="N534" s="82"/>
      <c r="O534" s="82"/>
      <c r="P534" s="305"/>
      <c r="Q534" s="305"/>
      <c r="R534" s="305"/>
      <c r="S534" s="305"/>
      <c r="T534" s="305"/>
      <c r="U534" s="333"/>
      <c r="V534" s="333"/>
      <c r="W534" s="305"/>
      <c r="X534" s="305"/>
      <c r="Y534" s="305"/>
    </row>
    <row r="535" spans="9:25" ht="12.75">
      <c r="I535" s="82"/>
      <c r="J535" s="82"/>
      <c r="K535" s="82"/>
      <c r="L535" s="82"/>
      <c r="M535" s="82"/>
      <c r="N535" s="82"/>
      <c r="O535" s="82"/>
      <c r="P535" s="305"/>
      <c r="Q535" s="305"/>
      <c r="R535" s="305"/>
      <c r="S535" s="305"/>
      <c r="T535" s="305"/>
      <c r="U535" s="333"/>
      <c r="V535" s="333"/>
      <c r="W535" s="305"/>
      <c r="X535" s="305"/>
      <c r="Y535" s="305"/>
    </row>
    <row r="536" spans="9:25" ht="12.75">
      <c r="I536" s="82"/>
      <c r="J536" s="82"/>
      <c r="K536" s="82"/>
      <c r="L536" s="82"/>
      <c r="M536" s="82"/>
      <c r="N536" s="82"/>
      <c r="O536" s="82"/>
      <c r="P536" s="305"/>
      <c r="Q536" s="305"/>
      <c r="R536" s="305"/>
      <c r="S536" s="305"/>
      <c r="T536" s="305"/>
      <c r="U536" s="333"/>
      <c r="V536" s="333"/>
      <c r="W536" s="305"/>
      <c r="X536" s="305"/>
      <c r="Y536" s="305"/>
    </row>
    <row r="537" spans="9:25" ht="12.75">
      <c r="I537" s="82"/>
      <c r="J537" s="82"/>
      <c r="K537" s="82"/>
      <c r="L537" s="82"/>
      <c r="M537" s="82"/>
      <c r="N537" s="82"/>
      <c r="O537" s="82"/>
      <c r="P537" s="305"/>
      <c r="Q537" s="305"/>
      <c r="R537" s="305"/>
      <c r="S537" s="305"/>
      <c r="T537" s="305"/>
      <c r="U537" s="333"/>
      <c r="V537" s="333"/>
      <c r="W537" s="305"/>
      <c r="X537" s="305"/>
      <c r="Y537" s="305"/>
    </row>
    <row r="538" spans="9:25" ht="12.75">
      <c r="I538" s="82"/>
      <c r="J538" s="82"/>
      <c r="K538" s="82"/>
      <c r="L538" s="82"/>
      <c r="M538" s="82"/>
      <c r="N538" s="82"/>
      <c r="O538" s="82"/>
      <c r="P538" s="305"/>
      <c r="Q538" s="305"/>
      <c r="R538" s="305"/>
      <c r="S538" s="305"/>
      <c r="T538" s="305"/>
      <c r="U538" s="333"/>
      <c r="V538" s="333"/>
      <c r="W538" s="305"/>
      <c r="X538" s="305"/>
      <c r="Y538" s="305"/>
    </row>
    <row r="539" spans="9:25" ht="12.75">
      <c r="I539" s="82"/>
      <c r="J539" s="82"/>
      <c r="K539" s="82"/>
      <c r="L539" s="82"/>
      <c r="M539" s="82"/>
      <c r="N539" s="82"/>
      <c r="O539" s="82"/>
      <c r="P539" s="305"/>
      <c r="Q539" s="305"/>
      <c r="R539" s="305"/>
      <c r="S539" s="305"/>
      <c r="T539" s="305"/>
      <c r="U539" s="333"/>
      <c r="V539" s="333"/>
      <c r="W539" s="305"/>
      <c r="X539" s="305"/>
      <c r="Y539" s="305"/>
    </row>
    <row r="540" spans="9:25" ht="12.75">
      <c r="I540" s="82"/>
      <c r="J540" s="82"/>
      <c r="K540" s="82"/>
      <c r="L540" s="82"/>
      <c r="M540" s="82"/>
      <c r="N540" s="82"/>
      <c r="O540" s="82"/>
      <c r="P540" s="305"/>
      <c r="Q540" s="305"/>
      <c r="R540" s="305"/>
      <c r="S540" s="305"/>
      <c r="T540" s="305"/>
      <c r="U540" s="333"/>
      <c r="V540" s="333"/>
      <c r="W540" s="305"/>
      <c r="X540" s="305"/>
      <c r="Y540" s="305"/>
    </row>
    <row r="541" spans="9:25" ht="12.75">
      <c r="I541" s="82"/>
      <c r="J541" s="82"/>
      <c r="K541" s="82"/>
      <c r="L541" s="82"/>
      <c r="M541" s="82"/>
      <c r="N541" s="82"/>
      <c r="O541" s="82"/>
      <c r="P541" s="305"/>
      <c r="Q541" s="305"/>
      <c r="R541" s="305"/>
      <c r="S541" s="305"/>
      <c r="T541" s="305"/>
      <c r="U541" s="333"/>
      <c r="V541" s="333"/>
      <c r="W541" s="305"/>
      <c r="X541" s="305"/>
      <c r="Y541" s="305"/>
    </row>
    <row r="542" spans="9:25" ht="12.75">
      <c r="I542" s="84"/>
      <c r="J542" s="84"/>
      <c r="K542" s="84"/>
      <c r="L542" s="84"/>
      <c r="M542" s="84"/>
      <c r="N542" s="84"/>
      <c r="O542" s="84"/>
      <c r="P542" s="305"/>
      <c r="Q542" s="305"/>
      <c r="R542" s="305"/>
      <c r="S542" s="305"/>
      <c r="T542" s="305"/>
      <c r="U542" s="333"/>
      <c r="V542" s="333"/>
      <c r="W542" s="305"/>
      <c r="X542" s="305"/>
      <c r="Y542" s="305"/>
    </row>
    <row r="543" spans="9:25" ht="12.75">
      <c r="I543" s="84"/>
      <c r="J543" s="84"/>
      <c r="K543" s="84"/>
      <c r="L543" s="84"/>
      <c r="M543" s="84"/>
      <c r="N543" s="84"/>
      <c r="O543" s="84"/>
      <c r="P543" s="305"/>
      <c r="Q543" s="305"/>
      <c r="R543" s="305"/>
      <c r="S543" s="305"/>
      <c r="T543" s="305"/>
      <c r="U543" s="333"/>
      <c r="V543" s="333"/>
      <c r="W543" s="305"/>
      <c r="X543" s="305"/>
      <c r="Y543" s="305"/>
    </row>
    <row r="544" spans="9:25" ht="12.75">
      <c r="I544" s="82"/>
      <c r="J544" s="82"/>
      <c r="K544" s="82"/>
      <c r="L544" s="82"/>
      <c r="M544" s="82"/>
      <c r="N544" s="82"/>
      <c r="O544" s="82"/>
      <c r="P544" s="305"/>
      <c r="Q544" s="305"/>
      <c r="R544" s="305"/>
      <c r="S544" s="305"/>
      <c r="T544" s="305"/>
      <c r="U544" s="333"/>
      <c r="V544" s="333"/>
      <c r="W544" s="305"/>
      <c r="X544" s="305"/>
      <c r="Y544" s="305"/>
    </row>
    <row r="545" spans="9:25" ht="12.75">
      <c r="I545" s="82"/>
      <c r="J545" s="82"/>
      <c r="K545" s="82"/>
      <c r="L545" s="82"/>
      <c r="M545" s="82"/>
      <c r="N545" s="82"/>
      <c r="O545" s="82"/>
      <c r="P545" s="305"/>
      <c r="Q545" s="305"/>
      <c r="R545" s="305"/>
      <c r="S545" s="305"/>
      <c r="T545" s="305"/>
      <c r="U545" s="333"/>
      <c r="V545" s="333"/>
      <c r="W545" s="305"/>
      <c r="X545" s="305"/>
      <c r="Y545" s="305"/>
    </row>
    <row r="546" spans="9:25" ht="12.75">
      <c r="I546" s="82"/>
      <c r="J546" s="82"/>
      <c r="K546" s="82"/>
      <c r="L546" s="82"/>
      <c r="M546" s="82"/>
      <c r="N546" s="82"/>
      <c r="O546" s="82"/>
      <c r="P546" s="305"/>
      <c r="Q546" s="305"/>
      <c r="R546" s="305"/>
      <c r="S546" s="305"/>
      <c r="T546" s="305"/>
      <c r="U546" s="333"/>
      <c r="V546" s="333"/>
      <c r="W546" s="305"/>
      <c r="X546" s="305"/>
      <c r="Y546" s="305"/>
    </row>
    <row r="547" spans="9:25" ht="12.75">
      <c r="I547" s="82"/>
      <c r="J547" s="82"/>
      <c r="K547" s="82"/>
      <c r="L547" s="82"/>
      <c r="M547" s="82"/>
      <c r="N547" s="82"/>
      <c r="O547" s="82"/>
      <c r="P547" s="305"/>
      <c r="Q547" s="305"/>
      <c r="R547" s="305"/>
      <c r="S547" s="305"/>
      <c r="T547" s="305"/>
      <c r="U547" s="333"/>
      <c r="V547" s="333"/>
      <c r="W547" s="305"/>
      <c r="X547" s="305"/>
      <c r="Y547" s="305"/>
    </row>
    <row r="548" spans="9:25" ht="12.75">
      <c r="I548" s="82"/>
      <c r="J548" s="82"/>
      <c r="K548" s="82"/>
      <c r="L548" s="82"/>
      <c r="M548" s="82"/>
      <c r="N548" s="82"/>
      <c r="O548" s="82"/>
      <c r="P548" s="305"/>
      <c r="Q548" s="305"/>
      <c r="R548" s="305"/>
      <c r="S548" s="305"/>
      <c r="T548" s="305"/>
      <c r="U548" s="333"/>
      <c r="V548" s="333"/>
      <c r="W548" s="305"/>
      <c r="X548" s="305"/>
      <c r="Y548" s="305"/>
    </row>
    <row r="549" spans="9:25" ht="12.75">
      <c r="I549" s="82"/>
      <c r="J549" s="82"/>
      <c r="K549" s="82"/>
      <c r="L549" s="82"/>
      <c r="M549" s="82"/>
      <c r="N549" s="82"/>
      <c r="O549" s="82"/>
      <c r="P549" s="305"/>
      <c r="Q549" s="305"/>
      <c r="R549" s="305"/>
      <c r="S549" s="305"/>
      <c r="T549" s="305"/>
      <c r="U549" s="333"/>
      <c r="V549" s="333"/>
      <c r="W549" s="305"/>
      <c r="X549" s="305"/>
      <c r="Y549" s="305"/>
    </row>
    <row r="550" spans="9:25" ht="12.75">
      <c r="I550" s="82"/>
      <c r="J550" s="82"/>
      <c r="K550" s="82"/>
      <c r="L550" s="82"/>
      <c r="M550" s="82"/>
      <c r="N550" s="82"/>
      <c r="O550" s="82"/>
      <c r="P550" s="305"/>
      <c r="Q550" s="305"/>
      <c r="R550" s="305"/>
      <c r="S550" s="305"/>
      <c r="T550" s="305"/>
      <c r="U550" s="333"/>
      <c r="V550" s="333"/>
      <c r="W550" s="305"/>
      <c r="X550" s="305"/>
      <c r="Y550" s="305"/>
    </row>
    <row r="551" spans="9:25" ht="12.75">
      <c r="I551" s="82"/>
      <c r="J551" s="82"/>
      <c r="K551" s="82"/>
      <c r="L551" s="82"/>
      <c r="M551" s="82"/>
      <c r="N551" s="82"/>
      <c r="O551" s="82"/>
      <c r="P551" s="305"/>
      <c r="Q551" s="305"/>
      <c r="R551" s="305"/>
      <c r="S551" s="305"/>
      <c r="T551" s="305"/>
      <c r="U551" s="333"/>
      <c r="V551" s="333"/>
      <c r="W551" s="305"/>
      <c r="X551" s="305"/>
      <c r="Y551" s="305"/>
    </row>
    <row r="552" spans="9:25" ht="12.75">
      <c r="I552" s="84"/>
      <c r="J552" s="84"/>
      <c r="K552" s="84"/>
      <c r="L552" s="84"/>
      <c r="M552" s="84"/>
      <c r="N552" s="84"/>
      <c r="O552" s="84"/>
      <c r="P552" s="305"/>
      <c r="Q552" s="305"/>
      <c r="R552" s="305"/>
      <c r="S552" s="305"/>
      <c r="T552" s="305"/>
      <c r="U552" s="333"/>
      <c r="V552" s="333"/>
      <c r="W552" s="305"/>
      <c r="X552" s="305"/>
      <c r="Y552" s="305"/>
    </row>
    <row r="553" spans="9:25" ht="12.75">
      <c r="I553" s="84"/>
      <c r="J553" s="84"/>
      <c r="K553" s="84"/>
      <c r="L553" s="84"/>
      <c r="M553" s="84"/>
      <c r="N553" s="84"/>
      <c r="O553" s="84"/>
      <c r="P553" s="305"/>
      <c r="Q553" s="305"/>
      <c r="R553" s="305"/>
      <c r="S553" s="305"/>
      <c r="T553" s="305"/>
      <c r="U553" s="333"/>
      <c r="V553" s="333"/>
      <c r="W553" s="305"/>
      <c r="X553" s="305"/>
      <c r="Y553" s="305"/>
    </row>
    <row r="554" spans="9:25" ht="12.75">
      <c r="I554" s="82"/>
      <c r="J554" s="82"/>
      <c r="K554" s="82"/>
      <c r="L554" s="82"/>
      <c r="M554" s="82"/>
      <c r="N554" s="82"/>
      <c r="O554" s="82"/>
      <c r="P554" s="305"/>
      <c r="Q554" s="305"/>
      <c r="R554" s="305"/>
      <c r="S554" s="305"/>
      <c r="T554" s="305"/>
      <c r="U554" s="333"/>
      <c r="V554" s="333"/>
      <c r="W554" s="305"/>
      <c r="X554" s="305"/>
      <c r="Y554" s="305"/>
    </row>
    <row r="555" spans="9:25" ht="12.75">
      <c r="I555" s="82"/>
      <c r="J555" s="82"/>
      <c r="K555" s="82"/>
      <c r="L555" s="82"/>
      <c r="M555" s="82"/>
      <c r="N555" s="82"/>
      <c r="O555" s="82"/>
      <c r="P555" s="305"/>
      <c r="Q555" s="305"/>
      <c r="R555" s="305"/>
      <c r="S555" s="305"/>
      <c r="T555" s="305"/>
      <c r="U555" s="333"/>
      <c r="V555" s="333"/>
      <c r="W555" s="305"/>
      <c r="X555" s="305"/>
      <c r="Y555" s="305"/>
    </row>
    <row r="556" spans="9:25" ht="12.75">
      <c r="I556" s="82"/>
      <c r="J556" s="82"/>
      <c r="K556" s="82"/>
      <c r="L556" s="82"/>
      <c r="M556" s="82"/>
      <c r="N556" s="82"/>
      <c r="O556" s="82"/>
      <c r="P556" s="305"/>
      <c r="Q556" s="305"/>
      <c r="R556" s="305"/>
      <c r="S556" s="305"/>
      <c r="T556" s="305"/>
      <c r="U556" s="333"/>
      <c r="V556" s="333"/>
      <c r="W556" s="305"/>
      <c r="X556" s="305"/>
      <c r="Y556" s="305"/>
    </row>
    <row r="557" spans="9:25" ht="12.75">
      <c r="I557" s="82"/>
      <c r="J557" s="82"/>
      <c r="K557" s="82"/>
      <c r="L557" s="82"/>
      <c r="M557" s="82"/>
      <c r="N557" s="82"/>
      <c r="O557" s="82"/>
      <c r="P557" s="305"/>
      <c r="Q557" s="305"/>
      <c r="R557" s="305"/>
      <c r="S557" s="305"/>
      <c r="T557" s="305"/>
      <c r="U557" s="333"/>
      <c r="V557" s="333"/>
      <c r="W557" s="305"/>
      <c r="X557" s="305"/>
      <c r="Y557" s="305"/>
    </row>
    <row r="558" spans="9:25" ht="12.75">
      <c r="I558" s="82"/>
      <c r="J558" s="82"/>
      <c r="K558" s="82"/>
      <c r="L558" s="82"/>
      <c r="M558" s="82"/>
      <c r="N558" s="82"/>
      <c r="O558" s="82"/>
      <c r="P558" s="305"/>
      <c r="Q558" s="305"/>
      <c r="R558" s="305"/>
      <c r="S558" s="305"/>
      <c r="T558" s="305"/>
      <c r="U558" s="333"/>
      <c r="V558" s="333"/>
      <c r="W558" s="305"/>
      <c r="X558" s="305"/>
      <c r="Y558" s="305"/>
    </row>
    <row r="559" spans="9:25" ht="12.75">
      <c r="I559" s="82"/>
      <c r="J559" s="82"/>
      <c r="K559" s="82"/>
      <c r="L559" s="82"/>
      <c r="M559" s="82"/>
      <c r="N559" s="82"/>
      <c r="O559" s="82"/>
      <c r="P559" s="305"/>
      <c r="Q559" s="305"/>
      <c r="R559" s="305"/>
      <c r="S559" s="305"/>
      <c r="T559" s="305"/>
      <c r="U559" s="333"/>
      <c r="V559" s="333"/>
      <c r="W559" s="305"/>
      <c r="X559" s="305"/>
      <c r="Y559" s="305"/>
    </row>
    <row r="560" spans="9:25" ht="12.75">
      <c r="I560" s="82"/>
      <c r="J560" s="82"/>
      <c r="K560" s="82"/>
      <c r="L560" s="82"/>
      <c r="M560" s="82"/>
      <c r="N560" s="82"/>
      <c r="O560" s="82"/>
      <c r="P560" s="305"/>
      <c r="Q560" s="305"/>
      <c r="R560" s="305"/>
      <c r="S560" s="305"/>
      <c r="T560" s="305"/>
      <c r="U560" s="333"/>
      <c r="V560" s="333"/>
      <c r="W560" s="305"/>
      <c r="X560" s="305"/>
      <c r="Y560" s="305"/>
    </row>
    <row r="561" spans="9:25" ht="12.75">
      <c r="I561" s="82"/>
      <c r="J561" s="82"/>
      <c r="K561" s="82"/>
      <c r="L561" s="82"/>
      <c r="M561" s="82"/>
      <c r="N561" s="82"/>
      <c r="O561" s="82"/>
      <c r="P561" s="305"/>
      <c r="Q561" s="305"/>
      <c r="R561" s="305"/>
      <c r="S561" s="305"/>
      <c r="T561" s="305"/>
      <c r="U561" s="333"/>
      <c r="V561" s="333"/>
      <c r="W561" s="305"/>
      <c r="X561" s="305"/>
      <c r="Y561" s="305"/>
    </row>
    <row r="562" spans="9:25" ht="12.75">
      <c r="I562" s="84"/>
      <c r="J562" s="84"/>
      <c r="K562" s="84"/>
      <c r="L562" s="84"/>
      <c r="M562" s="84"/>
      <c r="N562" s="84"/>
      <c r="O562" s="84"/>
      <c r="P562" s="305"/>
      <c r="Q562" s="305"/>
      <c r="R562" s="305"/>
      <c r="S562" s="305"/>
      <c r="T562" s="305"/>
      <c r="U562" s="333"/>
      <c r="V562" s="333"/>
      <c r="W562" s="305"/>
      <c r="X562" s="305"/>
      <c r="Y562" s="305"/>
    </row>
    <row r="563" spans="9:25" ht="12.75">
      <c r="I563" s="84"/>
      <c r="J563" s="84"/>
      <c r="K563" s="84"/>
      <c r="L563" s="84"/>
      <c r="M563" s="84"/>
      <c r="N563" s="84"/>
      <c r="O563" s="84"/>
      <c r="P563" s="305"/>
      <c r="Q563" s="305"/>
      <c r="R563" s="305"/>
      <c r="S563" s="305"/>
      <c r="T563" s="305"/>
      <c r="U563" s="333"/>
      <c r="V563" s="333"/>
      <c r="W563" s="305"/>
      <c r="X563" s="305"/>
      <c r="Y563" s="305"/>
    </row>
  </sheetData>
  <mergeCells count="540">
    <mergeCell ref="K4:K5"/>
    <mergeCell ref="L4:L5"/>
    <mergeCell ref="A4:A5"/>
    <mergeCell ref="B4:B5"/>
    <mergeCell ref="C4:C5"/>
    <mergeCell ref="D4:D5"/>
    <mergeCell ref="I4:I5"/>
    <mergeCell ref="J4:J5"/>
    <mergeCell ref="E4:E5"/>
    <mergeCell ref="F4:F5"/>
    <mergeCell ref="G4:G5"/>
    <mergeCell ref="H4:H5"/>
    <mergeCell ref="Y4:Y5"/>
    <mergeCell ref="M4:M5"/>
    <mergeCell ref="N4:N5"/>
    <mergeCell ref="U4:U5"/>
    <mergeCell ref="V4:V5"/>
    <mergeCell ref="W4:W5"/>
    <mergeCell ref="X4:X5"/>
    <mergeCell ref="A7:A16"/>
    <mergeCell ref="B7:B16"/>
    <mergeCell ref="C7:C16"/>
    <mergeCell ref="D7:D16"/>
    <mergeCell ref="E7:E16"/>
    <mergeCell ref="F7:F11"/>
    <mergeCell ref="Y7:Y16"/>
    <mergeCell ref="G8:G9"/>
    <mergeCell ref="G11:G12"/>
    <mergeCell ref="F12:F16"/>
    <mergeCell ref="G14:G16"/>
    <mergeCell ref="A17:A26"/>
    <mergeCell ref="B17:B26"/>
    <mergeCell ref="C17:C26"/>
    <mergeCell ref="D17:D26"/>
    <mergeCell ref="E17:E26"/>
    <mergeCell ref="F17:F21"/>
    <mergeCell ref="Y17:Y26"/>
    <mergeCell ref="G18:G19"/>
    <mergeCell ref="G21:G22"/>
    <mergeCell ref="F22:F26"/>
    <mergeCell ref="G24:G26"/>
    <mergeCell ref="A27:A36"/>
    <mergeCell ref="B27:B36"/>
    <mergeCell ref="C27:C36"/>
    <mergeCell ref="D27:D36"/>
    <mergeCell ref="E27:E36"/>
    <mergeCell ref="F27:F31"/>
    <mergeCell ref="Y27:Y36"/>
    <mergeCell ref="G28:G29"/>
    <mergeCell ref="G31:G32"/>
    <mergeCell ref="F32:F36"/>
    <mergeCell ref="G34:G36"/>
    <mergeCell ref="A37:A46"/>
    <mergeCell ref="B37:B46"/>
    <mergeCell ref="C37:C46"/>
    <mergeCell ref="D37:D46"/>
    <mergeCell ref="E37:E46"/>
    <mergeCell ref="F37:F41"/>
    <mergeCell ref="Y37:Y46"/>
    <mergeCell ref="G38:G39"/>
    <mergeCell ref="G41:G42"/>
    <mergeCell ref="F42:F46"/>
    <mergeCell ref="G44:G46"/>
    <mergeCell ref="A47:A56"/>
    <mergeCell ref="B47:B56"/>
    <mergeCell ref="C47:C56"/>
    <mergeCell ref="D47:D56"/>
    <mergeCell ref="E47:E56"/>
    <mergeCell ref="F47:F51"/>
    <mergeCell ref="Y47:Y56"/>
    <mergeCell ref="G48:G49"/>
    <mergeCell ref="G51:G52"/>
    <mergeCell ref="F52:F56"/>
    <mergeCell ref="G54:G56"/>
    <mergeCell ref="A57:A66"/>
    <mergeCell ref="B57:B66"/>
    <mergeCell ref="C57:C66"/>
    <mergeCell ref="D57:D66"/>
    <mergeCell ref="E57:E66"/>
    <mergeCell ref="F57:F61"/>
    <mergeCell ref="Y57:Y66"/>
    <mergeCell ref="G58:G59"/>
    <mergeCell ref="G61:G62"/>
    <mergeCell ref="F62:F66"/>
    <mergeCell ref="G64:G66"/>
    <mergeCell ref="A67:A76"/>
    <mergeCell ref="B67:B76"/>
    <mergeCell ref="C67:C76"/>
    <mergeCell ref="D67:D76"/>
    <mergeCell ref="E67:E76"/>
    <mergeCell ref="F67:F71"/>
    <mergeCell ref="Y67:Y76"/>
    <mergeCell ref="G68:G69"/>
    <mergeCell ref="G71:G72"/>
    <mergeCell ref="F72:F76"/>
    <mergeCell ref="G74:G76"/>
    <mergeCell ref="A77:A86"/>
    <mergeCell ref="B77:B86"/>
    <mergeCell ref="C77:C86"/>
    <mergeCell ref="D77:D86"/>
    <mergeCell ref="E77:E86"/>
    <mergeCell ref="F77:F81"/>
    <mergeCell ref="Y77:Y86"/>
    <mergeCell ref="G78:G79"/>
    <mergeCell ref="G81:G82"/>
    <mergeCell ref="F82:F86"/>
    <mergeCell ref="G84:G86"/>
    <mergeCell ref="A87:A96"/>
    <mergeCell ref="B87:B96"/>
    <mergeCell ref="C87:C96"/>
    <mergeCell ref="D87:D96"/>
    <mergeCell ref="E87:E96"/>
    <mergeCell ref="F87:F91"/>
    <mergeCell ref="Y87:Y96"/>
    <mergeCell ref="G88:G89"/>
    <mergeCell ref="G91:G92"/>
    <mergeCell ref="F92:F96"/>
    <mergeCell ref="G94:G96"/>
    <mergeCell ref="A97:A106"/>
    <mergeCell ref="B97:B106"/>
    <mergeCell ref="C97:C106"/>
    <mergeCell ref="D97:D106"/>
    <mergeCell ref="E97:E106"/>
    <mergeCell ref="F97:F101"/>
    <mergeCell ref="Y97:Y106"/>
    <mergeCell ref="G98:G99"/>
    <mergeCell ref="G101:G102"/>
    <mergeCell ref="F102:F106"/>
    <mergeCell ref="G104:G106"/>
    <mergeCell ref="A107:A116"/>
    <mergeCell ref="B107:B116"/>
    <mergeCell ref="C107:C116"/>
    <mergeCell ref="D107:D116"/>
    <mergeCell ref="E107:E116"/>
    <mergeCell ref="F107:F111"/>
    <mergeCell ref="Y107:Y116"/>
    <mergeCell ref="G108:G109"/>
    <mergeCell ref="G111:G112"/>
    <mergeCell ref="F112:F116"/>
    <mergeCell ref="G114:G116"/>
    <mergeCell ref="A117:A126"/>
    <mergeCell ref="B117:B126"/>
    <mergeCell ref="C117:C126"/>
    <mergeCell ref="D117:D126"/>
    <mergeCell ref="E117:E126"/>
    <mergeCell ref="F117:F121"/>
    <mergeCell ref="Y117:Y126"/>
    <mergeCell ref="G118:G119"/>
    <mergeCell ref="G121:G122"/>
    <mergeCell ref="F122:F126"/>
    <mergeCell ref="G124:G126"/>
    <mergeCell ref="A127:A136"/>
    <mergeCell ref="B127:B136"/>
    <mergeCell ref="C127:C136"/>
    <mergeCell ref="D127:D136"/>
    <mergeCell ref="E127:E136"/>
    <mergeCell ref="F127:F131"/>
    <mergeCell ref="Y127:Y136"/>
    <mergeCell ref="G128:G129"/>
    <mergeCell ref="G131:G132"/>
    <mergeCell ref="F132:F136"/>
    <mergeCell ref="G134:G136"/>
    <mergeCell ref="A137:A146"/>
    <mergeCell ref="B137:B146"/>
    <mergeCell ref="C137:C146"/>
    <mergeCell ref="D137:D146"/>
    <mergeCell ref="E137:E146"/>
    <mergeCell ref="F137:F141"/>
    <mergeCell ref="Y137:Y146"/>
    <mergeCell ref="G138:G139"/>
    <mergeCell ref="G141:G142"/>
    <mergeCell ref="F142:F146"/>
    <mergeCell ref="G144:G146"/>
    <mergeCell ref="A147:A156"/>
    <mergeCell ref="B147:B156"/>
    <mergeCell ref="C147:C156"/>
    <mergeCell ref="D147:D156"/>
    <mergeCell ref="E147:E156"/>
    <mergeCell ref="F147:F151"/>
    <mergeCell ref="Y147:Y156"/>
    <mergeCell ref="G148:G149"/>
    <mergeCell ref="G151:G152"/>
    <mergeCell ref="F152:F156"/>
    <mergeCell ref="G154:G156"/>
    <mergeCell ref="A157:A166"/>
    <mergeCell ref="B157:B166"/>
    <mergeCell ref="C157:C166"/>
    <mergeCell ref="D157:D166"/>
    <mergeCell ref="E157:E166"/>
    <mergeCell ref="F157:F161"/>
    <mergeCell ref="Y157:Y166"/>
    <mergeCell ref="G158:G159"/>
    <mergeCell ref="G161:G162"/>
    <mergeCell ref="F162:F166"/>
    <mergeCell ref="G164:G166"/>
    <mergeCell ref="A167:A176"/>
    <mergeCell ref="B167:B176"/>
    <mergeCell ref="C167:C176"/>
    <mergeCell ref="D167:D176"/>
    <mergeCell ref="E167:E176"/>
    <mergeCell ref="F167:F171"/>
    <mergeCell ref="Y167:Y176"/>
    <mergeCell ref="G168:G169"/>
    <mergeCell ref="G171:G172"/>
    <mergeCell ref="F172:F176"/>
    <mergeCell ref="G174:G176"/>
    <mergeCell ref="A177:A186"/>
    <mergeCell ref="B177:B186"/>
    <mergeCell ref="C177:C186"/>
    <mergeCell ref="D177:D186"/>
    <mergeCell ref="E177:E186"/>
    <mergeCell ref="F177:F181"/>
    <mergeCell ref="Y177:Y186"/>
    <mergeCell ref="G178:G179"/>
    <mergeCell ref="G181:G182"/>
    <mergeCell ref="F182:F186"/>
    <mergeCell ref="G184:G186"/>
    <mergeCell ref="A187:A196"/>
    <mergeCell ref="B187:B196"/>
    <mergeCell ref="C187:C196"/>
    <mergeCell ref="D187:D196"/>
    <mergeCell ref="E187:E196"/>
    <mergeCell ref="F187:F191"/>
    <mergeCell ref="Y187:Y196"/>
    <mergeCell ref="G188:G189"/>
    <mergeCell ref="G191:G192"/>
    <mergeCell ref="F192:F196"/>
    <mergeCell ref="G194:G196"/>
    <mergeCell ref="A197:A206"/>
    <mergeCell ref="B197:B206"/>
    <mergeCell ref="C197:C206"/>
    <mergeCell ref="D197:D206"/>
    <mergeCell ref="E197:E206"/>
    <mergeCell ref="F197:F201"/>
    <mergeCell ref="Y197:Y206"/>
    <mergeCell ref="G198:G199"/>
    <mergeCell ref="G201:G202"/>
    <mergeCell ref="F202:F206"/>
    <mergeCell ref="G204:G206"/>
    <mergeCell ref="A207:A216"/>
    <mergeCell ref="B207:B211"/>
    <mergeCell ref="C207:C211"/>
    <mergeCell ref="D207:D216"/>
    <mergeCell ref="B212:B216"/>
    <mergeCell ref="C212:C216"/>
    <mergeCell ref="E207:E216"/>
    <mergeCell ref="F207:F211"/>
    <mergeCell ref="Y207:Y216"/>
    <mergeCell ref="G208:G209"/>
    <mergeCell ref="G211:G212"/>
    <mergeCell ref="F212:F216"/>
    <mergeCell ref="G214:G216"/>
    <mergeCell ref="A217:A226"/>
    <mergeCell ref="B217:B226"/>
    <mergeCell ref="C217:C226"/>
    <mergeCell ref="D217:D226"/>
    <mergeCell ref="E217:E226"/>
    <mergeCell ref="F217:F221"/>
    <mergeCell ref="Y217:Y226"/>
    <mergeCell ref="G218:G219"/>
    <mergeCell ref="G221:G222"/>
    <mergeCell ref="F222:F226"/>
    <mergeCell ref="G224:G226"/>
    <mergeCell ref="A227:A236"/>
    <mergeCell ref="B227:B236"/>
    <mergeCell ref="C227:C236"/>
    <mergeCell ref="D227:D236"/>
    <mergeCell ref="E227:E236"/>
    <mergeCell ref="F227:F231"/>
    <mergeCell ref="Y227:Y236"/>
    <mergeCell ref="G228:G229"/>
    <mergeCell ref="G231:G232"/>
    <mergeCell ref="F232:F236"/>
    <mergeCell ref="G234:G236"/>
    <mergeCell ref="A237:A246"/>
    <mergeCell ref="B237:B246"/>
    <mergeCell ref="C237:C246"/>
    <mergeCell ref="D237:D246"/>
    <mergeCell ref="E237:E246"/>
    <mergeCell ref="F237:F241"/>
    <mergeCell ref="Y237:Y246"/>
    <mergeCell ref="G238:G239"/>
    <mergeCell ref="G241:G242"/>
    <mergeCell ref="F242:F246"/>
    <mergeCell ref="G244:G246"/>
    <mergeCell ref="A247:A256"/>
    <mergeCell ref="B247:B256"/>
    <mergeCell ref="C247:C256"/>
    <mergeCell ref="D247:D256"/>
    <mergeCell ref="E247:E256"/>
    <mergeCell ref="F247:F251"/>
    <mergeCell ref="Y247:Y256"/>
    <mergeCell ref="G248:G249"/>
    <mergeCell ref="G251:G252"/>
    <mergeCell ref="F252:F256"/>
    <mergeCell ref="G254:G256"/>
    <mergeCell ref="A257:A266"/>
    <mergeCell ref="B257:B266"/>
    <mergeCell ref="C257:C266"/>
    <mergeCell ref="D257:D266"/>
    <mergeCell ref="E257:E266"/>
    <mergeCell ref="F257:F261"/>
    <mergeCell ref="Y257:Y266"/>
    <mergeCell ref="G258:G259"/>
    <mergeCell ref="G261:G262"/>
    <mergeCell ref="F262:F266"/>
    <mergeCell ref="G264:G266"/>
    <mergeCell ref="A267:A276"/>
    <mergeCell ref="B267:B276"/>
    <mergeCell ref="C267:C276"/>
    <mergeCell ref="D267:D276"/>
    <mergeCell ref="E267:E276"/>
    <mergeCell ref="F267:F271"/>
    <mergeCell ref="Y267:Y276"/>
    <mergeCell ref="G268:G269"/>
    <mergeCell ref="G271:G272"/>
    <mergeCell ref="F272:F276"/>
    <mergeCell ref="G274:G276"/>
    <mergeCell ref="A277:A286"/>
    <mergeCell ref="B277:B286"/>
    <mergeCell ref="C277:C286"/>
    <mergeCell ref="D277:D286"/>
    <mergeCell ref="E277:E286"/>
    <mergeCell ref="F277:F281"/>
    <mergeCell ref="Y277:Y286"/>
    <mergeCell ref="G278:G279"/>
    <mergeCell ref="G281:G282"/>
    <mergeCell ref="F282:F286"/>
    <mergeCell ref="G284:G286"/>
    <mergeCell ref="A287:A296"/>
    <mergeCell ref="B287:B296"/>
    <mergeCell ref="C287:C296"/>
    <mergeCell ref="D287:D296"/>
    <mergeCell ref="E287:E296"/>
    <mergeCell ref="F287:F291"/>
    <mergeCell ref="Y287:Y296"/>
    <mergeCell ref="G288:G289"/>
    <mergeCell ref="G291:G292"/>
    <mergeCell ref="F292:F296"/>
    <mergeCell ref="G294:G296"/>
    <mergeCell ref="A297:A306"/>
    <mergeCell ref="B297:B306"/>
    <mergeCell ref="C297:C306"/>
    <mergeCell ref="D297:D306"/>
    <mergeCell ref="E297:E306"/>
    <mergeCell ref="F297:F301"/>
    <mergeCell ref="Y297:Y306"/>
    <mergeCell ref="G298:G299"/>
    <mergeCell ref="G301:G302"/>
    <mergeCell ref="F302:F306"/>
    <mergeCell ref="G304:G306"/>
    <mergeCell ref="A307:A316"/>
    <mergeCell ref="B307:B316"/>
    <mergeCell ref="C307:C316"/>
    <mergeCell ref="D307:D316"/>
    <mergeCell ref="E307:E316"/>
    <mergeCell ref="F307:F311"/>
    <mergeCell ref="Y307:Y316"/>
    <mergeCell ref="G308:G309"/>
    <mergeCell ref="G311:G312"/>
    <mergeCell ref="F312:F316"/>
    <mergeCell ref="G314:G316"/>
    <mergeCell ref="A317:A326"/>
    <mergeCell ref="B317:B326"/>
    <mergeCell ref="C317:C326"/>
    <mergeCell ref="D317:D326"/>
    <mergeCell ref="E317:E326"/>
    <mergeCell ref="F317:F321"/>
    <mergeCell ref="Y317:Y326"/>
    <mergeCell ref="G318:G319"/>
    <mergeCell ref="G321:G322"/>
    <mergeCell ref="F322:F326"/>
    <mergeCell ref="G324:G326"/>
    <mergeCell ref="A327:A336"/>
    <mergeCell ref="B327:B336"/>
    <mergeCell ref="C327:C336"/>
    <mergeCell ref="D327:D336"/>
    <mergeCell ref="E327:E336"/>
    <mergeCell ref="F327:F331"/>
    <mergeCell ref="Y327:Y336"/>
    <mergeCell ref="G328:G329"/>
    <mergeCell ref="G331:G332"/>
    <mergeCell ref="F332:F336"/>
    <mergeCell ref="G334:G336"/>
    <mergeCell ref="A337:A346"/>
    <mergeCell ref="B337:B346"/>
    <mergeCell ref="C337:C346"/>
    <mergeCell ref="D337:D346"/>
    <mergeCell ref="E337:E346"/>
    <mergeCell ref="F337:F341"/>
    <mergeCell ref="Y337:Y346"/>
    <mergeCell ref="G338:G339"/>
    <mergeCell ref="G341:G342"/>
    <mergeCell ref="F342:F346"/>
    <mergeCell ref="G344:G346"/>
    <mergeCell ref="A347:A356"/>
    <mergeCell ref="B347:B356"/>
    <mergeCell ref="C347:C356"/>
    <mergeCell ref="D347:D356"/>
    <mergeCell ref="E347:E356"/>
    <mergeCell ref="F347:F351"/>
    <mergeCell ref="Y347:Y356"/>
    <mergeCell ref="G348:G349"/>
    <mergeCell ref="G351:G352"/>
    <mergeCell ref="F352:F356"/>
    <mergeCell ref="G354:G356"/>
    <mergeCell ref="A357:A366"/>
    <mergeCell ref="B357:B366"/>
    <mergeCell ref="C357:C366"/>
    <mergeCell ref="D357:D366"/>
    <mergeCell ref="E357:E366"/>
    <mergeCell ref="F357:F361"/>
    <mergeCell ref="Y357:Y366"/>
    <mergeCell ref="G358:G359"/>
    <mergeCell ref="G361:G362"/>
    <mergeCell ref="F362:F366"/>
    <mergeCell ref="G364:G366"/>
    <mergeCell ref="A367:A376"/>
    <mergeCell ref="B367:B376"/>
    <mergeCell ref="C367:C376"/>
    <mergeCell ref="D367:D376"/>
    <mergeCell ref="E367:E376"/>
    <mergeCell ref="F367:F371"/>
    <mergeCell ref="Y367:Y376"/>
    <mergeCell ref="G368:G369"/>
    <mergeCell ref="G371:G372"/>
    <mergeCell ref="F372:F376"/>
    <mergeCell ref="G374:G376"/>
    <mergeCell ref="A377:A386"/>
    <mergeCell ref="B377:B386"/>
    <mergeCell ref="C377:C386"/>
    <mergeCell ref="D377:D386"/>
    <mergeCell ref="E377:E386"/>
    <mergeCell ref="F377:F381"/>
    <mergeCell ref="Y377:Y386"/>
    <mergeCell ref="G378:G379"/>
    <mergeCell ref="G381:G382"/>
    <mergeCell ref="F382:F386"/>
    <mergeCell ref="G384:G386"/>
    <mergeCell ref="A387:A396"/>
    <mergeCell ref="B387:B396"/>
    <mergeCell ref="C387:C396"/>
    <mergeCell ref="D387:D396"/>
    <mergeCell ref="E387:E396"/>
    <mergeCell ref="F387:F391"/>
    <mergeCell ref="Y387:Y396"/>
    <mergeCell ref="G388:G389"/>
    <mergeCell ref="G391:G392"/>
    <mergeCell ref="F392:F396"/>
    <mergeCell ref="G394:G396"/>
    <mergeCell ref="A397:A406"/>
    <mergeCell ref="B397:B406"/>
    <mergeCell ref="C397:C406"/>
    <mergeCell ref="D397:D406"/>
    <mergeCell ref="E397:E406"/>
    <mergeCell ref="F397:F401"/>
    <mergeCell ref="Y397:Y406"/>
    <mergeCell ref="G398:G399"/>
    <mergeCell ref="G401:G402"/>
    <mergeCell ref="F402:F406"/>
    <mergeCell ref="G404:G406"/>
    <mergeCell ref="A407:A416"/>
    <mergeCell ref="B407:B416"/>
    <mergeCell ref="C407:C416"/>
    <mergeCell ref="D407:D416"/>
    <mergeCell ref="E407:E416"/>
    <mergeCell ref="F407:F411"/>
    <mergeCell ref="Y407:Y416"/>
    <mergeCell ref="G408:G409"/>
    <mergeCell ref="G411:G412"/>
    <mergeCell ref="F412:F416"/>
    <mergeCell ref="G414:G416"/>
    <mergeCell ref="A417:A426"/>
    <mergeCell ref="B417:B426"/>
    <mergeCell ref="C417:C426"/>
    <mergeCell ref="D417:D426"/>
    <mergeCell ref="E417:E426"/>
    <mergeCell ref="F417:F421"/>
    <mergeCell ref="Y417:Y426"/>
    <mergeCell ref="G418:G419"/>
    <mergeCell ref="G421:G422"/>
    <mergeCell ref="F422:F426"/>
    <mergeCell ref="G424:G426"/>
    <mergeCell ref="A427:A436"/>
    <mergeCell ref="B427:B436"/>
    <mergeCell ref="C427:C436"/>
    <mergeCell ref="D427:D436"/>
    <mergeCell ref="E427:E436"/>
    <mergeCell ref="F427:F431"/>
    <mergeCell ref="Y427:Y436"/>
    <mergeCell ref="G428:G429"/>
    <mergeCell ref="G431:G432"/>
    <mergeCell ref="F432:F436"/>
    <mergeCell ref="G434:G436"/>
    <mergeCell ref="A437:A446"/>
    <mergeCell ref="B437:B446"/>
    <mergeCell ref="C437:C446"/>
    <mergeCell ref="D437:D446"/>
    <mergeCell ref="E437:E446"/>
    <mergeCell ref="F437:F441"/>
    <mergeCell ref="Y437:Y446"/>
    <mergeCell ref="G438:G439"/>
    <mergeCell ref="G441:G442"/>
    <mergeCell ref="F442:F446"/>
    <mergeCell ref="G444:G446"/>
    <mergeCell ref="A447:A456"/>
    <mergeCell ref="B447:B456"/>
    <mergeCell ref="C447:C456"/>
    <mergeCell ref="D447:D456"/>
    <mergeCell ref="E447:E456"/>
    <mergeCell ref="F447:F451"/>
    <mergeCell ref="Y447:Y456"/>
    <mergeCell ref="G448:G449"/>
    <mergeCell ref="G451:G452"/>
    <mergeCell ref="F452:F456"/>
    <mergeCell ref="G454:G456"/>
    <mergeCell ref="A457:A466"/>
    <mergeCell ref="B457:B466"/>
    <mergeCell ref="C457:C466"/>
    <mergeCell ref="D457:D466"/>
    <mergeCell ref="Y457:Y466"/>
    <mergeCell ref="G458:G459"/>
    <mergeCell ref="G461:G462"/>
    <mergeCell ref="F462:F466"/>
    <mergeCell ref="G464:G466"/>
    <mergeCell ref="Y467:Y476"/>
    <mergeCell ref="G468:G469"/>
    <mergeCell ref="G471:G472"/>
    <mergeCell ref="F472:F476"/>
    <mergeCell ref="G474:G476"/>
    <mergeCell ref="A479:X479"/>
    <mergeCell ref="A2:X2"/>
    <mergeCell ref="E467:E476"/>
    <mergeCell ref="F467:F471"/>
    <mergeCell ref="A467:A476"/>
    <mergeCell ref="B467:B476"/>
    <mergeCell ref="C467:C476"/>
    <mergeCell ref="D467:D476"/>
    <mergeCell ref="E457:E466"/>
    <mergeCell ref="F457:F461"/>
  </mergeCells>
  <hyperlinks>
    <hyperlink ref="D77" r:id="rId1" display="DYN@MO 50% (DYNamic Citizens @ctive for Mobility) - 7 Program Ramowy (FP7-SST-CIVITAS-2011-MOVE)"/>
    <hyperlink ref="D87" r:id="rId2" display="DYN@MO 75% (DYNamic Citizens @ctive for Mobility) - 7 Program Ramowy (FP7-SST-CIVITAS-2011-MOVE)"/>
    <hyperlink ref="D97" r:id="rId3" display="DYN@MO 100% (DYNamic Citizens @ctive for Mobility) - 7 Program Ramowy (FP7-SST-CIVITAS-2011-MOVE)"/>
  </hyperlinks>
  <printOptions/>
  <pageMargins left="0.52" right="0.39" top="0.52" bottom="0.47" header="0.23" footer="0.2"/>
  <pageSetup horizontalDpi="600" verticalDpi="600" orientation="landscape" paperSize="9" scale="75" r:id="rId4"/>
  <rowBreaks count="1" manualBreakCount="1">
    <brk id="46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417"/>
  <sheetViews>
    <sheetView tabSelected="1" view="pageBreakPreview" zoomScaleSheetLayoutView="100" workbookViewId="0" topLeftCell="A1">
      <pane xSplit="9" ySplit="5" topLeftCell="J306" activePane="bottomRight" state="frozen"/>
      <selection pane="topLeft" activeCell="D311" sqref="D311:D318"/>
      <selection pane="topRight" activeCell="D311" sqref="D311:D318"/>
      <selection pane="bottomLeft" activeCell="D311" sqref="D311:D318"/>
      <selection pane="bottomRight" activeCell="K336" sqref="K336"/>
    </sheetView>
  </sheetViews>
  <sheetFormatPr defaultColWidth="9.140625" defaultRowHeight="12.75"/>
  <cols>
    <col min="1" max="1" width="3.28125" style="21" customWidth="1"/>
    <col min="2" max="2" width="27.28125" style="21" customWidth="1"/>
    <col min="3" max="3" width="10.140625" style="22" customWidth="1"/>
    <col min="4" max="4" width="13.8515625" style="22" customWidth="1"/>
    <col min="5" max="5" width="13.8515625" style="22" hidden="1" customWidth="1"/>
    <col min="6" max="6" width="9.140625" style="22" customWidth="1"/>
    <col min="7" max="7" width="10.421875" style="21" customWidth="1"/>
    <col min="8" max="8" width="14.28125" style="21" customWidth="1"/>
    <col min="9" max="9" width="9.57421875" style="21" customWidth="1"/>
    <col min="10" max="10" width="9.7109375" style="21" customWidth="1"/>
    <col min="11" max="11" width="10.140625" style="21" bestFit="1" customWidth="1"/>
    <col min="12" max="12" width="9.28125" style="21" customWidth="1"/>
    <col min="13" max="14" width="9.28125" style="21" bestFit="1" customWidth="1"/>
    <col min="15" max="16384" width="9.140625" style="21" customWidth="1"/>
  </cols>
  <sheetData>
    <row r="1" spans="1:14" ht="12.75">
      <c r="A1" s="20"/>
      <c r="N1" s="487" t="s">
        <v>228</v>
      </c>
    </row>
    <row r="2" ht="12.75">
      <c r="A2" s="20"/>
    </row>
    <row r="3" spans="1:14" s="13" customFormat="1" ht="30" customHeight="1" thickBot="1">
      <c r="A3" s="471" t="s">
        <v>144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</row>
    <row r="4" spans="1:14" s="13" customFormat="1" ht="22.5" customHeight="1" thickBot="1">
      <c r="A4" s="379" t="s">
        <v>0</v>
      </c>
      <c r="B4" s="385" t="s">
        <v>1</v>
      </c>
      <c r="C4" s="389" t="s">
        <v>2</v>
      </c>
      <c r="D4" s="389" t="s">
        <v>3</v>
      </c>
      <c r="E4" s="344" t="s">
        <v>79</v>
      </c>
      <c r="F4" s="389" t="s">
        <v>4</v>
      </c>
      <c r="G4" s="385" t="s">
        <v>5</v>
      </c>
      <c r="H4" s="385" t="s">
        <v>6</v>
      </c>
      <c r="I4" s="344" t="s">
        <v>138</v>
      </c>
      <c r="J4" s="344" t="s">
        <v>139</v>
      </c>
      <c r="K4" s="344" t="s">
        <v>140</v>
      </c>
      <c r="L4" s="344" t="s">
        <v>141</v>
      </c>
      <c r="M4" s="344" t="s">
        <v>142</v>
      </c>
      <c r="N4" s="344" t="s">
        <v>143</v>
      </c>
    </row>
    <row r="5" spans="1:14" s="13" customFormat="1" ht="37.5" customHeight="1" thickBot="1">
      <c r="A5" s="472"/>
      <c r="B5" s="382"/>
      <c r="C5" s="384"/>
      <c r="D5" s="384"/>
      <c r="E5" s="454"/>
      <c r="F5" s="384"/>
      <c r="G5" s="472"/>
      <c r="H5" s="386"/>
      <c r="I5" s="345"/>
      <c r="J5" s="345"/>
      <c r="K5" s="345"/>
      <c r="L5" s="345"/>
      <c r="M5" s="345"/>
      <c r="N5" s="345"/>
    </row>
    <row r="6" spans="1:14" s="121" customFormat="1" ht="12.75" customHeight="1" thickBot="1">
      <c r="A6" s="122">
        <v>1</v>
      </c>
      <c r="B6" s="119">
        <v>2</v>
      </c>
      <c r="C6" s="122">
        <v>3</v>
      </c>
      <c r="D6" s="122">
        <v>4</v>
      </c>
      <c r="E6" s="117"/>
      <c r="F6" s="122">
        <v>5</v>
      </c>
      <c r="G6" s="122">
        <v>6</v>
      </c>
      <c r="H6" s="117">
        <v>7</v>
      </c>
      <c r="I6" s="119">
        <v>8</v>
      </c>
      <c r="J6" s="119">
        <v>9</v>
      </c>
      <c r="K6" s="119">
        <v>10</v>
      </c>
      <c r="L6" s="119">
        <v>11</v>
      </c>
      <c r="M6" s="119">
        <v>12</v>
      </c>
      <c r="N6" s="119">
        <v>13</v>
      </c>
    </row>
    <row r="7" spans="1:14" s="67" customFormat="1" ht="12.75">
      <c r="A7" s="455">
        <v>1</v>
      </c>
      <c r="B7" s="214" t="s">
        <v>7</v>
      </c>
      <c r="C7" s="208">
        <v>60004</v>
      </c>
      <c r="D7" s="211" t="s">
        <v>8</v>
      </c>
      <c r="E7" s="211" t="s">
        <v>128</v>
      </c>
      <c r="F7" s="217">
        <v>2008</v>
      </c>
      <c r="G7" s="1" t="s">
        <v>9</v>
      </c>
      <c r="H7" s="15" t="s">
        <v>10</v>
      </c>
      <c r="I7" s="60"/>
      <c r="J7" s="61"/>
      <c r="K7" s="61"/>
      <c r="L7" s="61"/>
      <c r="M7" s="140">
        <f>SUM(I7,K7)</f>
        <v>0</v>
      </c>
      <c r="N7" s="60"/>
    </row>
    <row r="8" spans="1:14" s="67" customFormat="1" ht="12.75">
      <c r="A8" s="460"/>
      <c r="B8" s="215"/>
      <c r="C8" s="209"/>
      <c r="D8" s="362"/>
      <c r="E8" s="362"/>
      <c r="F8" s="228"/>
      <c r="G8" s="414">
        <v>0</v>
      </c>
      <c r="H8" s="16" t="s">
        <v>11</v>
      </c>
      <c r="I8" s="62">
        <f>2350975+891835+1462978+280000</f>
        <v>4985788</v>
      </c>
      <c r="J8" s="63">
        <v>120000</v>
      </c>
      <c r="K8" s="63">
        <v>0</v>
      </c>
      <c r="L8" s="63">
        <v>120000</v>
      </c>
      <c r="M8" s="141">
        <f aca="true" t="shared" si="0" ref="M8:M71">SUM(I8,K8)</f>
        <v>4985788</v>
      </c>
      <c r="N8" s="62"/>
    </row>
    <row r="9" spans="1:14" s="67" customFormat="1" ht="9.75" customHeight="1">
      <c r="A9" s="460"/>
      <c r="B9" s="215"/>
      <c r="C9" s="209"/>
      <c r="D9" s="362"/>
      <c r="E9" s="362"/>
      <c r="F9" s="228"/>
      <c r="G9" s="462"/>
      <c r="H9" s="16" t="s">
        <v>12</v>
      </c>
      <c r="I9" s="62"/>
      <c r="J9" s="63"/>
      <c r="K9" s="63"/>
      <c r="L9" s="63"/>
      <c r="M9" s="141">
        <f t="shared" si="0"/>
        <v>0</v>
      </c>
      <c r="N9" s="62"/>
    </row>
    <row r="10" spans="1:14" s="67" customFormat="1" ht="12.75">
      <c r="A10" s="460"/>
      <c r="B10" s="215"/>
      <c r="C10" s="209"/>
      <c r="D10" s="362"/>
      <c r="E10" s="362"/>
      <c r="F10" s="212"/>
      <c r="G10" s="5" t="s">
        <v>13</v>
      </c>
      <c r="H10" s="16" t="s">
        <v>14</v>
      </c>
      <c r="I10" s="62"/>
      <c r="J10" s="63"/>
      <c r="K10" s="63"/>
      <c r="L10" s="63"/>
      <c r="M10" s="141">
        <f t="shared" si="0"/>
        <v>0</v>
      </c>
      <c r="N10" s="62"/>
    </row>
    <row r="11" spans="1:14" s="67" customFormat="1" ht="12.75">
      <c r="A11" s="460"/>
      <c r="B11" s="215"/>
      <c r="C11" s="209"/>
      <c r="D11" s="362"/>
      <c r="E11" s="362"/>
      <c r="F11" s="227">
        <v>2014</v>
      </c>
      <c r="G11" s="414">
        <v>5305788</v>
      </c>
      <c r="H11" s="16" t="s">
        <v>15</v>
      </c>
      <c r="I11" s="62"/>
      <c r="J11" s="63"/>
      <c r="K11" s="63"/>
      <c r="L11" s="63"/>
      <c r="M11" s="141">
        <f t="shared" si="0"/>
        <v>0</v>
      </c>
      <c r="N11" s="62"/>
    </row>
    <row r="12" spans="1:16" s="67" customFormat="1" ht="12.75">
      <c r="A12" s="460"/>
      <c r="B12" s="215"/>
      <c r="C12" s="209"/>
      <c r="D12" s="362"/>
      <c r="E12" s="362"/>
      <c r="F12" s="228"/>
      <c r="G12" s="462"/>
      <c r="H12" s="16" t="s">
        <v>16</v>
      </c>
      <c r="I12" s="62"/>
      <c r="J12" s="63"/>
      <c r="K12" s="63"/>
      <c r="L12" s="63"/>
      <c r="M12" s="141">
        <f t="shared" si="0"/>
        <v>0</v>
      </c>
      <c r="N12" s="62"/>
      <c r="P12" s="68"/>
    </row>
    <row r="13" spans="1:14" s="67" customFormat="1" ht="12.75">
      <c r="A13" s="460"/>
      <c r="B13" s="215"/>
      <c r="C13" s="209"/>
      <c r="D13" s="362"/>
      <c r="E13" s="362"/>
      <c r="F13" s="228"/>
      <c r="G13" s="5" t="s">
        <v>17</v>
      </c>
      <c r="H13" s="16" t="s">
        <v>18</v>
      </c>
      <c r="I13" s="6">
        <f aca="true" t="shared" si="1" ref="I13:L14">I7+I9+I11</f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123">
        <f t="shared" si="0"/>
        <v>0</v>
      </c>
      <c r="N13" s="149"/>
    </row>
    <row r="14" spans="1:14" s="67" customFormat="1" ht="13.5" thickBot="1">
      <c r="A14" s="456"/>
      <c r="B14" s="207"/>
      <c r="C14" s="210"/>
      <c r="D14" s="362"/>
      <c r="E14" s="362"/>
      <c r="F14" s="216"/>
      <c r="G14" s="8">
        <v>5305788</v>
      </c>
      <c r="H14" s="17" t="s">
        <v>19</v>
      </c>
      <c r="I14" s="9">
        <f t="shared" si="1"/>
        <v>4985788</v>
      </c>
      <c r="J14" s="10">
        <f t="shared" si="1"/>
        <v>120000</v>
      </c>
      <c r="K14" s="10">
        <f t="shared" si="1"/>
        <v>0</v>
      </c>
      <c r="L14" s="10">
        <f t="shared" si="1"/>
        <v>120000</v>
      </c>
      <c r="M14" s="124">
        <f t="shared" si="0"/>
        <v>4985788</v>
      </c>
      <c r="N14" s="150">
        <f>M14/G11</f>
        <v>0.9396885062124608</v>
      </c>
    </row>
    <row r="15" spans="1:14" s="67" customFormat="1" ht="12.75" customHeight="1" hidden="1">
      <c r="A15" s="455">
        <v>2</v>
      </c>
      <c r="B15" s="214" t="s">
        <v>126</v>
      </c>
      <c r="C15" s="208">
        <v>60004</v>
      </c>
      <c r="D15" s="211" t="s">
        <v>8</v>
      </c>
      <c r="E15" s="211" t="s">
        <v>128</v>
      </c>
      <c r="F15" s="228">
        <v>2014</v>
      </c>
      <c r="G15" s="1" t="s">
        <v>9</v>
      </c>
      <c r="H15" s="15" t="s">
        <v>10</v>
      </c>
      <c r="I15" s="60"/>
      <c r="J15" s="61"/>
      <c r="K15" s="61"/>
      <c r="L15" s="61"/>
      <c r="M15" s="142">
        <f t="shared" si="0"/>
        <v>0</v>
      </c>
      <c r="N15" s="64"/>
    </row>
    <row r="16" spans="1:14" s="67" customFormat="1" ht="12.75" hidden="1">
      <c r="A16" s="460"/>
      <c r="B16" s="215"/>
      <c r="C16" s="209"/>
      <c r="D16" s="362"/>
      <c r="E16" s="362"/>
      <c r="F16" s="228"/>
      <c r="G16" s="414">
        <v>0</v>
      </c>
      <c r="H16" s="16" t="s">
        <v>11</v>
      </c>
      <c r="I16" s="62"/>
      <c r="J16" s="63"/>
      <c r="K16" s="63"/>
      <c r="L16" s="63"/>
      <c r="M16" s="141">
        <f t="shared" si="0"/>
        <v>0</v>
      </c>
      <c r="N16" s="62"/>
    </row>
    <row r="17" spans="1:14" s="67" customFormat="1" ht="12.75" hidden="1">
      <c r="A17" s="460"/>
      <c r="B17" s="215"/>
      <c r="C17" s="209"/>
      <c r="D17" s="362"/>
      <c r="E17" s="362"/>
      <c r="F17" s="228"/>
      <c r="G17" s="462"/>
      <c r="H17" s="16" t="s">
        <v>12</v>
      </c>
      <c r="I17" s="62"/>
      <c r="J17" s="63"/>
      <c r="K17" s="63"/>
      <c r="L17" s="63"/>
      <c r="M17" s="141">
        <f t="shared" si="0"/>
        <v>0</v>
      </c>
      <c r="N17" s="62"/>
    </row>
    <row r="18" spans="1:14" s="67" customFormat="1" ht="12.75" hidden="1">
      <c r="A18" s="460"/>
      <c r="B18" s="215"/>
      <c r="C18" s="209"/>
      <c r="D18" s="362"/>
      <c r="E18" s="362"/>
      <c r="F18" s="212"/>
      <c r="G18" s="5" t="s">
        <v>13</v>
      </c>
      <c r="H18" s="16" t="s">
        <v>14</v>
      </c>
      <c r="I18" s="62"/>
      <c r="J18" s="63"/>
      <c r="K18" s="63"/>
      <c r="L18" s="63"/>
      <c r="M18" s="141">
        <f t="shared" si="0"/>
        <v>0</v>
      </c>
      <c r="N18" s="62"/>
    </row>
    <row r="19" spans="1:14" s="67" customFormat="1" ht="12.75" hidden="1">
      <c r="A19" s="460"/>
      <c r="B19" s="215"/>
      <c r="C19" s="209"/>
      <c r="D19" s="362"/>
      <c r="E19" s="362"/>
      <c r="F19" s="227">
        <v>2016</v>
      </c>
      <c r="G19" s="414">
        <v>32000000</v>
      </c>
      <c r="H19" s="16" t="s">
        <v>15</v>
      </c>
      <c r="I19" s="62"/>
      <c r="J19" s="63"/>
      <c r="K19" s="63"/>
      <c r="L19" s="63"/>
      <c r="M19" s="141">
        <f t="shared" si="0"/>
        <v>0</v>
      </c>
      <c r="N19" s="62"/>
    </row>
    <row r="20" spans="1:14" s="67" customFormat="1" ht="12.75" hidden="1">
      <c r="A20" s="460"/>
      <c r="B20" s="215"/>
      <c r="C20" s="209"/>
      <c r="D20" s="362"/>
      <c r="E20" s="362"/>
      <c r="F20" s="228"/>
      <c r="G20" s="462"/>
      <c r="H20" s="16" t="s">
        <v>16</v>
      </c>
      <c r="I20" s="62"/>
      <c r="J20" s="63"/>
      <c r="K20" s="63"/>
      <c r="L20" s="63"/>
      <c r="M20" s="141">
        <f t="shared" si="0"/>
        <v>0</v>
      </c>
      <c r="N20" s="62"/>
    </row>
    <row r="21" spans="1:14" s="67" customFormat="1" ht="12.75" hidden="1">
      <c r="A21" s="460"/>
      <c r="B21" s="215"/>
      <c r="C21" s="209"/>
      <c r="D21" s="362"/>
      <c r="E21" s="362"/>
      <c r="F21" s="228"/>
      <c r="G21" s="5" t="s">
        <v>17</v>
      </c>
      <c r="H21" s="16" t="s">
        <v>18</v>
      </c>
      <c r="I21" s="6">
        <f aca="true" t="shared" si="2" ref="I21:L22">I15+I17+I19</f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123">
        <f t="shared" si="0"/>
        <v>0</v>
      </c>
      <c r="N21" s="149" t="e">
        <f>M21/G16</f>
        <v>#DIV/0!</v>
      </c>
    </row>
    <row r="22" spans="1:14" s="67" customFormat="1" ht="13.5" hidden="1" thickBot="1">
      <c r="A22" s="456"/>
      <c r="B22" s="207"/>
      <c r="C22" s="210"/>
      <c r="D22" s="362"/>
      <c r="E22" s="362"/>
      <c r="F22" s="216"/>
      <c r="G22" s="8">
        <v>32000000</v>
      </c>
      <c r="H22" s="17" t="s">
        <v>19</v>
      </c>
      <c r="I22" s="9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43">
        <f t="shared" si="0"/>
        <v>0</v>
      </c>
      <c r="N22" s="150">
        <f>M22/G19</f>
        <v>0</v>
      </c>
    </row>
    <row r="23" spans="1:14" s="67" customFormat="1" ht="12.75" customHeight="1">
      <c r="A23" s="455">
        <v>2</v>
      </c>
      <c r="B23" s="214" t="s">
        <v>20</v>
      </c>
      <c r="C23" s="208">
        <v>60015</v>
      </c>
      <c r="D23" s="211" t="s">
        <v>8</v>
      </c>
      <c r="E23" s="211" t="s">
        <v>128</v>
      </c>
      <c r="F23" s="217">
        <v>2010</v>
      </c>
      <c r="G23" s="1" t="s">
        <v>9</v>
      </c>
      <c r="H23" s="15" t="s">
        <v>10</v>
      </c>
      <c r="I23" s="69"/>
      <c r="J23" s="61"/>
      <c r="K23" s="61"/>
      <c r="L23" s="61"/>
      <c r="M23" s="140">
        <f t="shared" si="0"/>
        <v>0</v>
      </c>
      <c r="N23" s="60"/>
    </row>
    <row r="24" spans="1:14" s="67" customFormat="1" ht="12.75">
      <c r="A24" s="460"/>
      <c r="B24" s="215"/>
      <c r="C24" s="209"/>
      <c r="D24" s="362"/>
      <c r="E24" s="362"/>
      <c r="F24" s="228"/>
      <c r="G24" s="414">
        <v>0</v>
      </c>
      <c r="H24" s="16" t="s">
        <v>11</v>
      </c>
      <c r="I24" s="62">
        <f>562077+132108+300000</f>
        <v>994185</v>
      </c>
      <c r="J24" s="63">
        <f>300000-50000+55000</f>
        <v>305000</v>
      </c>
      <c r="K24" s="63">
        <v>66478</v>
      </c>
      <c r="L24" s="63">
        <v>305000</v>
      </c>
      <c r="M24" s="141">
        <f t="shared" si="0"/>
        <v>1060663</v>
      </c>
      <c r="N24" s="62"/>
    </row>
    <row r="25" spans="1:14" s="67" customFormat="1" ht="12.75">
      <c r="A25" s="460"/>
      <c r="B25" s="215"/>
      <c r="C25" s="209"/>
      <c r="D25" s="362"/>
      <c r="E25" s="362"/>
      <c r="F25" s="228"/>
      <c r="G25" s="462"/>
      <c r="H25" s="16" t="s">
        <v>12</v>
      </c>
      <c r="I25" s="70"/>
      <c r="J25" s="63"/>
      <c r="K25" s="63"/>
      <c r="L25" s="63"/>
      <c r="M25" s="141">
        <f t="shared" si="0"/>
        <v>0</v>
      </c>
      <c r="N25" s="62"/>
    </row>
    <row r="26" spans="1:14" s="67" customFormat="1" ht="12.75">
      <c r="A26" s="460"/>
      <c r="B26" s="215"/>
      <c r="C26" s="209"/>
      <c r="D26" s="362"/>
      <c r="E26" s="362"/>
      <c r="F26" s="212"/>
      <c r="G26" s="5" t="s">
        <v>13</v>
      </c>
      <c r="H26" s="16" t="s">
        <v>14</v>
      </c>
      <c r="I26" s="70"/>
      <c r="J26" s="63"/>
      <c r="K26" s="63"/>
      <c r="L26" s="63"/>
      <c r="M26" s="141">
        <f t="shared" si="0"/>
        <v>0</v>
      </c>
      <c r="N26" s="62"/>
    </row>
    <row r="27" spans="1:14" s="67" customFormat="1" ht="13.5" customHeight="1">
      <c r="A27" s="460"/>
      <c r="B27" s="215"/>
      <c r="C27" s="209"/>
      <c r="D27" s="362"/>
      <c r="E27" s="362"/>
      <c r="F27" s="227">
        <v>2013</v>
      </c>
      <c r="G27" s="414">
        <v>1299185</v>
      </c>
      <c r="H27" s="16" t="s">
        <v>15</v>
      </c>
      <c r="I27" s="70"/>
      <c r="J27" s="63"/>
      <c r="K27" s="63"/>
      <c r="L27" s="63"/>
      <c r="M27" s="141">
        <f t="shared" si="0"/>
        <v>0</v>
      </c>
      <c r="N27" s="62"/>
    </row>
    <row r="28" spans="1:14" s="67" customFormat="1" ht="12.75">
      <c r="A28" s="460"/>
      <c r="B28" s="215"/>
      <c r="C28" s="209"/>
      <c r="D28" s="362"/>
      <c r="E28" s="362"/>
      <c r="F28" s="228"/>
      <c r="G28" s="462"/>
      <c r="H28" s="16" t="s">
        <v>16</v>
      </c>
      <c r="I28" s="70"/>
      <c r="J28" s="63"/>
      <c r="K28" s="63"/>
      <c r="L28" s="63"/>
      <c r="M28" s="141">
        <f t="shared" si="0"/>
        <v>0</v>
      </c>
      <c r="N28" s="62"/>
    </row>
    <row r="29" spans="1:14" s="67" customFormat="1" ht="15" customHeight="1">
      <c r="A29" s="460"/>
      <c r="B29" s="215"/>
      <c r="C29" s="209"/>
      <c r="D29" s="362"/>
      <c r="E29" s="362"/>
      <c r="F29" s="228"/>
      <c r="G29" s="5" t="s">
        <v>17</v>
      </c>
      <c r="H29" s="16" t="s">
        <v>18</v>
      </c>
      <c r="I29" s="6">
        <f aca="true" t="shared" si="3" ref="I29:L30">I23+I25+I27</f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123">
        <f t="shared" si="0"/>
        <v>0</v>
      </c>
      <c r="N29" s="149"/>
    </row>
    <row r="30" spans="1:14" s="67" customFormat="1" ht="15.75" customHeight="1" thickBot="1">
      <c r="A30" s="456"/>
      <c r="B30" s="207"/>
      <c r="C30" s="210"/>
      <c r="D30" s="363"/>
      <c r="E30" s="362"/>
      <c r="F30" s="216"/>
      <c r="G30" s="8">
        <v>1299185</v>
      </c>
      <c r="H30" s="17" t="s">
        <v>19</v>
      </c>
      <c r="I30" s="9">
        <f t="shared" si="3"/>
        <v>994185</v>
      </c>
      <c r="J30" s="10">
        <f t="shared" si="3"/>
        <v>305000</v>
      </c>
      <c r="K30" s="10">
        <f t="shared" si="3"/>
        <v>66478</v>
      </c>
      <c r="L30" s="10">
        <f t="shared" si="3"/>
        <v>305000</v>
      </c>
      <c r="M30" s="124">
        <f t="shared" si="0"/>
        <v>1060663</v>
      </c>
      <c r="N30" s="150">
        <f>M30/G27</f>
        <v>0.8164064394216374</v>
      </c>
    </row>
    <row r="31" spans="1:14" s="67" customFormat="1" ht="12.75" customHeight="1">
      <c r="A31" s="455">
        <v>3</v>
      </c>
      <c r="B31" s="214" t="s">
        <v>127</v>
      </c>
      <c r="C31" s="208">
        <v>60015</v>
      </c>
      <c r="D31" s="211" t="s">
        <v>8</v>
      </c>
      <c r="E31" s="211" t="s">
        <v>128</v>
      </c>
      <c r="F31" s="217">
        <v>2012</v>
      </c>
      <c r="G31" s="1" t="s">
        <v>9</v>
      </c>
      <c r="H31" s="15" t="s">
        <v>10</v>
      </c>
      <c r="I31" s="69"/>
      <c r="J31" s="61"/>
      <c r="K31" s="61"/>
      <c r="L31" s="61"/>
      <c r="M31" s="140">
        <f t="shared" si="0"/>
        <v>0</v>
      </c>
      <c r="N31" s="60"/>
    </row>
    <row r="32" spans="1:14" s="67" customFormat="1" ht="12.75">
      <c r="A32" s="460"/>
      <c r="B32" s="215"/>
      <c r="C32" s="209"/>
      <c r="D32" s="362"/>
      <c r="E32" s="362"/>
      <c r="F32" s="228"/>
      <c r="G32" s="414">
        <v>0</v>
      </c>
      <c r="H32" s="16" t="s">
        <v>11</v>
      </c>
      <c r="I32" s="62">
        <v>1000000</v>
      </c>
      <c r="J32" s="63">
        <f>35000000-5608452-730000</f>
        <v>28661548</v>
      </c>
      <c r="K32" s="63">
        <v>1113798</v>
      </c>
      <c r="L32" s="63">
        <v>28661548</v>
      </c>
      <c r="M32" s="141">
        <f t="shared" si="0"/>
        <v>2113798</v>
      </c>
      <c r="N32" s="62"/>
    </row>
    <row r="33" spans="1:14" s="67" customFormat="1" ht="12.75">
      <c r="A33" s="460"/>
      <c r="B33" s="215"/>
      <c r="C33" s="209"/>
      <c r="D33" s="362"/>
      <c r="E33" s="362"/>
      <c r="F33" s="228"/>
      <c r="G33" s="462"/>
      <c r="H33" s="16" t="s">
        <v>12</v>
      </c>
      <c r="I33" s="70"/>
      <c r="J33" s="63"/>
      <c r="K33" s="63"/>
      <c r="L33" s="63"/>
      <c r="M33" s="141">
        <f t="shared" si="0"/>
        <v>0</v>
      </c>
      <c r="N33" s="62"/>
    </row>
    <row r="34" spans="1:14" s="67" customFormat="1" ht="12.75">
      <c r="A34" s="460"/>
      <c r="B34" s="215"/>
      <c r="C34" s="209"/>
      <c r="D34" s="362"/>
      <c r="E34" s="362"/>
      <c r="F34" s="212"/>
      <c r="G34" s="5" t="s">
        <v>13</v>
      </c>
      <c r="H34" s="16" t="s">
        <v>14</v>
      </c>
      <c r="I34" s="70"/>
      <c r="J34" s="63"/>
      <c r="K34" s="63"/>
      <c r="L34" s="63"/>
      <c r="M34" s="141">
        <f t="shared" si="0"/>
        <v>0</v>
      </c>
      <c r="N34" s="62"/>
    </row>
    <row r="35" spans="1:14" s="67" customFormat="1" ht="12.75">
      <c r="A35" s="460"/>
      <c r="B35" s="215"/>
      <c r="C35" s="209"/>
      <c r="D35" s="362"/>
      <c r="E35" s="362"/>
      <c r="F35" s="227">
        <v>2016</v>
      </c>
      <c r="G35" s="414">
        <v>149661548</v>
      </c>
      <c r="H35" s="16" t="s">
        <v>15</v>
      </c>
      <c r="I35" s="70"/>
      <c r="J35" s="63"/>
      <c r="K35" s="63"/>
      <c r="L35" s="63"/>
      <c r="M35" s="141">
        <f t="shared" si="0"/>
        <v>0</v>
      </c>
      <c r="N35" s="62"/>
    </row>
    <row r="36" spans="1:16" s="67" customFormat="1" ht="12.75">
      <c r="A36" s="460"/>
      <c r="B36" s="215"/>
      <c r="C36" s="209"/>
      <c r="D36" s="362"/>
      <c r="E36" s="362"/>
      <c r="F36" s="228"/>
      <c r="G36" s="462"/>
      <c r="H36" s="16" t="s">
        <v>16</v>
      </c>
      <c r="I36" s="70"/>
      <c r="J36" s="63"/>
      <c r="K36" s="63"/>
      <c r="L36" s="63"/>
      <c r="M36" s="141">
        <f t="shared" si="0"/>
        <v>0</v>
      </c>
      <c r="N36" s="62"/>
      <c r="P36" s="68"/>
    </row>
    <row r="37" spans="1:14" s="67" customFormat="1" ht="12.75">
      <c r="A37" s="460"/>
      <c r="B37" s="215"/>
      <c r="C37" s="209"/>
      <c r="D37" s="362"/>
      <c r="E37" s="362"/>
      <c r="F37" s="228"/>
      <c r="G37" s="5" t="s">
        <v>17</v>
      </c>
      <c r="H37" s="16" t="s">
        <v>18</v>
      </c>
      <c r="I37" s="6">
        <f aca="true" t="shared" si="4" ref="I37:L38">I31+I33+I35</f>
        <v>0</v>
      </c>
      <c r="J37" s="7">
        <f t="shared" si="4"/>
        <v>0</v>
      </c>
      <c r="K37" s="7">
        <f t="shared" si="4"/>
        <v>0</v>
      </c>
      <c r="L37" s="7">
        <f t="shared" si="4"/>
        <v>0</v>
      </c>
      <c r="M37" s="123">
        <f t="shared" si="0"/>
        <v>0</v>
      </c>
      <c r="N37" s="149"/>
    </row>
    <row r="38" spans="1:14" s="67" customFormat="1" ht="13.5" thickBot="1">
      <c r="A38" s="456"/>
      <c r="B38" s="207"/>
      <c r="C38" s="210"/>
      <c r="D38" s="363"/>
      <c r="E38" s="363"/>
      <c r="F38" s="216"/>
      <c r="G38" s="8">
        <v>149661548</v>
      </c>
      <c r="H38" s="17" t="s">
        <v>19</v>
      </c>
      <c r="I38" s="9">
        <f t="shared" si="4"/>
        <v>1000000</v>
      </c>
      <c r="J38" s="10">
        <f t="shared" si="4"/>
        <v>28661548</v>
      </c>
      <c r="K38" s="10">
        <f t="shared" si="4"/>
        <v>1113798</v>
      </c>
      <c r="L38" s="10">
        <f t="shared" si="4"/>
        <v>28661548</v>
      </c>
      <c r="M38" s="124">
        <f t="shared" si="0"/>
        <v>2113798</v>
      </c>
      <c r="N38" s="150">
        <f>M38/G35</f>
        <v>0.014123854979770756</v>
      </c>
    </row>
    <row r="39" spans="1:14" s="67" customFormat="1" ht="15.75" customHeight="1" hidden="1">
      <c r="A39" s="455">
        <v>4</v>
      </c>
      <c r="B39" s="473" t="s">
        <v>76</v>
      </c>
      <c r="C39" s="476">
        <v>60015</v>
      </c>
      <c r="D39" s="468" t="s">
        <v>8</v>
      </c>
      <c r="E39" s="468" t="s">
        <v>128</v>
      </c>
      <c r="F39" s="479">
        <v>2012</v>
      </c>
      <c r="G39" s="175" t="s">
        <v>9</v>
      </c>
      <c r="H39" s="176" t="s">
        <v>10</v>
      </c>
      <c r="I39" s="177"/>
      <c r="J39" s="178"/>
      <c r="K39" s="178"/>
      <c r="L39" s="178"/>
      <c r="M39" s="179">
        <f t="shared" si="0"/>
        <v>0</v>
      </c>
      <c r="N39" s="180"/>
    </row>
    <row r="40" spans="1:14" s="67" customFormat="1" ht="14.25" customHeight="1" hidden="1">
      <c r="A40" s="460"/>
      <c r="B40" s="474"/>
      <c r="C40" s="477"/>
      <c r="D40" s="469"/>
      <c r="E40" s="469"/>
      <c r="F40" s="464"/>
      <c r="G40" s="466">
        <v>0</v>
      </c>
      <c r="H40" s="181" t="s">
        <v>11</v>
      </c>
      <c r="I40" s="182">
        <v>30000</v>
      </c>
      <c r="J40" s="183"/>
      <c r="K40" s="183"/>
      <c r="L40" s="183"/>
      <c r="M40" s="184">
        <f t="shared" si="0"/>
        <v>30000</v>
      </c>
      <c r="N40" s="182"/>
    </row>
    <row r="41" spans="1:14" s="67" customFormat="1" ht="15.75" customHeight="1" hidden="1">
      <c r="A41" s="460"/>
      <c r="B41" s="474"/>
      <c r="C41" s="477"/>
      <c r="D41" s="469"/>
      <c r="E41" s="469"/>
      <c r="F41" s="464"/>
      <c r="G41" s="467"/>
      <c r="H41" s="181" t="s">
        <v>12</v>
      </c>
      <c r="I41" s="185"/>
      <c r="J41" s="183"/>
      <c r="K41" s="183"/>
      <c r="L41" s="183"/>
      <c r="M41" s="184">
        <f t="shared" si="0"/>
        <v>0</v>
      </c>
      <c r="N41" s="182"/>
    </row>
    <row r="42" spans="1:14" s="67" customFormat="1" ht="12.75" customHeight="1" hidden="1">
      <c r="A42" s="460"/>
      <c r="B42" s="474"/>
      <c r="C42" s="477"/>
      <c r="D42" s="469"/>
      <c r="E42" s="469"/>
      <c r="F42" s="480"/>
      <c r="G42" s="186" t="s">
        <v>13</v>
      </c>
      <c r="H42" s="181" t="s">
        <v>14</v>
      </c>
      <c r="I42" s="185"/>
      <c r="J42" s="183"/>
      <c r="K42" s="183"/>
      <c r="L42" s="183"/>
      <c r="M42" s="184">
        <f t="shared" si="0"/>
        <v>0</v>
      </c>
      <c r="N42" s="182"/>
    </row>
    <row r="43" spans="1:14" s="67" customFormat="1" ht="15.75" customHeight="1" hidden="1">
      <c r="A43" s="460"/>
      <c r="B43" s="474"/>
      <c r="C43" s="477"/>
      <c r="D43" s="469"/>
      <c r="E43" s="469"/>
      <c r="F43" s="463">
        <v>2015</v>
      </c>
      <c r="G43" s="466">
        <v>2180000</v>
      </c>
      <c r="H43" s="181" t="s">
        <v>15</v>
      </c>
      <c r="I43" s="185"/>
      <c r="J43" s="183"/>
      <c r="K43" s="183"/>
      <c r="L43" s="183"/>
      <c r="M43" s="184">
        <f t="shared" si="0"/>
        <v>0</v>
      </c>
      <c r="N43" s="182"/>
    </row>
    <row r="44" spans="1:14" s="67" customFormat="1" ht="11.25" customHeight="1" hidden="1">
      <c r="A44" s="460"/>
      <c r="B44" s="474"/>
      <c r="C44" s="477"/>
      <c r="D44" s="469"/>
      <c r="E44" s="469"/>
      <c r="F44" s="464"/>
      <c r="G44" s="467"/>
      <c r="H44" s="181" t="s">
        <v>16</v>
      </c>
      <c r="I44" s="185"/>
      <c r="J44" s="183"/>
      <c r="K44" s="183"/>
      <c r="L44" s="183"/>
      <c r="M44" s="184">
        <f t="shared" si="0"/>
        <v>0</v>
      </c>
      <c r="N44" s="182"/>
    </row>
    <row r="45" spans="1:14" s="67" customFormat="1" ht="12.75" customHeight="1" hidden="1">
      <c r="A45" s="460"/>
      <c r="B45" s="474"/>
      <c r="C45" s="477"/>
      <c r="D45" s="469"/>
      <c r="E45" s="469"/>
      <c r="F45" s="464"/>
      <c r="G45" s="186" t="s">
        <v>17</v>
      </c>
      <c r="H45" s="181" t="s">
        <v>18</v>
      </c>
      <c r="I45" s="187">
        <f aca="true" t="shared" si="5" ref="I45:L46">I39+I41+I43</f>
        <v>0</v>
      </c>
      <c r="J45" s="188">
        <f t="shared" si="5"/>
        <v>0</v>
      </c>
      <c r="K45" s="188">
        <f t="shared" si="5"/>
        <v>0</v>
      </c>
      <c r="L45" s="188">
        <f t="shared" si="5"/>
        <v>0</v>
      </c>
      <c r="M45" s="189">
        <f t="shared" si="0"/>
        <v>0</v>
      </c>
      <c r="N45" s="190"/>
    </row>
    <row r="46" spans="1:14" s="67" customFormat="1" ht="13.5" customHeight="1" hidden="1" thickBot="1">
      <c r="A46" s="456"/>
      <c r="B46" s="475"/>
      <c r="C46" s="478"/>
      <c r="D46" s="470"/>
      <c r="E46" s="470"/>
      <c r="F46" s="465"/>
      <c r="G46" s="191">
        <v>2180000</v>
      </c>
      <c r="H46" s="192" t="s">
        <v>19</v>
      </c>
      <c r="I46" s="193">
        <f t="shared" si="5"/>
        <v>30000</v>
      </c>
      <c r="J46" s="194">
        <f t="shared" si="5"/>
        <v>0</v>
      </c>
      <c r="K46" s="194">
        <f t="shared" si="5"/>
        <v>0</v>
      </c>
      <c r="L46" s="194">
        <f t="shared" si="5"/>
        <v>0</v>
      </c>
      <c r="M46" s="195">
        <f t="shared" si="0"/>
        <v>30000</v>
      </c>
      <c r="N46" s="196">
        <f>M46/G43</f>
        <v>0.013761467889908258</v>
      </c>
    </row>
    <row r="47" spans="1:14" s="67" customFormat="1" ht="12.75" customHeight="1" hidden="1">
      <c r="A47" s="455">
        <v>5</v>
      </c>
      <c r="B47" s="214" t="s">
        <v>21</v>
      </c>
      <c r="C47" s="208">
        <v>60015</v>
      </c>
      <c r="D47" s="211" t="s">
        <v>8</v>
      </c>
      <c r="E47" s="211" t="s">
        <v>128</v>
      </c>
      <c r="F47" s="228">
        <v>2014</v>
      </c>
      <c r="G47" s="1" t="s">
        <v>9</v>
      </c>
      <c r="H47" s="18" t="s">
        <v>10</v>
      </c>
      <c r="I47" s="69"/>
      <c r="J47" s="65"/>
      <c r="K47" s="65"/>
      <c r="L47" s="65"/>
      <c r="M47" s="142">
        <f t="shared" si="0"/>
        <v>0</v>
      </c>
      <c r="N47" s="64"/>
    </row>
    <row r="48" spans="1:14" s="67" customFormat="1" ht="14.25" customHeight="1" hidden="1">
      <c r="A48" s="460"/>
      <c r="B48" s="215"/>
      <c r="C48" s="209"/>
      <c r="D48" s="362"/>
      <c r="E48" s="362"/>
      <c r="F48" s="228"/>
      <c r="G48" s="414">
        <v>0</v>
      </c>
      <c r="H48" s="16" t="s">
        <v>11</v>
      </c>
      <c r="I48" s="70"/>
      <c r="J48" s="63"/>
      <c r="K48" s="63"/>
      <c r="L48" s="63"/>
      <c r="M48" s="141">
        <f t="shared" si="0"/>
        <v>0</v>
      </c>
      <c r="N48" s="62"/>
    </row>
    <row r="49" spans="1:14" s="67" customFormat="1" ht="15.75" customHeight="1" hidden="1">
      <c r="A49" s="460"/>
      <c r="B49" s="215"/>
      <c r="C49" s="209"/>
      <c r="D49" s="362"/>
      <c r="E49" s="362"/>
      <c r="F49" s="228"/>
      <c r="G49" s="462"/>
      <c r="H49" s="16" t="s">
        <v>12</v>
      </c>
      <c r="I49" s="70"/>
      <c r="J49" s="63"/>
      <c r="K49" s="63"/>
      <c r="L49" s="63"/>
      <c r="M49" s="141">
        <f t="shared" si="0"/>
        <v>0</v>
      </c>
      <c r="N49" s="62"/>
    </row>
    <row r="50" spans="1:14" s="67" customFormat="1" ht="12.75" hidden="1">
      <c r="A50" s="460"/>
      <c r="B50" s="215"/>
      <c r="C50" s="209"/>
      <c r="D50" s="362"/>
      <c r="E50" s="362"/>
      <c r="F50" s="212"/>
      <c r="G50" s="5" t="s">
        <v>13</v>
      </c>
      <c r="H50" s="16" t="s">
        <v>14</v>
      </c>
      <c r="I50" s="70"/>
      <c r="J50" s="63"/>
      <c r="K50" s="63"/>
      <c r="L50" s="63"/>
      <c r="M50" s="141">
        <f t="shared" si="0"/>
        <v>0</v>
      </c>
      <c r="N50" s="62"/>
    </row>
    <row r="51" spans="1:14" s="67" customFormat="1" ht="15.75" customHeight="1" hidden="1">
      <c r="A51" s="460"/>
      <c r="B51" s="215"/>
      <c r="C51" s="209"/>
      <c r="D51" s="362"/>
      <c r="E51" s="362"/>
      <c r="F51" s="227">
        <v>2016</v>
      </c>
      <c r="G51" s="414">
        <v>10000000</v>
      </c>
      <c r="H51" s="16" t="s">
        <v>15</v>
      </c>
      <c r="I51" s="70"/>
      <c r="J51" s="63"/>
      <c r="K51" s="63"/>
      <c r="L51" s="63"/>
      <c r="M51" s="141">
        <f t="shared" si="0"/>
        <v>0</v>
      </c>
      <c r="N51" s="62"/>
    </row>
    <row r="52" spans="1:14" s="67" customFormat="1" ht="12.75" hidden="1">
      <c r="A52" s="460"/>
      <c r="B52" s="215"/>
      <c r="C52" s="209"/>
      <c r="D52" s="362"/>
      <c r="E52" s="362"/>
      <c r="F52" s="228"/>
      <c r="G52" s="462"/>
      <c r="H52" s="16" t="s">
        <v>16</v>
      </c>
      <c r="I52" s="70"/>
      <c r="J52" s="63"/>
      <c r="K52" s="63"/>
      <c r="L52" s="63"/>
      <c r="M52" s="141">
        <f t="shared" si="0"/>
        <v>0</v>
      </c>
      <c r="N52" s="62"/>
    </row>
    <row r="53" spans="1:14" s="67" customFormat="1" ht="14.25" customHeight="1" hidden="1">
      <c r="A53" s="460"/>
      <c r="B53" s="215"/>
      <c r="C53" s="209"/>
      <c r="D53" s="362"/>
      <c r="E53" s="362"/>
      <c r="F53" s="228"/>
      <c r="G53" s="5" t="s">
        <v>17</v>
      </c>
      <c r="H53" s="16" t="s">
        <v>18</v>
      </c>
      <c r="I53" s="6">
        <f aca="true" t="shared" si="6" ref="I53:L54">I47+I49+I51</f>
        <v>0</v>
      </c>
      <c r="J53" s="7">
        <f t="shared" si="6"/>
        <v>0</v>
      </c>
      <c r="K53" s="7">
        <f t="shared" si="6"/>
        <v>0</v>
      </c>
      <c r="L53" s="7">
        <f t="shared" si="6"/>
        <v>0</v>
      </c>
      <c r="M53" s="123">
        <f t="shared" si="0"/>
        <v>0</v>
      </c>
      <c r="N53" s="149" t="e">
        <f>M53/G48</f>
        <v>#DIV/0!</v>
      </c>
    </row>
    <row r="54" spans="1:14" s="67" customFormat="1" ht="15" customHeight="1" hidden="1" thickBot="1">
      <c r="A54" s="456"/>
      <c r="B54" s="207"/>
      <c r="C54" s="210"/>
      <c r="D54" s="362"/>
      <c r="E54" s="362"/>
      <c r="F54" s="216"/>
      <c r="G54" s="8">
        <v>10000000</v>
      </c>
      <c r="H54" s="17" t="s">
        <v>19</v>
      </c>
      <c r="I54" s="9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24">
        <f t="shared" si="0"/>
        <v>0</v>
      </c>
      <c r="N54" s="150">
        <f>M54/G51</f>
        <v>0</v>
      </c>
    </row>
    <row r="55" spans="1:14" s="67" customFormat="1" ht="17.25" customHeight="1">
      <c r="A55" s="455">
        <v>4</v>
      </c>
      <c r="B55" s="214" t="s">
        <v>78</v>
      </c>
      <c r="C55" s="208">
        <v>60016</v>
      </c>
      <c r="D55" s="211" t="s">
        <v>8</v>
      </c>
      <c r="E55" s="211" t="s">
        <v>128</v>
      </c>
      <c r="F55" s="217">
        <v>2012</v>
      </c>
      <c r="G55" s="1" t="s">
        <v>9</v>
      </c>
      <c r="H55" s="15" t="s">
        <v>10</v>
      </c>
      <c r="I55" s="69"/>
      <c r="J55" s="61"/>
      <c r="K55" s="61"/>
      <c r="L55" s="61"/>
      <c r="M55" s="140">
        <f t="shared" si="0"/>
        <v>0</v>
      </c>
      <c r="N55" s="60"/>
    </row>
    <row r="56" spans="1:14" s="67" customFormat="1" ht="17.25" customHeight="1">
      <c r="A56" s="460"/>
      <c r="B56" s="215"/>
      <c r="C56" s="209"/>
      <c r="D56" s="362"/>
      <c r="E56" s="362"/>
      <c r="F56" s="228"/>
      <c r="G56" s="414">
        <v>0</v>
      </c>
      <c r="H56" s="16" t="s">
        <v>11</v>
      </c>
      <c r="I56" s="62">
        <v>3000000</v>
      </c>
      <c r="J56" s="63">
        <f>10400000+200000-55000+2959350</f>
        <v>13504350</v>
      </c>
      <c r="K56" s="63">
        <v>3175389</v>
      </c>
      <c r="L56" s="63">
        <v>13504350</v>
      </c>
      <c r="M56" s="141">
        <f t="shared" si="0"/>
        <v>6175389</v>
      </c>
      <c r="N56" s="62"/>
    </row>
    <row r="57" spans="1:14" s="67" customFormat="1" ht="17.25" customHeight="1">
      <c r="A57" s="460"/>
      <c r="B57" s="215"/>
      <c r="C57" s="209"/>
      <c r="D57" s="362"/>
      <c r="E57" s="362"/>
      <c r="F57" s="228"/>
      <c r="G57" s="462"/>
      <c r="H57" s="16" t="s">
        <v>12</v>
      </c>
      <c r="I57" s="70"/>
      <c r="J57" s="63"/>
      <c r="K57" s="63"/>
      <c r="L57" s="63"/>
      <c r="M57" s="141">
        <f t="shared" si="0"/>
        <v>0</v>
      </c>
      <c r="N57" s="62"/>
    </row>
    <row r="58" spans="1:16" s="67" customFormat="1" ht="12.75">
      <c r="A58" s="460"/>
      <c r="B58" s="215"/>
      <c r="C58" s="209"/>
      <c r="D58" s="362"/>
      <c r="E58" s="362"/>
      <c r="F58" s="212"/>
      <c r="G58" s="5" t="s">
        <v>13</v>
      </c>
      <c r="H58" s="16" t="s">
        <v>14</v>
      </c>
      <c r="I58" s="70"/>
      <c r="J58" s="63"/>
      <c r="K58" s="63"/>
      <c r="L58" s="63"/>
      <c r="M58" s="141">
        <f t="shared" si="0"/>
        <v>0</v>
      </c>
      <c r="N58" s="62"/>
      <c r="P58" s="68"/>
    </row>
    <row r="59" spans="1:14" s="67" customFormat="1" ht="17.25" customHeight="1">
      <c r="A59" s="460"/>
      <c r="B59" s="215"/>
      <c r="C59" s="209"/>
      <c r="D59" s="362"/>
      <c r="E59" s="362"/>
      <c r="F59" s="227">
        <v>2016</v>
      </c>
      <c r="G59" s="414">
        <v>67824350</v>
      </c>
      <c r="H59" s="16" t="s">
        <v>15</v>
      </c>
      <c r="I59" s="70"/>
      <c r="J59" s="63"/>
      <c r="K59" s="63"/>
      <c r="L59" s="63"/>
      <c r="M59" s="141">
        <f t="shared" si="0"/>
        <v>0</v>
      </c>
      <c r="N59" s="62"/>
    </row>
    <row r="60" spans="1:14" s="67" customFormat="1" ht="12.75">
      <c r="A60" s="460"/>
      <c r="B60" s="215"/>
      <c r="C60" s="209"/>
      <c r="D60" s="362"/>
      <c r="E60" s="362"/>
      <c r="F60" s="228"/>
      <c r="G60" s="462"/>
      <c r="H60" s="16" t="s">
        <v>16</v>
      </c>
      <c r="I60" s="70"/>
      <c r="J60" s="63"/>
      <c r="K60" s="63"/>
      <c r="L60" s="63"/>
      <c r="M60" s="141">
        <f t="shared" si="0"/>
        <v>0</v>
      </c>
      <c r="N60" s="62"/>
    </row>
    <row r="61" spans="1:14" s="67" customFormat="1" ht="12.75">
      <c r="A61" s="460"/>
      <c r="B61" s="215"/>
      <c r="C61" s="209"/>
      <c r="D61" s="362"/>
      <c r="E61" s="362"/>
      <c r="F61" s="228"/>
      <c r="G61" s="5" t="s">
        <v>17</v>
      </c>
      <c r="H61" s="16" t="s">
        <v>18</v>
      </c>
      <c r="I61" s="6">
        <f aca="true" t="shared" si="7" ref="I61:L62">I55+I57+I59</f>
        <v>0</v>
      </c>
      <c r="J61" s="7">
        <f t="shared" si="7"/>
        <v>0</v>
      </c>
      <c r="K61" s="7">
        <f t="shared" si="7"/>
        <v>0</v>
      </c>
      <c r="L61" s="7">
        <f t="shared" si="7"/>
        <v>0</v>
      </c>
      <c r="M61" s="123">
        <f t="shared" si="0"/>
        <v>0</v>
      </c>
      <c r="N61" s="149"/>
    </row>
    <row r="62" spans="1:14" s="67" customFormat="1" ht="15" customHeight="1" thickBot="1">
      <c r="A62" s="456"/>
      <c r="B62" s="207"/>
      <c r="C62" s="210"/>
      <c r="D62" s="363"/>
      <c r="E62" s="362"/>
      <c r="F62" s="216"/>
      <c r="G62" s="8">
        <v>67824350</v>
      </c>
      <c r="H62" s="17" t="s">
        <v>19</v>
      </c>
      <c r="I62" s="9">
        <f t="shared" si="7"/>
        <v>3000000</v>
      </c>
      <c r="J62" s="10">
        <f t="shared" si="7"/>
        <v>13504350</v>
      </c>
      <c r="K62" s="10">
        <f t="shared" si="7"/>
        <v>3175389</v>
      </c>
      <c r="L62" s="10">
        <f t="shared" si="7"/>
        <v>13504350</v>
      </c>
      <c r="M62" s="124">
        <f t="shared" si="0"/>
        <v>6175389</v>
      </c>
      <c r="N62" s="150">
        <f>M62/G59</f>
        <v>0.09104973361337042</v>
      </c>
    </row>
    <row r="63" spans="1:14" s="67" customFormat="1" ht="15" customHeight="1">
      <c r="A63" s="455">
        <v>5</v>
      </c>
      <c r="B63" s="214" t="s">
        <v>22</v>
      </c>
      <c r="C63" s="208">
        <v>60016</v>
      </c>
      <c r="D63" s="211" t="s">
        <v>8</v>
      </c>
      <c r="E63" s="211" t="s">
        <v>128</v>
      </c>
      <c r="F63" s="217">
        <v>2011</v>
      </c>
      <c r="G63" s="1" t="s">
        <v>9</v>
      </c>
      <c r="H63" s="15" t="s">
        <v>10</v>
      </c>
      <c r="I63" s="69"/>
      <c r="J63" s="61"/>
      <c r="K63" s="61"/>
      <c r="L63" s="61"/>
      <c r="M63" s="142">
        <f t="shared" si="0"/>
        <v>0</v>
      </c>
      <c r="N63" s="64"/>
    </row>
    <row r="64" spans="1:14" s="67" customFormat="1" ht="15" customHeight="1">
      <c r="A64" s="460"/>
      <c r="B64" s="215"/>
      <c r="C64" s="209"/>
      <c r="D64" s="362"/>
      <c r="E64" s="362"/>
      <c r="F64" s="228"/>
      <c r="G64" s="414">
        <v>0</v>
      </c>
      <c r="H64" s="16" t="s">
        <v>11</v>
      </c>
      <c r="I64" s="62">
        <f>1950859+2000000</f>
        <v>3950859</v>
      </c>
      <c r="J64" s="63">
        <v>1700000</v>
      </c>
      <c r="K64" s="63">
        <v>957125</v>
      </c>
      <c r="L64" s="63">
        <v>1700000</v>
      </c>
      <c r="M64" s="141">
        <f t="shared" si="0"/>
        <v>4907984</v>
      </c>
      <c r="N64" s="62"/>
    </row>
    <row r="65" spans="1:14" s="67" customFormat="1" ht="15" customHeight="1">
      <c r="A65" s="460"/>
      <c r="B65" s="215"/>
      <c r="C65" s="209"/>
      <c r="D65" s="362"/>
      <c r="E65" s="362"/>
      <c r="F65" s="228"/>
      <c r="G65" s="462"/>
      <c r="H65" s="16" t="s">
        <v>12</v>
      </c>
      <c r="I65" s="70"/>
      <c r="J65" s="63"/>
      <c r="K65" s="63"/>
      <c r="L65" s="63"/>
      <c r="M65" s="141">
        <f t="shared" si="0"/>
        <v>0</v>
      </c>
      <c r="N65" s="62"/>
    </row>
    <row r="66" spans="1:14" s="67" customFormat="1" ht="15" customHeight="1">
      <c r="A66" s="460"/>
      <c r="B66" s="215"/>
      <c r="C66" s="209"/>
      <c r="D66" s="362"/>
      <c r="E66" s="362"/>
      <c r="F66" s="212"/>
      <c r="G66" s="5" t="s">
        <v>13</v>
      </c>
      <c r="H66" s="16" t="s">
        <v>14</v>
      </c>
      <c r="I66" s="70"/>
      <c r="J66" s="63"/>
      <c r="K66" s="63"/>
      <c r="L66" s="63"/>
      <c r="M66" s="141">
        <f t="shared" si="0"/>
        <v>0</v>
      </c>
      <c r="N66" s="62"/>
    </row>
    <row r="67" spans="1:15" s="67" customFormat="1" ht="15" customHeight="1">
      <c r="A67" s="460"/>
      <c r="B67" s="215"/>
      <c r="C67" s="209"/>
      <c r="D67" s="362"/>
      <c r="E67" s="362"/>
      <c r="F67" s="227">
        <v>2014</v>
      </c>
      <c r="G67" s="414">
        <v>7220000</v>
      </c>
      <c r="H67" s="16" t="s">
        <v>15</v>
      </c>
      <c r="I67" s="70"/>
      <c r="J67" s="63"/>
      <c r="K67" s="63"/>
      <c r="L67" s="63"/>
      <c r="M67" s="141">
        <f t="shared" si="0"/>
        <v>0</v>
      </c>
      <c r="N67" s="62"/>
      <c r="O67" s="68"/>
    </row>
    <row r="68" spans="1:14" s="67" customFormat="1" ht="15" customHeight="1">
      <c r="A68" s="460"/>
      <c r="B68" s="215"/>
      <c r="C68" s="209"/>
      <c r="D68" s="362"/>
      <c r="E68" s="362"/>
      <c r="F68" s="228"/>
      <c r="G68" s="462"/>
      <c r="H68" s="16" t="s">
        <v>16</v>
      </c>
      <c r="I68" s="70"/>
      <c r="J68" s="63"/>
      <c r="K68" s="63"/>
      <c r="L68" s="63"/>
      <c r="M68" s="141">
        <f t="shared" si="0"/>
        <v>0</v>
      </c>
      <c r="N68" s="62"/>
    </row>
    <row r="69" spans="1:14" s="67" customFormat="1" ht="15" customHeight="1">
      <c r="A69" s="460"/>
      <c r="B69" s="215"/>
      <c r="C69" s="209"/>
      <c r="D69" s="362"/>
      <c r="E69" s="362"/>
      <c r="F69" s="228"/>
      <c r="G69" s="5" t="s">
        <v>17</v>
      </c>
      <c r="H69" s="16" t="s">
        <v>18</v>
      </c>
      <c r="I69" s="6">
        <f aca="true" t="shared" si="8" ref="I69:L70">I63+I65+I67</f>
        <v>0</v>
      </c>
      <c r="J69" s="7">
        <f t="shared" si="8"/>
        <v>0</v>
      </c>
      <c r="K69" s="7">
        <f t="shared" si="8"/>
        <v>0</v>
      </c>
      <c r="L69" s="7">
        <f t="shared" si="8"/>
        <v>0</v>
      </c>
      <c r="M69" s="123">
        <f t="shared" si="0"/>
        <v>0</v>
      </c>
      <c r="N69" s="149"/>
    </row>
    <row r="70" spans="1:14" s="67" customFormat="1" ht="15" customHeight="1" thickBot="1">
      <c r="A70" s="456"/>
      <c r="B70" s="207"/>
      <c r="C70" s="210"/>
      <c r="D70" s="363"/>
      <c r="E70" s="362"/>
      <c r="F70" s="216"/>
      <c r="G70" s="8">
        <v>7220000</v>
      </c>
      <c r="H70" s="17" t="s">
        <v>19</v>
      </c>
      <c r="I70" s="9">
        <f t="shared" si="8"/>
        <v>3950859</v>
      </c>
      <c r="J70" s="10">
        <f t="shared" si="8"/>
        <v>1700000</v>
      </c>
      <c r="K70" s="10">
        <f t="shared" si="8"/>
        <v>957125</v>
      </c>
      <c r="L70" s="10">
        <f t="shared" si="8"/>
        <v>1700000</v>
      </c>
      <c r="M70" s="124">
        <f t="shared" si="0"/>
        <v>4907984</v>
      </c>
      <c r="N70" s="150">
        <f>M70/G67</f>
        <v>0.6797761772853186</v>
      </c>
    </row>
    <row r="71" spans="1:14" s="67" customFormat="1" ht="14.25" customHeight="1">
      <c r="A71" s="455">
        <v>6</v>
      </c>
      <c r="B71" s="214" t="s">
        <v>23</v>
      </c>
      <c r="C71" s="208">
        <v>60016</v>
      </c>
      <c r="D71" s="211" t="s">
        <v>8</v>
      </c>
      <c r="E71" s="211" t="s">
        <v>128</v>
      </c>
      <c r="F71" s="217">
        <v>2013</v>
      </c>
      <c r="G71" s="1" t="s">
        <v>9</v>
      </c>
      <c r="H71" s="15" t="s">
        <v>10</v>
      </c>
      <c r="I71" s="69"/>
      <c r="J71" s="61"/>
      <c r="K71" s="61"/>
      <c r="L71" s="61"/>
      <c r="M71" s="140">
        <f t="shared" si="0"/>
        <v>0</v>
      </c>
      <c r="N71" s="60"/>
    </row>
    <row r="72" spans="1:14" s="67" customFormat="1" ht="14.25" customHeight="1">
      <c r="A72" s="460"/>
      <c r="B72" s="215"/>
      <c r="C72" s="209"/>
      <c r="D72" s="362"/>
      <c r="E72" s="362"/>
      <c r="F72" s="228"/>
      <c r="G72" s="414">
        <v>0</v>
      </c>
      <c r="H72" s="16" t="s">
        <v>11</v>
      </c>
      <c r="I72" s="70"/>
      <c r="J72" s="63">
        <v>750000</v>
      </c>
      <c r="K72" s="63">
        <v>0</v>
      </c>
      <c r="L72" s="63">
        <v>750000</v>
      </c>
      <c r="M72" s="141">
        <f aca="true" t="shared" si="9" ref="M72:M135">SUM(I72,K72)</f>
        <v>0</v>
      </c>
      <c r="N72" s="62"/>
    </row>
    <row r="73" spans="1:14" s="67" customFormat="1" ht="14.25" customHeight="1">
      <c r="A73" s="460"/>
      <c r="B73" s="215"/>
      <c r="C73" s="209"/>
      <c r="D73" s="362"/>
      <c r="E73" s="362"/>
      <c r="F73" s="228"/>
      <c r="G73" s="462"/>
      <c r="H73" s="16" t="s">
        <v>12</v>
      </c>
      <c r="I73" s="70"/>
      <c r="J73" s="63"/>
      <c r="K73" s="63"/>
      <c r="L73" s="63"/>
      <c r="M73" s="141">
        <f t="shared" si="9"/>
        <v>0</v>
      </c>
      <c r="N73" s="62"/>
    </row>
    <row r="74" spans="1:14" s="67" customFormat="1" ht="14.25" customHeight="1">
      <c r="A74" s="460"/>
      <c r="B74" s="215"/>
      <c r="C74" s="209"/>
      <c r="D74" s="362"/>
      <c r="E74" s="362"/>
      <c r="F74" s="212"/>
      <c r="G74" s="5" t="s">
        <v>13</v>
      </c>
      <c r="H74" s="16" t="s">
        <v>14</v>
      </c>
      <c r="I74" s="70"/>
      <c r="J74" s="63"/>
      <c r="K74" s="63"/>
      <c r="L74" s="63"/>
      <c r="M74" s="141">
        <f t="shared" si="9"/>
        <v>0</v>
      </c>
      <c r="N74" s="62"/>
    </row>
    <row r="75" spans="1:14" s="67" customFormat="1" ht="14.25" customHeight="1">
      <c r="A75" s="460"/>
      <c r="B75" s="215"/>
      <c r="C75" s="209"/>
      <c r="D75" s="362"/>
      <c r="E75" s="362"/>
      <c r="F75" s="227">
        <v>2016</v>
      </c>
      <c r="G75" s="414">
        <v>3750000</v>
      </c>
      <c r="H75" s="16" t="s">
        <v>15</v>
      </c>
      <c r="I75" s="70"/>
      <c r="J75" s="63"/>
      <c r="K75" s="63"/>
      <c r="L75" s="63"/>
      <c r="M75" s="141">
        <f t="shared" si="9"/>
        <v>0</v>
      </c>
      <c r="N75" s="62"/>
    </row>
    <row r="76" spans="1:14" s="67" customFormat="1" ht="14.25" customHeight="1">
      <c r="A76" s="460"/>
      <c r="B76" s="215"/>
      <c r="C76" s="209"/>
      <c r="D76" s="362"/>
      <c r="E76" s="362"/>
      <c r="F76" s="228"/>
      <c r="G76" s="462"/>
      <c r="H76" s="16" t="s">
        <v>16</v>
      </c>
      <c r="I76" s="70"/>
      <c r="J76" s="63"/>
      <c r="K76" s="63"/>
      <c r="L76" s="63"/>
      <c r="M76" s="141">
        <f t="shared" si="9"/>
        <v>0</v>
      </c>
      <c r="N76" s="62"/>
    </row>
    <row r="77" spans="1:14" s="67" customFormat="1" ht="14.25" customHeight="1">
      <c r="A77" s="460"/>
      <c r="B77" s="215"/>
      <c r="C77" s="209"/>
      <c r="D77" s="362"/>
      <c r="E77" s="362"/>
      <c r="F77" s="228"/>
      <c r="G77" s="5" t="s">
        <v>17</v>
      </c>
      <c r="H77" s="16" t="s">
        <v>18</v>
      </c>
      <c r="I77" s="6">
        <f aca="true" t="shared" si="10" ref="I77:L78">I71+I73+I75</f>
        <v>0</v>
      </c>
      <c r="J77" s="7">
        <f t="shared" si="10"/>
        <v>0</v>
      </c>
      <c r="K77" s="7">
        <f t="shared" si="10"/>
        <v>0</v>
      </c>
      <c r="L77" s="7">
        <f t="shared" si="10"/>
        <v>0</v>
      </c>
      <c r="M77" s="123">
        <f t="shared" si="9"/>
        <v>0</v>
      </c>
      <c r="N77" s="149"/>
    </row>
    <row r="78" spans="1:14" s="67" customFormat="1" ht="14.25" customHeight="1" thickBot="1">
      <c r="A78" s="456"/>
      <c r="B78" s="207"/>
      <c r="C78" s="210"/>
      <c r="D78" s="363"/>
      <c r="E78" s="362"/>
      <c r="F78" s="216"/>
      <c r="G78" s="8">
        <v>3750000</v>
      </c>
      <c r="H78" s="17" t="s">
        <v>19</v>
      </c>
      <c r="I78" s="9">
        <f t="shared" si="10"/>
        <v>0</v>
      </c>
      <c r="J78" s="10">
        <f t="shared" si="10"/>
        <v>750000</v>
      </c>
      <c r="K78" s="10">
        <f t="shared" si="10"/>
        <v>0</v>
      </c>
      <c r="L78" s="10">
        <f t="shared" si="10"/>
        <v>750000</v>
      </c>
      <c r="M78" s="124">
        <f t="shared" si="9"/>
        <v>0</v>
      </c>
      <c r="N78" s="150">
        <f>M78/G75</f>
        <v>0</v>
      </c>
    </row>
    <row r="79" spans="1:14" s="67" customFormat="1" ht="15" customHeight="1">
      <c r="A79" s="455">
        <v>7</v>
      </c>
      <c r="B79" s="214" t="s">
        <v>24</v>
      </c>
      <c r="C79" s="208">
        <v>60016</v>
      </c>
      <c r="D79" s="211" t="s">
        <v>8</v>
      </c>
      <c r="E79" s="211" t="s">
        <v>128</v>
      </c>
      <c r="F79" s="217">
        <v>2012</v>
      </c>
      <c r="G79" s="1" t="s">
        <v>9</v>
      </c>
      <c r="H79" s="15" t="s">
        <v>25</v>
      </c>
      <c r="I79" s="69"/>
      <c r="J79" s="61"/>
      <c r="K79" s="61"/>
      <c r="L79" s="61"/>
      <c r="M79" s="140">
        <f t="shared" si="9"/>
        <v>0</v>
      </c>
      <c r="N79" s="60"/>
    </row>
    <row r="80" spans="1:14" s="67" customFormat="1" ht="12.75">
      <c r="A80" s="460"/>
      <c r="B80" s="215"/>
      <c r="C80" s="209"/>
      <c r="D80" s="362"/>
      <c r="E80" s="362"/>
      <c r="F80" s="228"/>
      <c r="G80" s="414">
        <v>0</v>
      </c>
      <c r="H80" s="16" t="s">
        <v>26</v>
      </c>
      <c r="I80" s="62">
        <v>850000</v>
      </c>
      <c r="J80" s="63">
        <f>350000+70000+80000</f>
        <v>500000</v>
      </c>
      <c r="K80" s="63">
        <v>184935</v>
      </c>
      <c r="L80" s="63">
        <v>500000</v>
      </c>
      <c r="M80" s="141">
        <f t="shared" si="9"/>
        <v>1034935</v>
      </c>
      <c r="N80" s="62"/>
    </row>
    <row r="81" spans="1:14" s="67" customFormat="1" ht="12.75">
      <c r="A81" s="460"/>
      <c r="B81" s="215"/>
      <c r="C81" s="209"/>
      <c r="D81" s="362"/>
      <c r="E81" s="362"/>
      <c r="F81" s="228"/>
      <c r="G81" s="462"/>
      <c r="H81" s="16" t="s">
        <v>12</v>
      </c>
      <c r="I81" s="70"/>
      <c r="J81" s="63"/>
      <c r="K81" s="63"/>
      <c r="L81" s="63"/>
      <c r="M81" s="141">
        <f t="shared" si="9"/>
        <v>0</v>
      </c>
      <c r="N81" s="62"/>
    </row>
    <row r="82" spans="1:15" s="67" customFormat="1" ht="12.75">
      <c r="A82" s="460"/>
      <c r="B82" s="215"/>
      <c r="C82" s="209"/>
      <c r="D82" s="362"/>
      <c r="E82" s="362"/>
      <c r="F82" s="212"/>
      <c r="G82" s="5" t="s">
        <v>13</v>
      </c>
      <c r="H82" s="16" t="s">
        <v>14</v>
      </c>
      <c r="I82" s="70"/>
      <c r="J82" s="63"/>
      <c r="K82" s="63"/>
      <c r="L82" s="63"/>
      <c r="M82" s="141">
        <f t="shared" si="9"/>
        <v>0</v>
      </c>
      <c r="N82" s="62"/>
      <c r="O82" s="68"/>
    </row>
    <row r="83" spans="1:14" s="67" customFormat="1" ht="12.75">
      <c r="A83" s="460"/>
      <c r="B83" s="215"/>
      <c r="C83" s="209"/>
      <c r="D83" s="362"/>
      <c r="E83" s="362"/>
      <c r="F83" s="227">
        <v>2016</v>
      </c>
      <c r="G83" s="414">
        <v>2850000</v>
      </c>
      <c r="H83" s="16" t="s">
        <v>15</v>
      </c>
      <c r="I83" s="70"/>
      <c r="J83" s="63"/>
      <c r="K83" s="63"/>
      <c r="L83" s="63"/>
      <c r="M83" s="141">
        <f t="shared" si="9"/>
        <v>0</v>
      </c>
      <c r="N83" s="62"/>
    </row>
    <row r="84" spans="1:14" s="67" customFormat="1" ht="12.75">
      <c r="A84" s="460"/>
      <c r="B84" s="215"/>
      <c r="C84" s="209"/>
      <c r="D84" s="362"/>
      <c r="E84" s="362"/>
      <c r="F84" s="228"/>
      <c r="G84" s="462"/>
      <c r="H84" s="16" t="s">
        <v>16</v>
      </c>
      <c r="I84" s="70"/>
      <c r="J84" s="63"/>
      <c r="K84" s="63"/>
      <c r="L84" s="63"/>
      <c r="M84" s="141">
        <f t="shared" si="9"/>
        <v>0</v>
      </c>
      <c r="N84" s="62"/>
    </row>
    <row r="85" spans="1:14" s="67" customFormat="1" ht="12.75">
      <c r="A85" s="460"/>
      <c r="B85" s="215"/>
      <c r="C85" s="209"/>
      <c r="D85" s="362"/>
      <c r="E85" s="362"/>
      <c r="F85" s="228"/>
      <c r="G85" s="5" t="s">
        <v>17</v>
      </c>
      <c r="H85" s="16" t="s">
        <v>18</v>
      </c>
      <c r="I85" s="6">
        <f aca="true" t="shared" si="11" ref="I85:L86">I79+I81+I83</f>
        <v>0</v>
      </c>
      <c r="J85" s="7">
        <f t="shared" si="11"/>
        <v>0</v>
      </c>
      <c r="K85" s="7">
        <f t="shared" si="11"/>
        <v>0</v>
      </c>
      <c r="L85" s="7">
        <f t="shared" si="11"/>
        <v>0</v>
      </c>
      <c r="M85" s="123">
        <f t="shared" si="9"/>
        <v>0</v>
      </c>
      <c r="N85" s="149"/>
    </row>
    <row r="86" spans="1:14" s="67" customFormat="1" ht="15" customHeight="1" thickBot="1">
      <c r="A86" s="456"/>
      <c r="B86" s="207"/>
      <c r="C86" s="210"/>
      <c r="D86" s="363"/>
      <c r="E86" s="363"/>
      <c r="F86" s="216"/>
      <c r="G86" s="8">
        <v>2850000</v>
      </c>
      <c r="H86" s="17" t="s">
        <v>19</v>
      </c>
      <c r="I86" s="9">
        <f t="shared" si="11"/>
        <v>850000</v>
      </c>
      <c r="J86" s="10">
        <f t="shared" si="11"/>
        <v>500000</v>
      </c>
      <c r="K86" s="10">
        <f t="shared" si="11"/>
        <v>184935</v>
      </c>
      <c r="L86" s="10">
        <f t="shared" si="11"/>
        <v>500000</v>
      </c>
      <c r="M86" s="124">
        <f t="shared" si="9"/>
        <v>1034935</v>
      </c>
      <c r="N86" s="150">
        <f>M86/G83</f>
        <v>0.36313508771929826</v>
      </c>
    </row>
    <row r="87" spans="1:14" s="67" customFormat="1" ht="16.5" customHeight="1">
      <c r="A87" s="455">
        <v>8</v>
      </c>
      <c r="B87" s="214" t="s">
        <v>21</v>
      </c>
      <c r="C87" s="208">
        <v>60016</v>
      </c>
      <c r="D87" s="211" t="s">
        <v>8</v>
      </c>
      <c r="E87" s="211" t="s">
        <v>128</v>
      </c>
      <c r="F87" s="217">
        <v>2013</v>
      </c>
      <c r="G87" s="1" t="s">
        <v>9</v>
      </c>
      <c r="H87" s="15" t="s">
        <v>25</v>
      </c>
      <c r="I87" s="69"/>
      <c r="J87" s="61"/>
      <c r="K87" s="61"/>
      <c r="L87" s="61"/>
      <c r="M87" s="140">
        <f t="shared" si="9"/>
        <v>0</v>
      </c>
      <c r="N87" s="60"/>
    </row>
    <row r="88" spans="1:14" s="67" customFormat="1" ht="12.75">
      <c r="A88" s="460"/>
      <c r="B88" s="215"/>
      <c r="C88" s="209"/>
      <c r="D88" s="362"/>
      <c r="E88" s="362"/>
      <c r="F88" s="228"/>
      <c r="G88" s="414">
        <v>0</v>
      </c>
      <c r="H88" s="16" t="s">
        <v>26</v>
      </c>
      <c r="I88" s="70"/>
      <c r="J88" s="63">
        <f>500000+750000</f>
        <v>1250000</v>
      </c>
      <c r="K88" s="63">
        <v>361472</v>
      </c>
      <c r="L88" s="63">
        <v>1250000</v>
      </c>
      <c r="M88" s="141">
        <f t="shared" si="9"/>
        <v>361472</v>
      </c>
      <c r="N88" s="62"/>
    </row>
    <row r="89" spans="1:14" s="67" customFormat="1" ht="12.75">
      <c r="A89" s="460"/>
      <c r="B89" s="215"/>
      <c r="C89" s="209"/>
      <c r="D89" s="362"/>
      <c r="E89" s="362"/>
      <c r="F89" s="228"/>
      <c r="G89" s="462"/>
      <c r="H89" s="16" t="s">
        <v>12</v>
      </c>
      <c r="I89" s="70"/>
      <c r="J89" s="63"/>
      <c r="K89" s="63"/>
      <c r="L89" s="63"/>
      <c r="M89" s="141">
        <f t="shared" si="9"/>
        <v>0</v>
      </c>
      <c r="N89" s="62"/>
    </row>
    <row r="90" spans="1:14" s="67" customFormat="1" ht="12.75">
      <c r="A90" s="460"/>
      <c r="B90" s="215"/>
      <c r="C90" s="209"/>
      <c r="D90" s="362"/>
      <c r="E90" s="362"/>
      <c r="F90" s="212"/>
      <c r="G90" s="5" t="s">
        <v>13</v>
      </c>
      <c r="H90" s="16" t="s">
        <v>14</v>
      </c>
      <c r="I90" s="70"/>
      <c r="J90" s="63"/>
      <c r="K90" s="63"/>
      <c r="L90" s="63"/>
      <c r="M90" s="141">
        <f t="shared" si="9"/>
        <v>0</v>
      </c>
      <c r="N90" s="62"/>
    </row>
    <row r="91" spans="1:14" s="67" customFormat="1" ht="12.75">
      <c r="A91" s="460"/>
      <c r="B91" s="215"/>
      <c r="C91" s="209"/>
      <c r="D91" s="362"/>
      <c r="E91" s="362"/>
      <c r="F91" s="227">
        <v>2016</v>
      </c>
      <c r="G91" s="414">
        <v>7250000</v>
      </c>
      <c r="H91" s="16" t="s">
        <v>15</v>
      </c>
      <c r="I91" s="70"/>
      <c r="J91" s="63"/>
      <c r="K91" s="63"/>
      <c r="L91" s="63"/>
      <c r="M91" s="141">
        <f t="shared" si="9"/>
        <v>0</v>
      </c>
      <c r="N91" s="62"/>
    </row>
    <row r="92" spans="1:14" s="67" customFormat="1" ht="12.75">
      <c r="A92" s="460"/>
      <c r="B92" s="215"/>
      <c r="C92" s="209"/>
      <c r="D92" s="362"/>
      <c r="E92" s="362"/>
      <c r="F92" s="228"/>
      <c r="G92" s="462"/>
      <c r="H92" s="16" t="s">
        <v>16</v>
      </c>
      <c r="I92" s="70"/>
      <c r="J92" s="3"/>
      <c r="K92" s="3"/>
      <c r="L92" s="3"/>
      <c r="M92" s="145">
        <f t="shared" si="9"/>
        <v>0</v>
      </c>
      <c r="N92" s="70"/>
    </row>
    <row r="93" spans="1:14" s="67" customFormat="1" ht="12.75">
      <c r="A93" s="460"/>
      <c r="B93" s="215"/>
      <c r="C93" s="209"/>
      <c r="D93" s="362"/>
      <c r="E93" s="362"/>
      <c r="F93" s="228"/>
      <c r="G93" s="5" t="s">
        <v>17</v>
      </c>
      <c r="H93" s="16" t="s">
        <v>18</v>
      </c>
      <c r="I93" s="6">
        <f aca="true" t="shared" si="12" ref="I93:L94">I87+I89+I91</f>
        <v>0</v>
      </c>
      <c r="J93" s="7">
        <f t="shared" si="12"/>
        <v>0</v>
      </c>
      <c r="K93" s="7">
        <f t="shared" si="12"/>
        <v>0</v>
      </c>
      <c r="L93" s="7">
        <f t="shared" si="12"/>
        <v>0</v>
      </c>
      <c r="M93" s="123">
        <f t="shared" si="9"/>
        <v>0</v>
      </c>
      <c r="N93" s="149"/>
    </row>
    <row r="94" spans="1:14" s="67" customFormat="1" ht="16.5" customHeight="1" thickBot="1">
      <c r="A94" s="456"/>
      <c r="B94" s="207"/>
      <c r="C94" s="210"/>
      <c r="D94" s="363"/>
      <c r="E94" s="363"/>
      <c r="F94" s="216"/>
      <c r="G94" s="8">
        <v>7250000</v>
      </c>
      <c r="H94" s="17" t="s">
        <v>19</v>
      </c>
      <c r="I94" s="9">
        <f t="shared" si="12"/>
        <v>0</v>
      </c>
      <c r="J94" s="10">
        <f t="shared" si="12"/>
        <v>1250000</v>
      </c>
      <c r="K94" s="10">
        <f t="shared" si="12"/>
        <v>361472</v>
      </c>
      <c r="L94" s="10">
        <f t="shared" si="12"/>
        <v>1250000</v>
      </c>
      <c r="M94" s="124">
        <f t="shared" si="9"/>
        <v>361472</v>
      </c>
      <c r="N94" s="150">
        <f>M94/G91</f>
        <v>0.049858206896551724</v>
      </c>
    </row>
    <row r="95" spans="1:14" s="67" customFormat="1" ht="12.75">
      <c r="A95" s="455">
        <v>9</v>
      </c>
      <c r="B95" s="214" t="s">
        <v>135</v>
      </c>
      <c r="C95" s="208">
        <v>60017</v>
      </c>
      <c r="D95" s="211" t="s">
        <v>8</v>
      </c>
      <c r="E95" s="211" t="s">
        <v>128</v>
      </c>
      <c r="F95" s="217">
        <v>2012</v>
      </c>
      <c r="G95" s="1" t="s">
        <v>9</v>
      </c>
      <c r="H95" s="15" t="s">
        <v>25</v>
      </c>
      <c r="I95" s="69"/>
      <c r="J95" s="80"/>
      <c r="K95" s="61"/>
      <c r="L95" s="61"/>
      <c r="M95" s="140">
        <f>SUM(I95,K95)</f>
        <v>0</v>
      </c>
      <c r="N95" s="60"/>
    </row>
    <row r="96" spans="1:14" s="67" customFormat="1" ht="12.75">
      <c r="A96" s="460"/>
      <c r="B96" s="215"/>
      <c r="C96" s="209"/>
      <c r="D96" s="362"/>
      <c r="E96" s="362"/>
      <c r="F96" s="228"/>
      <c r="G96" s="414">
        <v>0</v>
      </c>
      <c r="H96" s="16" t="s">
        <v>26</v>
      </c>
      <c r="I96" s="70">
        <v>5129</v>
      </c>
      <c r="J96" s="63">
        <v>215000</v>
      </c>
      <c r="K96" s="63">
        <v>5966</v>
      </c>
      <c r="L96" s="63">
        <v>215000</v>
      </c>
      <c r="M96" s="141">
        <f>SUM(I96,K96)</f>
        <v>11095</v>
      </c>
      <c r="N96" s="62"/>
    </row>
    <row r="97" spans="1:14" s="67" customFormat="1" ht="12.75">
      <c r="A97" s="460"/>
      <c r="B97" s="215"/>
      <c r="C97" s="209"/>
      <c r="D97" s="362"/>
      <c r="E97" s="362"/>
      <c r="F97" s="228"/>
      <c r="G97" s="462"/>
      <c r="H97" s="16" t="s">
        <v>12</v>
      </c>
      <c r="I97" s="70"/>
      <c r="J97" s="63"/>
      <c r="K97" s="63"/>
      <c r="L97" s="63"/>
      <c r="M97" s="141">
        <f t="shared" si="9"/>
        <v>0</v>
      </c>
      <c r="N97" s="62"/>
    </row>
    <row r="98" spans="1:14" s="67" customFormat="1" ht="14.25" customHeight="1">
      <c r="A98" s="460"/>
      <c r="B98" s="215"/>
      <c r="C98" s="209"/>
      <c r="D98" s="362"/>
      <c r="E98" s="362"/>
      <c r="F98" s="212"/>
      <c r="G98" s="5" t="s">
        <v>13</v>
      </c>
      <c r="H98" s="16" t="s">
        <v>14</v>
      </c>
      <c r="I98" s="70"/>
      <c r="J98" s="63"/>
      <c r="K98" s="63"/>
      <c r="L98" s="63"/>
      <c r="M98" s="141">
        <f t="shared" si="9"/>
        <v>0</v>
      </c>
      <c r="N98" s="62"/>
    </row>
    <row r="99" spans="1:14" s="67" customFormat="1" ht="15" customHeight="1">
      <c r="A99" s="460"/>
      <c r="B99" s="215"/>
      <c r="C99" s="209"/>
      <c r="D99" s="362"/>
      <c r="E99" s="362"/>
      <c r="F99" s="227">
        <v>2014</v>
      </c>
      <c r="G99" s="414">
        <v>1450129</v>
      </c>
      <c r="H99" s="16" t="s">
        <v>15</v>
      </c>
      <c r="I99" s="70"/>
      <c r="J99" s="63"/>
      <c r="K99" s="63"/>
      <c r="L99" s="63"/>
      <c r="M99" s="141">
        <f t="shared" si="9"/>
        <v>0</v>
      </c>
      <c r="N99" s="62"/>
    </row>
    <row r="100" spans="1:14" s="67" customFormat="1" ht="17.25" customHeight="1">
      <c r="A100" s="460"/>
      <c r="B100" s="215"/>
      <c r="C100" s="209"/>
      <c r="D100" s="362"/>
      <c r="E100" s="362"/>
      <c r="F100" s="228"/>
      <c r="G100" s="462"/>
      <c r="H100" s="16" t="s">
        <v>16</v>
      </c>
      <c r="I100" s="70"/>
      <c r="J100" s="3"/>
      <c r="K100" s="3"/>
      <c r="L100" s="3"/>
      <c r="M100" s="145">
        <f t="shared" si="9"/>
        <v>0</v>
      </c>
      <c r="N100" s="70"/>
    </row>
    <row r="101" spans="1:14" s="67" customFormat="1" ht="15" customHeight="1">
      <c r="A101" s="460"/>
      <c r="B101" s="215"/>
      <c r="C101" s="209"/>
      <c r="D101" s="362"/>
      <c r="E101" s="362"/>
      <c r="F101" s="228"/>
      <c r="G101" s="5" t="s">
        <v>17</v>
      </c>
      <c r="H101" s="16" t="s">
        <v>18</v>
      </c>
      <c r="I101" s="6">
        <f aca="true" t="shared" si="13" ref="I101:L102">I95+I97+I99</f>
        <v>0</v>
      </c>
      <c r="J101" s="7">
        <f t="shared" si="13"/>
        <v>0</v>
      </c>
      <c r="K101" s="7">
        <f>K95+K97+K99</f>
        <v>0</v>
      </c>
      <c r="L101" s="7">
        <f t="shared" si="13"/>
        <v>0</v>
      </c>
      <c r="M101" s="123">
        <f t="shared" si="9"/>
        <v>0</v>
      </c>
      <c r="N101" s="149"/>
    </row>
    <row r="102" spans="1:14" s="67" customFormat="1" ht="15" customHeight="1" thickBot="1">
      <c r="A102" s="456"/>
      <c r="B102" s="207"/>
      <c r="C102" s="209"/>
      <c r="D102" s="362"/>
      <c r="E102" s="362"/>
      <c r="F102" s="228"/>
      <c r="G102" s="8">
        <v>1450129</v>
      </c>
      <c r="H102" s="19" t="s">
        <v>19</v>
      </c>
      <c r="I102" s="9">
        <f t="shared" si="13"/>
        <v>5129</v>
      </c>
      <c r="J102" s="12">
        <f t="shared" si="13"/>
        <v>215000</v>
      </c>
      <c r="K102" s="12">
        <f>K96+K98+K100</f>
        <v>5966</v>
      </c>
      <c r="L102" s="12">
        <f t="shared" si="13"/>
        <v>215000</v>
      </c>
      <c r="M102" s="124">
        <f t="shared" si="9"/>
        <v>11095</v>
      </c>
      <c r="N102" s="150">
        <f>M102/G99</f>
        <v>0.007651043458892278</v>
      </c>
    </row>
    <row r="103" spans="1:14" ht="14.25" customHeight="1">
      <c r="A103" s="455">
        <v>10</v>
      </c>
      <c r="B103" s="214" t="s">
        <v>27</v>
      </c>
      <c r="C103" s="208">
        <v>60095</v>
      </c>
      <c r="D103" s="211" t="s">
        <v>8</v>
      </c>
      <c r="E103" s="56"/>
      <c r="F103" s="217">
        <v>2011</v>
      </c>
      <c r="G103" s="1" t="s">
        <v>9</v>
      </c>
      <c r="H103" s="15" t="s">
        <v>10</v>
      </c>
      <c r="I103" s="60"/>
      <c r="J103" s="61"/>
      <c r="K103" s="61"/>
      <c r="L103" s="61"/>
      <c r="M103" s="146">
        <f t="shared" si="9"/>
        <v>0</v>
      </c>
      <c r="N103" s="60"/>
    </row>
    <row r="104" spans="1:14" ht="14.25" customHeight="1">
      <c r="A104" s="460"/>
      <c r="B104" s="215"/>
      <c r="C104" s="209"/>
      <c r="D104" s="362"/>
      <c r="E104" s="57"/>
      <c r="F104" s="228"/>
      <c r="G104" s="414">
        <v>0</v>
      </c>
      <c r="H104" s="16" t="s">
        <v>11</v>
      </c>
      <c r="I104" s="62">
        <f>25970000+28809000</f>
        <v>54779000</v>
      </c>
      <c r="J104" s="63">
        <f>25000000-700000</f>
        <v>24300000</v>
      </c>
      <c r="K104" s="63">
        <v>24300000</v>
      </c>
      <c r="L104" s="63">
        <v>24300000</v>
      </c>
      <c r="M104" s="147">
        <f t="shared" si="9"/>
        <v>79079000</v>
      </c>
      <c r="N104" s="62"/>
    </row>
    <row r="105" spans="1:14" ht="14.25" customHeight="1">
      <c r="A105" s="460"/>
      <c r="B105" s="215"/>
      <c r="C105" s="209"/>
      <c r="D105" s="362"/>
      <c r="E105" s="57"/>
      <c r="F105" s="228"/>
      <c r="G105" s="462"/>
      <c r="H105" s="16" t="s">
        <v>12</v>
      </c>
      <c r="I105" s="62"/>
      <c r="J105" s="63"/>
      <c r="K105" s="63"/>
      <c r="L105" s="63"/>
      <c r="M105" s="147">
        <f t="shared" si="9"/>
        <v>0</v>
      </c>
      <c r="N105" s="62"/>
    </row>
    <row r="106" spans="1:14" ht="12.75" customHeight="1">
      <c r="A106" s="460"/>
      <c r="B106" s="215"/>
      <c r="C106" s="209"/>
      <c r="D106" s="362"/>
      <c r="E106" s="57" t="s">
        <v>105</v>
      </c>
      <c r="F106" s="212"/>
      <c r="G106" s="5" t="s">
        <v>13</v>
      </c>
      <c r="H106" s="16" t="s">
        <v>14</v>
      </c>
      <c r="I106" s="62"/>
      <c r="J106" s="63"/>
      <c r="K106" s="63"/>
      <c r="L106" s="63"/>
      <c r="M106" s="147">
        <f t="shared" si="9"/>
        <v>0</v>
      </c>
      <c r="N106" s="62"/>
    </row>
    <row r="107" spans="1:14" ht="12.75" customHeight="1">
      <c r="A107" s="460"/>
      <c r="B107" s="215"/>
      <c r="C107" s="209"/>
      <c r="D107" s="362"/>
      <c r="E107" s="57"/>
      <c r="F107" s="227">
        <v>2015</v>
      </c>
      <c r="G107" s="414">
        <v>109581000</v>
      </c>
      <c r="H107" s="16" t="s">
        <v>15</v>
      </c>
      <c r="I107" s="62"/>
      <c r="J107" s="63"/>
      <c r="K107" s="63"/>
      <c r="L107" s="63"/>
      <c r="M107" s="147">
        <f t="shared" si="9"/>
        <v>0</v>
      </c>
      <c r="N107" s="62"/>
    </row>
    <row r="108" spans="1:14" ht="13.5" customHeight="1">
      <c r="A108" s="460"/>
      <c r="B108" s="215"/>
      <c r="C108" s="209"/>
      <c r="D108" s="362"/>
      <c r="E108" s="57"/>
      <c r="F108" s="228"/>
      <c r="G108" s="462"/>
      <c r="H108" s="16" t="s">
        <v>16</v>
      </c>
      <c r="I108" s="62"/>
      <c r="J108" s="63"/>
      <c r="K108" s="63"/>
      <c r="L108" s="63"/>
      <c r="M108" s="147">
        <f t="shared" si="9"/>
        <v>0</v>
      </c>
      <c r="N108" s="62"/>
    </row>
    <row r="109" spans="1:14" ht="15.75" customHeight="1">
      <c r="A109" s="460"/>
      <c r="B109" s="215"/>
      <c r="C109" s="209"/>
      <c r="D109" s="362"/>
      <c r="E109" s="57"/>
      <c r="F109" s="228"/>
      <c r="G109" s="5" t="s">
        <v>17</v>
      </c>
      <c r="H109" s="16" t="s">
        <v>18</v>
      </c>
      <c r="I109" s="6">
        <f aca="true" t="shared" si="14" ref="I109:L110">I103+I105+I107</f>
        <v>0</v>
      </c>
      <c r="J109" s="7">
        <f t="shared" si="14"/>
        <v>0</v>
      </c>
      <c r="K109" s="7">
        <f t="shared" si="14"/>
        <v>0</v>
      </c>
      <c r="L109" s="7">
        <f t="shared" si="14"/>
        <v>0</v>
      </c>
      <c r="M109" s="123">
        <f t="shared" si="9"/>
        <v>0</v>
      </c>
      <c r="N109" s="149"/>
    </row>
    <row r="110" spans="1:14" ht="15.75" customHeight="1" thickBot="1">
      <c r="A110" s="456"/>
      <c r="B110" s="207"/>
      <c r="C110" s="210"/>
      <c r="D110" s="363"/>
      <c r="E110" s="58"/>
      <c r="F110" s="216"/>
      <c r="G110" s="8">
        <v>109581000</v>
      </c>
      <c r="H110" s="17" t="s">
        <v>19</v>
      </c>
      <c r="I110" s="9">
        <f t="shared" si="14"/>
        <v>54779000</v>
      </c>
      <c r="J110" s="10">
        <f t="shared" si="14"/>
        <v>24300000</v>
      </c>
      <c r="K110" s="10">
        <f t="shared" si="14"/>
        <v>24300000</v>
      </c>
      <c r="L110" s="10">
        <f t="shared" si="14"/>
        <v>24300000</v>
      </c>
      <c r="M110" s="124">
        <f t="shared" si="9"/>
        <v>79079000</v>
      </c>
      <c r="N110" s="150">
        <f>M110/G107</f>
        <v>0.7216488259826065</v>
      </c>
    </row>
    <row r="111" spans="1:14" s="67" customFormat="1" ht="14.25" customHeight="1">
      <c r="A111" s="455">
        <v>11</v>
      </c>
      <c r="B111" s="214" t="s">
        <v>28</v>
      </c>
      <c r="C111" s="208">
        <v>71035</v>
      </c>
      <c r="D111" s="211" t="s">
        <v>8</v>
      </c>
      <c r="E111" s="211" t="s">
        <v>128</v>
      </c>
      <c r="F111" s="217">
        <v>2013</v>
      </c>
      <c r="G111" s="1" t="s">
        <v>9</v>
      </c>
      <c r="H111" s="15" t="s">
        <v>10</v>
      </c>
      <c r="I111" s="69"/>
      <c r="J111" s="61"/>
      <c r="K111" s="61"/>
      <c r="L111" s="61"/>
      <c r="M111" s="140">
        <f t="shared" si="9"/>
        <v>0</v>
      </c>
      <c r="N111" s="60"/>
    </row>
    <row r="112" spans="1:14" s="67" customFormat="1" ht="14.25" customHeight="1">
      <c r="A112" s="460"/>
      <c r="B112" s="215"/>
      <c r="C112" s="209"/>
      <c r="D112" s="362"/>
      <c r="E112" s="362"/>
      <c r="F112" s="228"/>
      <c r="G112" s="414">
        <v>0</v>
      </c>
      <c r="H112" s="16" t="s">
        <v>11</v>
      </c>
      <c r="I112" s="70">
        <v>0</v>
      </c>
      <c r="J112" s="63">
        <f>3600000-200000</f>
        <v>3400000</v>
      </c>
      <c r="K112" s="63">
        <v>60590</v>
      </c>
      <c r="L112" s="63">
        <v>3400000</v>
      </c>
      <c r="M112" s="141">
        <f t="shared" si="9"/>
        <v>60590</v>
      </c>
      <c r="N112" s="62"/>
    </row>
    <row r="113" spans="1:14" s="67" customFormat="1" ht="14.25" customHeight="1">
      <c r="A113" s="460"/>
      <c r="B113" s="215"/>
      <c r="C113" s="209"/>
      <c r="D113" s="362"/>
      <c r="E113" s="362"/>
      <c r="F113" s="228"/>
      <c r="G113" s="462"/>
      <c r="H113" s="16" t="s">
        <v>12</v>
      </c>
      <c r="I113" s="70"/>
      <c r="J113" s="63"/>
      <c r="K113" s="63"/>
      <c r="L113" s="63"/>
      <c r="M113" s="141">
        <f t="shared" si="9"/>
        <v>0</v>
      </c>
      <c r="N113" s="62"/>
    </row>
    <row r="114" spans="1:14" s="67" customFormat="1" ht="14.25" customHeight="1">
      <c r="A114" s="460"/>
      <c r="B114" s="215"/>
      <c r="C114" s="209"/>
      <c r="D114" s="362"/>
      <c r="E114" s="362"/>
      <c r="F114" s="212"/>
      <c r="G114" s="5" t="s">
        <v>13</v>
      </c>
      <c r="H114" s="16" t="s">
        <v>14</v>
      </c>
      <c r="I114" s="70"/>
      <c r="J114" s="63"/>
      <c r="K114" s="63"/>
      <c r="L114" s="63"/>
      <c r="M114" s="141">
        <f t="shared" si="9"/>
        <v>0</v>
      </c>
      <c r="N114" s="62"/>
    </row>
    <row r="115" spans="1:16" s="67" customFormat="1" ht="14.25" customHeight="1">
      <c r="A115" s="460"/>
      <c r="B115" s="215"/>
      <c r="C115" s="209"/>
      <c r="D115" s="362"/>
      <c r="E115" s="362"/>
      <c r="F115" s="227">
        <v>2016</v>
      </c>
      <c r="G115" s="414">
        <v>18400000</v>
      </c>
      <c r="H115" s="16" t="s">
        <v>15</v>
      </c>
      <c r="I115" s="70"/>
      <c r="J115" s="63"/>
      <c r="K115" s="63"/>
      <c r="L115" s="63"/>
      <c r="M115" s="141">
        <f t="shared" si="9"/>
        <v>0</v>
      </c>
      <c r="N115" s="62"/>
      <c r="P115" s="68"/>
    </row>
    <row r="116" spans="1:14" s="67" customFormat="1" ht="14.25" customHeight="1">
      <c r="A116" s="460"/>
      <c r="B116" s="215"/>
      <c r="C116" s="209"/>
      <c r="D116" s="362"/>
      <c r="E116" s="362"/>
      <c r="F116" s="228"/>
      <c r="G116" s="462"/>
      <c r="H116" s="16" t="s">
        <v>16</v>
      </c>
      <c r="I116" s="70"/>
      <c r="J116" s="63"/>
      <c r="K116" s="63"/>
      <c r="L116" s="63"/>
      <c r="M116" s="141">
        <f t="shared" si="9"/>
        <v>0</v>
      </c>
      <c r="N116" s="62"/>
    </row>
    <row r="117" spans="1:14" s="67" customFormat="1" ht="14.25" customHeight="1">
      <c r="A117" s="460"/>
      <c r="B117" s="215"/>
      <c r="C117" s="209"/>
      <c r="D117" s="362"/>
      <c r="E117" s="362"/>
      <c r="F117" s="228"/>
      <c r="G117" s="5" t="s">
        <v>17</v>
      </c>
      <c r="H117" s="16" t="s">
        <v>18</v>
      </c>
      <c r="I117" s="6">
        <f aca="true" t="shared" si="15" ref="I117:L118">I111+I113+I115</f>
        <v>0</v>
      </c>
      <c r="J117" s="7">
        <f t="shared" si="15"/>
        <v>0</v>
      </c>
      <c r="K117" s="7">
        <f t="shared" si="15"/>
        <v>0</v>
      </c>
      <c r="L117" s="7">
        <f t="shared" si="15"/>
        <v>0</v>
      </c>
      <c r="M117" s="123">
        <f t="shared" si="9"/>
        <v>0</v>
      </c>
      <c r="N117" s="149"/>
    </row>
    <row r="118" spans="1:14" s="67" customFormat="1" ht="14.25" customHeight="1" thickBot="1">
      <c r="A118" s="456"/>
      <c r="B118" s="207"/>
      <c r="C118" s="210"/>
      <c r="D118" s="363"/>
      <c r="E118" s="363"/>
      <c r="F118" s="216"/>
      <c r="G118" s="8">
        <v>18400000</v>
      </c>
      <c r="H118" s="17" t="s">
        <v>19</v>
      </c>
      <c r="I118" s="9">
        <f t="shared" si="15"/>
        <v>0</v>
      </c>
      <c r="J118" s="10">
        <f t="shared" si="15"/>
        <v>3400000</v>
      </c>
      <c r="K118" s="10">
        <f t="shared" si="15"/>
        <v>60590</v>
      </c>
      <c r="L118" s="10">
        <f t="shared" si="15"/>
        <v>3400000</v>
      </c>
      <c r="M118" s="124">
        <f t="shared" si="9"/>
        <v>60590</v>
      </c>
      <c r="N118" s="150">
        <f>M118/G115</f>
        <v>0.0032929347826086957</v>
      </c>
    </row>
    <row r="119" spans="1:14" s="67" customFormat="1" ht="14.25" customHeight="1">
      <c r="A119" s="455">
        <v>12</v>
      </c>
      <c r="B119" s="214" t="s">
        <v>24</v>
      </c>
      <c r="C119" s="208">
        <v>71035</v>
      </c>
      <c r="D119" s="211" t="s">
        <v>8</v>
      </c>
      <c r="E119" s="211" t="s">
        <v>128</v>
      </c>
      <c r="F119" s="217">
        <v>2012</v>
      </c>
      <c r="G119" s="1" t="s">
        <v>9</v>
      </c>
      <c r="H119" s="15" t="s">
        <v>10</v>
      </c>
      <c r="I119" s="69"/>
      <c r="J119" s="61"/>
      <c r="K119" s="61"/>
      <c r="L119" s="61"/>
      <c r="M119" s="140">
        <f t="shared" si="9"/>
        <v>0</v>
      </c>
      <c r="N119" s="60"/>
    </row>
    <row r="120" spans="1:14" s="67" customFormat="1" ht="15" customHeight="1">
      <c r="A120" s="460"/>
      <c r="B120" s="215"/>
      <c r="C120" s="209"/>
      <c r="D120" s="362"/>
      <c r="E120" s="362"/>
      <c r="F120" s="228"/>
      <c r="G120" s="414">
        <v>0</v>
      </c>
      <c r="H120" s="16" t="s">
        <v>11</v>
      </c>
      <c r="I120" s="62">
        <v>350000</v>
      </c>
      <c r="J120" s="63">
        <v>200000</v>
      </c>
      <c r="K120" s="63">
        <v>77921</v>
      </c>
      <c r="L120" s="63">
        <v>200000</v>
      </c>
      <c r="M120" s="141">
        <f t="shared" si="9"/>
        <v>427921</v>
      </c>
      <c r="N120" s="62"/>
    </row>
    <row r="121" spans="1:14" s="67" customFormat="1" ht="15" customHeight="1">
      <c r="A121" s="460"/>
      <c r="B121" s="215"/>
      <c r="C121" s="209"/>
      <c r="D121" s="362"/>
      <c r="E121" s="362"/>
      <c r="F121" s="228"/>
      <c r="G121" s="462"/>
      <c r="H121" s="16" t="s">
        <v>12</v>
      </c>
      <c r="I121" s="70"/>
      <c r="J121" s="63"/>
      <c r="K121" s="63"/>
      <c r="L121" s="63"/>
      <c r="M121" s="141">
        <f t="shared" si="9"/>
        <v>0</v>
      </c>
      <c r="N121" s="62"/>
    </row>
    <row r="122" spans="1:14" s="67" customFormat="1" ht="15" customHeight="1">
      <c r="A122" s="460"/>
      <c r="B122" s="215"/>
      <c r="C122" s="209"/>
      <c r="D122" s="362"/>
      <c r="E122" s="362"/>
      <c r="F122" s="212"/>
      <c r="G122" s="5" t="s">
        <v>13</v>
      </c>
      <c r="H122" s="16" t="s">
        <v>14</v>
      </c>
      <c r="I122" s="70"/>
      <c r="J122" s="63"/>
      <c r="K122" s="63"/>
      <c r="L122" s="63"/>
      <c r="M122" s="141">
        <f t="shared" si="9"/>
        <v>0</v>
      </c>
      <c r="N122" s="62"/>
    </row>
    <row r="123" spans="1:16" s="67" customFormat="1" ht="15" customHeight="1">
      <c r="A123" s="460"/>
      <c r="B123" s="215"/>
      <c r="C123" s="209"/>
      <c r="D123" s="362"/>
      <c r="E123" s="362"/>
      <c r="F123" s="227">
        <v>2015</v>
      </c>
      <c r="G123" s="414">
        <v>1550000</v>
      </c>
      <c r="H123" s="16" t="s">
        <v>15</v>
      </c>
      <c r="I123" s="70"/>
      <c r="J123" s="63"/>
      <c r="K123" s="63"/>
      <c r="L123" s="63"/>
      <c r="M123" s="141">
        <f t="shared" si="9"/>
        <v>0</v>
      </c>
      <c r="N123" s="62"/>
      <c r="P123" s="68"/>
    </row>
    <row r="124" spans="1:14" s="67" customFormat="1" ht="15" customHeight="1">
      <c r="A124" s="460"/>
      <c r="B124" s="215"/>
      <c r="C124" s="209"/>
      <c r="D124" s="362"/>
      <c r="E124" s="362"/>
      <c r="F124" s="228"/>
      <c r="G124" s="462"/>
      <c r="H124" s="16" t="s">
        <v>16</v>
      </c>
      <c r="I124" s="70"/>
      <c r="J124" s="63"/>
      <c r="K124" s="63"/>
      <c r="L124" s="63"/>
      <c r="M124" s="141">
        <f t="shared" si="9"/>
        <v>0</v>
      </c>
      <c r="N124" s="62"/>
    </row>
    <row r="125" spans="1:14" s="67" customFormat="1" ht="12.75">
      <c r="A125" s="460"/>
      <c r="B125" s="215"/>
      <c r="C125" s="209"/>
      <c r="D125" s="362"/>
      <c r="E125" s="362"/>
      <c r="F125" s="228"/>
      <c r="G125" s="5" t="s">
        <v>17</v>
      </c>
      <c r="H125" s="16" t="s">
        <v>18</v>
      </c>
      <c r="I125" s="6">
        <f aca="true" t="shared" si="16" ref="I125:L126">I119+I121+I123</f>
        <v>0</v>
      </c>
      <c r="J125" s="7">
        <f t="shared" si="16"/>
        <v>0</v>
      </c>
      <c r="K125" s="7">
        <f t="shared" si="16"/>
        <v>0</v>
      </c>
      <c r="L125" s="7">
        <f t="shared" si="16"/>
        <v>0</v>
      </c>
      <c r="M125" s="123">
        <f t="shared" si="9"/>
        <v>0</v>
      </c>
      <c r="N125" s="149"/>
    </row>
    <row r="126" spans="1:14" s="67" customFormat="1" ht="13.5" thickBot="1">
      <c r="A126" s="456"/>
      <c r="B126" s="207"/>
      <c r="C126" s="210"/>
      <c r="D126" s="363"/>
      <c r="E126" s="363"/>
      <c r="F126" s="216"/>
      <c r="G126" s="8">
        <v>1550000</v>
      </c>
      <c r="H126" s="17" t="s">
        <v>19</v>
      </c>
      <c r="I126" s="9">
        <f t="shared" si="16"/>
        <v>350000</v>
      </c>
      <c r="J126" s="10">
        <f t="shared" si="16"/>
        <v>200000</v>
      </c>
      <c r="K126" s="10">
        <f t="shared" si="16"/>
        <v>77921</v>
      </c>
      <c r="L126" s="10">
        <f t="shared" si="16"/>
        <v>200000</v>
      </c>
      <c r="M126" s="124">
        <f t="shared" si="9"/>
        <v>427921</v>
      </c>
      <c r="N126" s="150">
        <f>M126/G123</f>
        <v>0.27607806451612904</v>
      </c>
    </row>
    <row r="127" spans="1:14" ht="15.75" customHeight="1">
      <c r="A127" s="455">
        <v>13</v>
      </c>
      <c r="B127" s="214" t="s">
        <v>29</v>
      </c>
      <c r="C127" s="208">
        <v>71095</v>
      </c>
      <c r="D127" s="211" t="s">
        <v>8</v>
      </c>
      <c r="E127" s="56"/>
      <c r="F127" s="217">
        <v>2013</v>
      </c>
      <c r="G127" s="1" t="s">
        <v>9</v>
      </c>
      <c r="H127" s="15" t="s">
        <v>10</v>
      </c>
      <c r="I127" s="60"/>
      <c r="J127" s="61"/>
      <c r="K127" s="61"/>
      <c r="L127" s="61"/>
      <c r="M127" s="146">
        <f t="shared" si="9"/>
        <v>0</v>
      </c>
      <c r="N127" s="60"/>
    </row>
    <row r="128" spans="1:14" ht="15.75" customHeight="1">
      <c r="A128" s="460"/>
      <c r="B128" s="215"/>
      <c r="C128" s="209"/>
      <c r="D128" s="362"/>
      <c r="E128" s="57"/>
      <c r="F128" s="228"/>
      <c r="G128" s="414">
        <v>0</v>
      </c>
      <c r="H128" s="16" t="s">
        <v>11</v>
      </c>
      <c r="I128" s="62"/>
      <c r="J128" s="63">
        <v>1000000</v>
      </c>
      <c r="K128" s="63">
        <v>0</v>
      </c>
      <c r="L128" s="63">
        <v>1000000</v>
      </c>
      <c r="M128" s="147">
        <f t="shared" si="9"/>
        <v>0</v>
      </c>
      <c r="N128" s="62"/>
    </row>
    <row r="129" spans="1:14" ht="15.75" customHeight="1">
      <c r="A129" s="460"/>
      <c r="B129" s="215"/>
      <c r="C129" s="209"/>
      <c r="D129" s="362"/>
      <c r="E129" s="57"/>
      <c r="F129" s="228"/>
      <c r="G129" s="462"/>
      <c r="H129" s="16" t="s">
        <v>12</v>
      </c>
      <c r="I129" s="62"/>
      <c r="J129" s="63"/>
      <c r="K129" s="63"/>
      <c r="L129" s="63"/>
      <c r="M129" s="147">
        <f t="shared" si="9"/>
        <v>0</v>
      </c>
      <c r="N129" s="62"/>
    </row>
    <row r="130" spans="1:14" ht="15.75" customHeight="1">
      <c r="A130" s="460"/>
      <c r="B130" s="215"/>
      <c r="C130" s="209"/>
      <c r="D130" s="362"/>
      <c r="E130" s="57" t="s">
        <v>148</v>
      </c>
      <c r="F130" s="212"/>
      <c r="G130" s="5" t="s">
        <v>13</v>
      </c>
      <c r="H130" s="16" t="s">
        <v>14</v>
      </c>
      <c r="I130" s="62"/>
      <c r="J130" s="63"/>
      <c r="K130" s="63"/>
      <c r="L130" s="63"/>
      <c r="M130" s="147">
        <f t="shared" si="9"/>
        <v>0</v>
      </c>
      <c r="N130" s="62"/>
    </row>
    <row r="131" spans="1:14" ht="15.75" customHeight="1">
      <c r="A131" s="460"/>
      <c r="B131" s="215"/>
      <c r="C131" s="209"/>
      <c r="D131" s="362"/>
      <c r="E131" s="57"/>
      <c r="F131" s="227">
        <v>2015</v>
      </c>
      <c r="G131" s="414">
        <v>3000000</v>
      </c>
      <c r="H131" s="16" t="s">
        <v>15</v>
      </c>
      <c r="I131" s="62"/>
      <c r="J131" s="63"/>
      <c r="K131" s="63"/>
      <c r="L131" s="63"/>
      <c r="M131" s="147">
        <f t="shared" si="9"/>
        <v>0</v>
      </c>
      <c r="N131" s="62"/>
    </row>
    <row r="132" spans="1:14" ht="15.75" customHeight="1">
      <c r="A132" s="460"/>
      <c r="B132" s="215"/>
      <c r="C132" s="209"/>
      <c r="D132" s="362"/>
      <c r="E132" s="57"/>
      <c r="F132" s="228"/>
      <c r="G132" s="462"/>
      <c r="H132" s="16" t="s">
        <v>16</v>
      </c>
      <c r="I132" s="62"/>
      <c r="J132" s="63"/>
      <c r="K132" s="63"/>
      <c r="L132" s="63"/>
      <c r="M132" s="147">
        <f t="shared" si="9"/>
        <v>0</v>
      </c>
      <c r="N132" s="62"/>
    </row>
    <row r="133" spans="1:14" ht="15.75" customHeight="1">
      <c r="A133" s="460"/>
      <c r="B133" s="215"/>
      <c r="C133" s="209"/>
      <c r="D133" s="362"/>
      <c r="E133" s="57"/>
      <c r="F133" s="228"/>
      <c r="G133" s="5" t="s">
        <v>17</v>
      </c>
      <c r="H133" s="16" t="s">
        <v>18</v>
      </c>
      <c r="I133" s="6">
        <f aca="true" t="shared" si="17" ref="I133:L134">I127+I129+I131</f>
        <v>0</v>
      </c>
      <c r="J133" s="7">
        <f t="shared" si="17"/>
        <v>0</v>
      </c>
      <c r="K133" s="7">
        <f t="shared" si="17"/>
        <v>0</v>
      </c>
      <c r="L133" s="7">
        <f t="shared" si="17"/>
        <v>0</v>
      </c>
      <c r="M133" s="123">
        <f t="shared" si="9"/>
        <v>0</v>
      </c>
      <c r="N133" s="149"/>
    </row>
    <row r="134" spans="1:14" ht="15.75" customHeight="1" thickBot="1">
      <c r="A134" s="456"/>
      <c r="B134" s="207"/>
      <c r="C134" s="210"/>
      <c r="D134" s="363"/>
      <c r="E134" s="58"/>
      <c r="F134" s="216"/>
      <c r="G134" s="8">
        <v>3000000</v>
      </c>
      <c r="H134" s="17" t="s">
        <v>19</v>
      </c>
      <c r="I134" s="9">
        <f t="shared" si="17"/>
        <v>0</v>
      </c>
      <c r="J134" s="10">
        <f t="shared" si="17"/>
        <v>1000000</v>
      </c>
      <c r="K134" s="10">
        <f t="shared" si="17"/>
        <v>0</v>
      </c>
      <c r="L134" s="10">
        <f t="shared" si="17"/>
        <v>1000000</v>
      </c>
      <c r="M134" s="124">
        <f t="shared" si="9"/>
        <v>0</v>
      </c>
      <c r="N134" s="150">
        <f>M134/G131</f>
        <v>0</v>
      </c>
    </row>
    <row r="135" spans="1:14" s="13" customFormat="1" ht="12.75" customHeight="1">
      <c r="A135" s="455">
        <v>14</v>
      </c>
      <c r="B135" s="214" t="s">
        <v>123</v>
      </c>
      <c r="C135" s="208">
        <v>75023</v>
      </c>
      <c r="D135" s="211" t="s">
        <v>8</v>
      </c>
      <c r="E135" s="56"/>
      <c r="F135" s="217">
        <v>2011</v>
      </c>
      <c r="G135" s="1" t="s">
        <v>9</v>
      </c>
      <c r="H135" s="15" t="s">
        <v>10</v>
      </c>
      <c r="I135" s="60"/>
      <c r="J135" s="61"/>
      <c r="K135" s="61"/>
      <c r="L135" s="61"/>
      <c r="M135" s="146">
        <f t="shared" si="9"/>
        <v>0</v>
      </c>
      <c r="N135" s="60"/>
    </row>
    <row r="136" spans="1:14" s="13" customFormat="1" ht="12.75">
      <c r="A136" s="460"/>
      <c r="B136" s="215"/>
      <c r="C136" s="209"/>
      <c r="D136" s="362"/>
      <c r="E136" s="57"/>
      <c r="F136" s="228"/>
      <c r="G136" s="414">
        <v>0</v>
      </c>
      <c r="H136" s="16" t="s">
        <v>11</v>
      </c>
      <c r="I136" s="62">
        <v>378736</v>
      </c>
      <c r="J136" s="63">
        <v>126246</v>
      </c>
      <c r="K136" s="63">
        <v>0</v>
      </c>
      <c r="L136" s="63">
        <v>126246</v>
      </c>
      <c r="M136" s="147">
        <f aca="true" t="shared" si="18" ref="M136:M199">SUM(I136,K136)</f>
        <v>378736</v>
      </c>
      <c r="N136" s="62"/>
    </row>
    <row r="137" spans="1:14" s="13" customFormat="1" ht="14.25" customHeight="1">
      <c r="A137" s="460"/>
      <c r="B137" s="215"/>
      <c r="C137" s="209"/>
      <c r="D137" s="362"/>
      <c r="E137" s="57"/>
      <c r="F137" s="228"/>
      <c r="G137" s="462"/>
      <c r="H137" s="16" t="s">
        <v>12</v>
      </c>
      <c r="I137" s="62"/>
      <c r="J137" s="63"/>
      <c r="K137" s="63"/>
      <c r="L137" s="63"/>
      <c r="M137" s="147">
        <f t="shared" si="18"/>
        <v>0</v>
      </c>
      <c r="N137" s="62"/>
    </row>
    <row r="138" spans="1:14" s="13" customFormat="1" ht="14.25" customHeight="1">
      <c r="A138" s="460"/>
      <c r="B138" s="215"/>
      <c r="C138" s="209"/>
      <c r="D138" s="362"/>
      <c r="E138" s="57" t="s">
        <v>147</v>
      </c>
      <c r="F138" s="212"/>
      <c r="G138" s="5" t="s">
        <v>13</v>
      </c>
      <c r="H138" s="16" t="s">
        <v>14</v>
      </c>
      <c r="I138" s="62"/>
      <c r="J138" s="63"/>
      <c r="K138" s="63"/>
      <c r="L138" s="63"/>
      <c r="M138" s="147">
        <f t="shared" si="18"/>
        <v>0</v>
      </c>
      <c r="N138" s="62"/>
    </row>
    <row r="139" spans="1:14" s="13" customFormat="1" ht="14.25" customHeight="1">
      <c r="A139" s="460"/>
      <c r="B139" s="215"/>
      <c r="C139" s="209"/>
      <c r="D139" s="362"/>
      <c r="E139" s="57"/>
      <c r="F139" s="227">
        <v>2014</v>
      </c>
      <c r="G139" s="414">
        <v>631228</v>
      </c>
      <c r="H139" s="16" t="s">
        <v>15</v>
      </c>
      <c r="I139" s="62"/>
      <c r="J139" s="63"/>
      <c r="K139" s="63"/>
      <c r="L139" s="63"/>
      <c r="M139" s="147">
        <f t="shared" si="18"/>
        <v>0</v>
      </c>
      <c r="N139" s="62"/>
    </row>
    <row r="140" spans="1:14" s="13" customFormat="1" ht="12.75">
      <c r="A140" s="460"/>
      <c r="B140" s="215"/>
      <c r="C140" s="209"/>
      <c r="D140" s="362"/>
      <c r="E140" s="57"/>
      <c r="F140" s="228"/>
      <c r="G140" s="462"/>
      <c r="H140" s="16" t="s">
        <v>16</v>
      </c>
      <c r="I140" s="62"/>
      <c r="J140" s="63"/>
      <c r="K140" s="63"/>
      <c r="L140" s="63"/>
      <c r="M140" s="147">
        <f t="shared" si="18"/>
        <v>0</v>
      </c>
      <c r="N140" s="62"/>
    </row>
    <row r="141" spans="1:14" s="13" customFormat="1" ht="15" customHeight="1">
      <c r="A141" s="460"/>
      <c r="B141" s="215"/>
      <c r="C141" s="209"/>
      <c r="D141" s="362"/>
      <c r="E141" s="57"/>
      <c r="F141" s="228"/>
      <c r="G141" s="5" t="s">
        <v>17</v>
      </c>
      <c r="H141" s="16" t="s">
        <v>18</v>
      </c>
      <c r="I141" s="6">
        <f aca="true" t="shared" si="19" ref="I141:L142">I135+I137+I139</f>
        <v>0</v>
      </c>
      <c r="J141" s="7">
        <f t="shared" si="19"/>
        <v>0</v>
      </c>
      <c r="K141" s="7">
        <f t="shared" si="19"/>
        <v>0</v>
      </c>
      <c r="L141" s="7">
        <f t="shared" si="19"/>
        <v>0</v>
      </c>
      <c r="M141" s="123">
        <f t="shared" si="18"/>
        <v>0</v>
      </c>
      <c r="N141" s="149"/>
    </row>
    <row r="142" spans="1:14" s="13" customFormat="1" ht="15" customHeight="1" thickBot="1">
      <c r="A142" s="456"/>
      <c r="B142" s="207"/>
      <c r="C142" s="210"/>
      <c r="D142" s="363"/>
      <c r="E142" s="58"/>
      <c r="F142" s="216"/>
      <c r="G142" s="8">
        <v>631228</v>
      </c>
      <c r="H142" s="17" t="s">
        <v>19</v>
      </c>
      <c r="I142" s="9">
        <f t="shared" si="19"/>
        <v>378736</v>
      </c>
      <c r="J142" s="10">
        <f t="shared" si="19"/>
        <v>126246</v>
      </c>
      <c r="K142" s="10">
        <f t="shared" si="19"/>
        <v>0</v>
      </c>
      <c r="L142" s="10">
        <f t="shared" si="19"/>
        <v>126246</v>
      </c>
      <c r="M142" s="124">
        <f t="shared" si="18"/>
        <v>378736</v>
      </c>
      <c r="N142" s="150">
        <f>M142/G139</f>
        <v>0.5999987326290975</v>
      </c>
    </row>
    <row r="143" spans="1:14" s="67" customFormat="1" ht="15" customHeight="1">
      <c r="A143" s="455">
        <v>15</v>
      </c>
      <c r="B143" s="214" t="s">
        <v>30</v>
      </c>
      <c r="C143" s="208">
        <v>80101</v>
      </c>
      <c r="D143" s="211" t="s">
        <v>8</v>
      </c>
      <c r="E143" s="211" t="s">
        <v>128</v>
      </c>
      <c r="F143" s="217">
        <v>2012</v>
      </c>
      <c r="G143" s="1" t="s">
        <v>9</v>
      </c>
      <c r="H143" s="15" t="s">
        <v>10</v>
      </c>
      <c r="I143" s="69"/>
      <c r="J143" s="61"/>
      <c r="K143" s="61"/>
      <c r="L143" s="61"/>
      <c r="M143" s="142">
        <f t="shared" si="18"/>
        <v>0</v>
      </c>
      <c r="N143" s="64"/>
    </row>
    <row r="144" spans="1:14" s="67" customFormat="1" ht="15" customHeight="1">
      <c r="A144" s="460"/>
      <c r="B144" s="215"/>
      <c r="C144" s="209"/>
      <c r="D144" s="362"/>
      <c r="E144" s="362"/>
      <c r="F144" s="228"/>
      <c r="G144" s="414">
        <v>0</v>
      </c>
      <c r="H144" s="16" t="s">
        <v>11</v>
      </c>
      <c r="I144" s="62">
        <v>1000000</v>
      </c>
      <c r="J144" s="63">
        <f>15500000-1000000-159132</f>
        <v>14340868</v>
      </c>
      <c r="K144" s="63">
        <v>2917108</v>
      </c>
      <c r="L144" s="63">
        <v>14340868</v>
      </c>
      <c r="M144" s="141">
        <f t="shared" si="18"/>
        <v>3917108</v>
      </c>
      <c r="N144" s="62"/>
    </row>
    <row r="145" spans="1:14" s="67" customFormat="1" ht="15" customHeight="1">
      <c r="A145" s="460"/>
      <c r="B145" s="215"/>
      <c r="C145" s="209"/>
      <c r="D145" s="362"/>
      <c r="E145" s="362"/>
      <c r="F145" s="228"/>
      <c r="G145" s="462"/>
      <c r="H145" s="16" t="s">
        <v>12</v>
      </c>
      <c r="I145" s="70"/>
      <c r="J145" s="63"/>
      <c r="K145" s="63"/>
      <c r="L145" s="63"/>
      <c r="M145" s="141">
        <f t="shared" si="18"/>
        <v>0</v>
      </c>
      <c r="N145" s="62"/>
    </row>
    <row r="146" spans="1:14" s="67" customFormat="1" ht="15" customHeight="1">
      <c r="A146" s="460"/>
      <c r="B146" s="215"/>
      <c r="C146" s="209"/>
      <c r="D146" s="362"/>
      <c r="E146" s="362"/>
      <c r="F146" s="212"/>
      <c r="G146" s="5" t="s">
        <v>13</v>
      </c>
      <c r="H146" s="16" t="s">
        <v>14</v>
      </c>
      <c r="I146" s="70"/>
      <c r="J146" s="63"/>
      <c r="K146" s="63"/>
      <c r="L146" s="63"/>
      <c r="M146" s="141">
        <f t="shared" si="18"/>
        <v>0</v>
      </c>
      <c r="N146" s="62"/>
    </row>
    <row r="147" spans="1:15" s="67" customFormat="1" ht="12.75">
      <c r="A147" s="460"/>
      <c r="B147" s="215"/>
      <c r="C147" s="209"/>
      <c r="D147" s="362"/>
      <c r="E147" s="362"/>
      <c r="F147" s="227">
        <v>2015</v>
      </c>
      <c r="G147" s="414">
        <v>35340868</v>
      </c>
      <c r="H147" s="16" t="s">
        <v>15</v>
      </c>
      <c r="I147" s="70"/>
      <c r="J147" s="63"/>
      <c r="K147" s="63"/>
      <c r="L147" s="63"/>
      <c r="M147" s="141">
        <f t="shared" si="18"/>
        <v>0</v>
      </c>
      <c r="N147" s="62"/>
      <c r="O147" s="68"/>
    </row>
    <row r="148" spans="1:14" s="67" customFormat="1" ht="15" customHeight="1">
      <c r="A148" s="460"/>
      <c r="B148" s="215"/>
      <c r="C148" s="209"/>
      <c r="D148" s="362"/>
      <c r="E148" s="362"/>
      <c r="F148" s="228"/>
      <c r="G148" s="462"/>
      <c r="H148" s="16" t="s">
        <v>16</v>
      </c>
      <c r="I148" s="70"/>
      <c r="J148" s="63"/>
      <c r="K148" s="63"/>
      <c r="L148" s="63"/>
      <c r="M148" s="141">
        <f t="shared" si="18"/>
        <v>0</v>
      </c>
      <c r="N148" s="62"/>
    </row>
    <row r="149" spans="1:14" s="67" customFormat="1" ht="15" customHeight="1">
      <c r="A149" s="460"/>
      <c r="B149" s="215"/>
      <c r="C149" s="209"/>
      <c r="D149" s="362"/>
      <c r="E149" s="362"/>
      <c r="F149" s="228"/>
      <c r="G149" s="5" t="s">
        <v>17</v>
      </c>
      <c r="H149" s="16" t="s">
        <v>18</v>
      </c>
      <c r="I149" s="6">
        <f aca="true" t="shared" si="20" ref="I149:L150">I143+I145+I147</f>
        <v>0</v>
      </c>
      <c r="J149" s="7">
        <f t="shared" si="20"/>
        <v>0</v>
      </c>
      <c r="K149" s="7">
        <f t="shared" si="20"/>
        <v>0</v>
      </c>
      <c r="L149" s="7">
        <f t="shared" si="20"/>
        <v>0</v>
      </c>
      <c r="M149" s="123">
        <f t="shared" si="18"/>
        <v>0</v>
      </c>
      <c r="N149" s="149"/>
    </row>
    <row r="150" spans="1:14" s="67" customFormat="1" ht="15" customHeight="1" thickBot="1">
      <c r="A150" s="456"/>
      <c r="B150" s="207"/>
      <c r="C150" s="210"/>
      <c r="D150" s="363"/>
      <c r="E150" s="362"/>
      <c r="F150" s="216"/>
      <c r="G150" s="8">
        <v>35340868</v>
      </c>
      <c r="H150" s="17" t="s">
        <v>19</v>
      </c>
      <c r="I150" s="9">
        <f t="shared" si="20"/>
        <v>1000000</v>
      </c>
      <c r="J150" s="10">
        <f t="shared" si="20"/>
        <v>14340868</v>
      </c>
      <c r="K150" s="10">
        <f t="shared" si="20"/>
        <v>2917108</v>
      </c>
      <c r="L150" s="10">
        <f t="shared" si="20"/>
        <v>14340868</v>
      </c>
      <c r="M150" s="124">
        <f t="shared" si="18"/>
        <v>3917108</v>
      </c>
      <c r="N150" s="150">
        <f>M150/G147</f>
        <v>0.11083791150800258</v>
      </c>
    </row>
    <row r="151" spans="1:14" s="67" customFormat="1" ht="15" customHeight="1" hidden="1">
      <c r="A151" s="455">
        <v>18</v>
      </c>
      <c r="B151" s="214" t="s">
        <v>24</v>
      </c>
      <c r="C151" s="208">
        <v>80101</v>
      </c>
      <c r="D151" s="211" t="s">
        <v>8</v>
      </c>
      <c r="E151" s="211" t="s">
        <v>128</v>
      </c>
      <c r="F151" s="217">
        <v>2013</v>
      </c>
      <c r="G151" s="1" t="s">
        <v>9</v>
      </c>
      <c r="H151" s="15" t="s">
        <v>10</v>
      </c>
      <c r="I151" s="69"/>
      <c r="J151" s="61"/>
      <c r="K151" s="61"/>
      <c r="L151" s="61"/>
      <c r="M151" s="140">
        <f t="shared" si="18"/>
        <v>0</v>
      </c>
      <c r="N151" s="60"/>
    </row>
    <row r="152" spans="1:14" s="67" customFormat="1" ht="15" customHeight="1" hidden="1">
      <c r="A152" s="460"/>
      <c r="B152" s="215"/>
      <c r="C152" s="209"/>
      <c r="D152" s="362"/>
      <c r="E152" s="362"/>
      <c r="F152" s="228"/>
      <c r="G152" s="414">
        <v>0</v>
      </c>
      <c r="H152" s="16" t="s">
        <v>11</v>
      </c>
      <c r="I152" s="70"/>
      <c r="J152" s="63">
        <f>200000-200000</f>
        <v>0</v>
      </c>
      <c r="K152" s="63"/>
      <c r="L152" s="63"/>
      <c r="M152" s="141">
        <f t="shared" si="18"/>
        <v>0</v>
      </c>
      <c r="N152" s="62"/>
    </row>
    <row r="153" spans="1:14" s="67" customFormat="1" ht="15" customHeight="1" hidden="1">
      <c r="A153" s="460"/>
      <c r="B153" s="215"/>
      <c r="C153" s="209"/>
      <c r="D153" s="362"/>
      <c r="E153" s="362"/>
      <c r="F153" s="228"/>
      <c r="G153" s="462"/>
      <c r="H153" s="16" t="s">
        <v>12</v>
      </c>
      <c r="I153" s="70"/>
      <c r="J153" s="63"/>
      <c r="K153" s="63"/>
      <c r="L153" s="63"/>
      <c r="M153" s="141">
        <f t="shared" si="18"/>
        <v>0</v>
      </c>
      <c r="N153" s="62"/>
    </row>
    <row r="154" spans="1:14" s="67" customFormat="1" ht="15" customHeight="1" hidden="1">
      <c r="A154" s="460"/>
      <c r="B154" s="215"/>
      <c r="C154" s="209"/>
      <c r="D154" s="362"/>
      <c r="E154" s="362"/>
      <c r="F154" s="212"/>
      <c r="G154" s="5" t="s">
        <v>13</v>
      </c>
      <c r="H154" s="16" t="s">
        <v>14</v>
      </c>
      <c r="I154" s="70"/>
      <c r="J154" s="63"/>
      <c r="K154" s="63"/>
      <c r="L154" s="63"/>
      <c r="M154" s="141">
        <f t="shared" si="18"/>
        <v>0</v>
      </c>
      <c r="N154" s="62"/>
    </row>
    <row r="155" spans="1:14" s="67" customFormat="1" ht="15" customHeight="1" hidden="1">
      <c r="A155" s="460"/>
      <c r="B155" s="215"/>
      <c r="C155" s="209"/>
      <c r="D155" s="362"/>
      <c r="E155" s="362"/>
      <c r="F155" s="227">
        <v>2015</v>
      </c>
      <c r="G155" s="414">
        <v>400000</v>
      </c>
      <c r="H155" s="16" t="s">
        <v>15</v>
      </c>
      <c r="I155" s="70"/>
      <c r="J155" s="63"/>
      <c r="K155" s="63"/>
      <c r="L155" s="63"/>
      <c r="M155" s="141">
        <f t="shared" si="18"/>
        <v>0</v>
      </c>
      <c r="N155" s="62"/>
    </row>
    <row r="156" spans="1:14" s="67" customFormat="1" ht="15" customHeight="1" hidden="1">
      <c r="A156" s="460"/>
      <c r="B156" s="215"/>
      <c r="C156" s="209"/>
      <c r="D156" s="362"/>
      <c r="E156" s="362"/>
      <c r="F156" s="228"/>
      <c r="G156" s="462"/>
      <c r="H156" s="16" t="s">
        <v>16</v>
      </c>
      <c r="I156" s="70"/>
      <c r="J156" s="63"/>
      <c r="K156" s="63"/>
      <c r="L156" s="63"/>
      <c r="M156" s="141">
        <f t="shared" si="18"/>
        <v>0</v>
      </c>
      <c r="N156" s="62"/>
    </row>
    <row r="157" spans="1:14" s="67" customFormat="1" ht="15" customHeight="1" hidden="1">
      <c r="A157" s="460"/>
      <c r="B157" s="215"/>
      <c r="C157" s="209"/>
      <c r="D157" s="362"/>
      <c r="E157" s="362"/>
      <c r="F157" s="228"/>
      <c r="G157" s="5" t="s">
        <v>17</v>
      </c>
      <c r="H157" s="16" t="s">
        <v>18</v>
      </c>
      <c r="I157" s="6">
        <f aca="true" t="shared" si="21" ref="I157:L158">I151+I153+I155</f>
        <v>0</v>
      </c>
      <c r="J157" s="7">
        <f t="shared" si="21"/>
        <v>0</v>
      </c>
      <c r="K157" s="7">
        <f t="shared" si="21"/>
        <v>0</v>
      </c>
      <c r="L157" s="7">
        <f t="shared" si="21"/>
        <v>0</v>
      </c>
      <c r="M157" s="123">
        <f t="shared" si="18"/>
        <v>0</v>
      </c>
      <c r="N157" s="149" t="e">
        <f>M157/G152</f>
        <v>#DIV/0!</v>
      </c>
    </row>
    <row r="158" spans="1:14" s="67" customFormat="1" ht="15" customHeight="1" hidden="1" thickBot="1">
      <c r="A158" s="456"/>
      <c r="B158" s="207"/>
      <c r="C158" s="210"/>
      <c r="D158" s="363"/>
      <c r="E158" s="362"/>
      <c r="F158" s="216"/>
      <c r="G158" s="8">
        <v>400000</v>
      </c>
      <c r="H158" s="17" t="s">
        <v>19</v>
      </c>
      <c r="I158" s="9">
        <f t="shared" si="21"/>
        <v>0</v>
      </c>
      <c r="J158" s="10">
        <f t="shared" si="21"/>
        <v>0</v>
      </c>
      <c r="K158" s="10">
        <f t="shared" si="21"/>
        <v>0</v>
      </c>
      <c r="L158" s="10">
        <f t="shared" si="21"/>
        <v>0</v>
      </c>
      <c r="M158" s="124">
        <f t="shared" si="18"/>
        <v>0</v>
      </c>
      <c r="N158" s="150">
        <f>M158/G155</f>
        <v>0</v>
      </c>
    </row>
    <row r="159" spans="1:14" s="67" customFormat="1" ht="15" customHeight="1" hidden="1">
      <c r="A159" s="455">
        <v>18</v>
      </c>
      <c r="B159" s="214" t="s">
        <v>31</v>
      </c>
      <c r="C159" s="208">
        <v>80120</v>
      </c>
      <c r="D159" s="211" t="s">
        <v>8</v>
      </c>
      <c r="E159" s="211" t="s">
        <v>128</v>
      </c>
      <c r="F159" s="217">
        <v>2014</v>
      </c>
      <c r="G159" s="1" t="s">
        <v>9</v>
      </c>
      <c r="H159" s="15" t="s">
        <v>10</v>
      </c>
      <c r="I159" s="69"/>
      <c r="J159" s="61"/>
      <c r="K159" s="61"/>
      <c r="L159" s="61"/>
      <c r="M159" s="140">
        <f t="shared" si="18"/>
        <v>0</v>
      </c>
      <c r="N159" s="60"/>
    </row>
    <row r="160" spans="1:14" s="67" customFormat="1" ht="15" customHeight="1" hidden="1">
      <c r="A160" s="460"/>
      <c r="B160" s="215"/>
      <c r="C160" s="209"/>
      <c r="D160" s="362"/>
      <c r="E160" s="362"/>
      <c r="F160" s="228"/>
      <c r="G160" s="414">
        <v>0</v>
      </c>
      <c r="H160" s="16" t="s">
        <v>11</v>
      </c>
      <c r="I160" s="70"/>
      <c r="J160" s="63"/>
      <c r="K160" s="63"/>
      <c r="L160" s="63"/>
      <c r="M160" s="141">
        <f t="shared" si="18"/>
        <v>0</v>
      </c>
      <c r="N160" s="62"/>
    </row>
    <row r="161" spans="1:14" s="67" customFormat="1" ht="15" customHeight="1" hidden="1">
      <c r="A161" s="460"/>
      <c r="B161" s="215"/>
      <c r="C161" s="209"/>
      <c r="D161" s="362"/>
      <c r="E161" s="362"/>
      <c r="F161" s="228"/>
      <c r="G161" s="462"/>
      <c r="H161" s="16" t="s">
        <v>12</v>
      </c>
      <c r="I161" s="70"/>
      <c r="J161" s="63"/>
      <c r="K161" s="63"/>
      <c r="L161" s="63"/>
      <c r="M161" s="141">
        <f t="shared" si="18"/>
        <v>0</v>
      </c>
      <c r="N161" s="62"/>
    </row>
    <row r="162" spans="1:14" s="67" customFormat="1" ht="15" customHeight="1" hidden="1">
      <c r="A162" s="460"/>
      <c r="B162" s="215"/>
      <c r="C162" s="209"/>
      <c r="D162" s="362"/>
      <c r="E162" s="362"/>
      <c r="F162" s="212"/>
      <c r="G162" s="5" t="s">
        <v>13</v>
      </c>
      <c r="H162" s="16" t="s">
        <v>14</v>
      </c>
      <c r="I162" s="70"/>
      <c r="J162" s="63"/>
      <c r="K162" s="63"/>
      <c r="L162" s="63"/>
      <c r="M162" s="141">
        <f t="shared" si="18"/>
        <v>0</v>
      </c>
      <c r="N162" s="62"/>
    </row>
    <row r="163" spans="1:14" s="67" customFormat="1" ht="15" customHeight="1" hidden="1">
      <c r="A163" s="460"/>
      <c r="B163" s="215"/>
      <c r="C163" s="209"/>
      <c r="D163" s="362"/>
      <c r="E163" s="362"/>
      <c r="F163" s="227">
        <v>2015</v>
      </c>
      <c r="G163" s="414">
        <v>12000000</v>
      </c>
      <c r="H163" s="16" t="s">
        <v>15</v>
      </c>
      <c r="I163" s="70"/>
      <c r="J163" s="63"/>
      <c r="K163" s="63"/>
      <c r="L163" s="63"/>
      <c r="M163" s="141">
        <f t="shared" si="18"/>
        <v>0</v>
      </c>
      <c r="N163" s="62"/>
    </row>
    <row r="164" spans="1:14" s="67" customFormat="1" ht="15" customHeight="1" hidden="1">
      <c r="A164" s="460"/>
      <c r="B164" s="215"/>
      <c r="C164" s="209"/>
      <c r="D164" s="362"/>
      <c r="E164" s="362"/>
      <c r="F164" s="228"/>
      <c r="G164" s="462"/>
      <c r="H164" s="16" t="s">
        <v>16</v>
      </c>
      <c r="I164" s="70"/>
      <c r="J164" s="63"/>
      <c r="K164" s="63"/>
      <c r="L164" s="63"/>
      <c r="M164" s="141">
        <f t="shared" si="18"/>
        <v>0</v>
      </c>
      <c r="N164" s="62"/>
    </row>
    <row r="165" spans="1:16" s="67" customFormat="1" ht="15" customHeight="1" hidden="1">
      <c r="A165" s="460"/>
      <c r="B165" s="215"/>
      <c r="C165" s="209"/>
      <c r="D165" s="362"/>
      <c r="E165" s="362"/>
      <c r="F165" s="228"/>
      <c r="G165" s="5" t="s">
        <v>17</v>
      </c>
      <c r="H165" s="16" t="s">
        <v>18</v>
      </c>
      <c r="I165" s="6">
        <f aca="true" t="shared" si="22" ref="I165:L166">I159+I161+I163</f>
        <v>0</v>
      </c>
      <c r="J165" s="7">
        <f t="shared" si="22"/>
        <v>0</v>
      </c>
      <c r="K165" s="7">
        <f t="shared" si="22"/>
        <v>0</v>
      </c>
      <c r="L165" s="7">
        <f t="shared" si="22"/>
        <v>0</v>
      </c>
      <c r="M165" s="123">
        <f t="shared" si="18"/>
        <v>0</v>
      </c>
      <c r="N165" s="149" t="e">
        <f>M165/G160</f>
        <v>#DIV/0!</v>
      </c>
      <c r="P165" s="68"/>
    </row>
    <row r="166" spans="1:14" s="67" customFormat="1" ht="15" customHeight="1" hidden="1" thickBot="1">
      <c r="A166" s="456"/>
      <c r="B166" s="207"/>
      <c r="C166" s="210"/>
      <c r="D166" s="363"/>
      <c r="E166" s="363"/>
      <c r="F166" s="216"/>
      <c r="G166" s="8">
        <v>12000000</v>
      </c>
      <c r="H166" s="17" t="s">
        <v>19</v>
      </c>
      <c r="I166" s="9">
        <f t="shared" si="22"/>
        <v>0</v>
      </c>
      <c r="J166" s="10">
        <f t="shared" si="22"/>
        <v>0</v>
      </c>
      <c r="K166" s="10">
        <f t="shared" si="22"/>
        <v>0</v>
      </c>
      <c r="L166" s="10">
        <f t="shared" si="22"/>
        <v>0</v>
      </c>
      <c r="M166" s="124">
        <f t="shared" si="18"/>
        <v>0</v>
      </c>
      <c r="N166" s="150">
        <f>M166/G163</f>
        <v>0</v>
      </c>
    </row>
    <row r="167" spans="1:14" s="13" customFormat="1" ht="12.75" customHeight="1">
      <c r="A167" s="455">
        <v>16</v>
      </c>
      <c r="B167" s="214" t="s">
        <v>32</v>
      </c>
      <c r="C167" s="208">
        <v>85111</v>
      </c>
      <c r="D167" s="211" t="s">
        <v>8</v>
      </c>
      <c r="E167" s="56"/>
      <c r="F167" s="217">
        <v>2009</v>
      </c>
      <c r="G167" s="1" t="s">
        <v>9</v>
      </c>
      <c r="H167" s="15" t="s">
        <v>10</v>
      </c>
      <c r="I167" s="60"/>
      <c r="J167" s="61"/>
      <c r="K167" s="61"/>
      <c r="L167" s="61"/>
      <c r="M167" s="146">
        <f t="shared" si="18"/>
        <v>0</v>
      </c>
      <c r="N167" s="60"/>
    </row>
    <row r="168" spans="1:14" s="13" customFormat="1" ht="12.75">
      <c r="A168" s="460"/>
      <c r="B168" s="215"/>
      <c r="C168" s="209"/>
      <c r="D168" s="362"/>
      <c r="E168" s="57"/>
      <c r="F168" s="228"/>
      <c r="G168" s="414">
        <v>0</v>
      </c>
      <c r="H168" s="16" t="s">
        <v>11</v>
      </c>
      <c r="I168" s="62">
        <f>5633+16770-9305+113006-34074</f>
        <v>92030</v>
      </c>
      <c r="J168" s="63">
        <f>180646+34074</f>
        <v>214720</v>
      </c>
      <c r="K168" s="63">
        <v>0</v>
      </c>
      <c r="L168" s="63">
        <v>214720</v>
      </c>
      <c r="M168" s="147">
        <f t="shared" si="18"/>
        <v>92030</v>
      </c>
      <c r="N168" s="62"/>
    </row>
    <row r="169" spans="1:14" s="13" customFormat="1" ht="12.75">
      <c r="A169" s="460"/>
      <c r="B169" s="215"/>
      <c r="C169" s="209"/>
      <c r="D169" s="362"/>
      <c r="E169" s="57"/>
      <c r="F169" s="228"/>
      <c r="G169" s="462"/>
      <c r="H169" s="16" t="s">
        <v>12</v>
      </c>
      <c r="I169" s="62"/>
      <c r="J169" s="63"/>
      <c r="K169" s="63"/>
      <c r="L169" s="63"/>
      <c r="M169" s="147">
        <f t="shared" si="18"/>
        <v>0</v>
      </c>
      <c r="N169" s="62"/>
    </row>
    <row r="170" spans="1:14" s="13" customFormat="1" ht="15" customHeight="1">
      <c r="A170" s="460"/>
      <c r="B170" s="215"/>
      <c r="C170" s="209"/>
      <c r="D170" s="362"/>
      <c r="E170" s="57" t="s">
        <v>106</v>
      </c>
      <c r="F170" s="212"/>
      <c r="G170" s="5" t="s">
        <v>13</v>
      </c>
      <c r="H170" s="16" t="s">
        <v>14</v>
      </c>
      <c r="I170" s="62"/>
      <c r="J170" s="63"/>
      <c r="K170" s="63"/>
      <c r="L170" s="63"/>
      <c r="M170" s="147">
        <f t="shared" si="18"/>
        <v>0</v>
      </c>
      <c r="N170" s="62"/>
    </row>
    <row r="171" spans="1:14" s="13" customFormat="1" ht="15" customHeight="1">
      <c r="A171" s="460"/>
      <c r="B171" s="215"/>
      <c r="C171" s="209"/>
      <c r="D171" s="362"/>
      <c r="E171" s="57"/>
      <c r="F171" s="227">
        <v>2013</v>
      </c>
      <c r="G171" s="414">
        <v>306750</v>
      </c>
      <c r="H171" s="16" t="s">
        <v>15</v>
      </c>
      <c r="I171" s="62"/>
      <c r="J171" s="63"/>
      <c r="K171" s="63"/>
      <c r="L171" s="63"/>
      <c r="M171" s="147">
        <f t="shared" si="18"/>
        <v>0</v>
      </c>
      <c r="N171" s="62"/>
    </row>
    <row r="172" spans="1:14" s="13" customFormat="1" ht="15" customHeight="1">
      <c r="A172" s="460"/>
      <c r="B172" s="215"/>
      <c r="C172" s="209"/>
      <c r="D172" s="362"/>
      <c r="E172" s="57"/>
      <c r="F172" s="228"/>
      <c r="G172" s="462"/>
      <c r="H172" s="16" t="s">
        <v>16</v>
      </c>
      <c r="I172" s="62"/>
      <c r="J172" s="63"/>
      <c r="K172" s="63"/>
      <c r="L172" s="63"/>
      <c r="M172" s="147">
        <f t="shared" si="18"/>
        <v>0</v>
      </c>
      <c r="N172" s="62"/>
    </row>
    <row r="173" spans="1:14" s="13" customFormat="1" ht="15" customHeight="1">
      <c r="A173" s="460"/>
      <c r="B173" s="215"/>
      <c r="C173" s="209"/>
      <c r="D173" s="362"/>
      <c r="E173" s="57"/>
      <c r="F173" s="228"/>
      <c r="G173" s="5" t="s">
        <v>17</v>
      </c>
      <c r="H173" s="16" t="s">
        <v>18</v>
      </c>
      <c r="I173" s="6">
        <f aca="true" t="shared" si="23" ref="I173:L174">I167+I169+I171</f>
        <v>0</v>
      </c>
      <c r="J173" s="7">
        <f t="shared" si="23"/>
        <v>0</v>
      </c>
      <c r="K173" s="7">
        <f t="shared" si="23"/>
        <v>0</v>
      </c>
      <c r="L173" s="7">
        <f t="shared" si="23"/>
        <v>0</v>
      </c>
      <c r="M173" s="123">
        <f t="shared" si="18"/>
        <v>0</v>
      </c>
      <c r="N173" s="149"/>
    </row>
    <row r="174" spans="1:14" s="13" customFormat="1" ht="15" customHeight="1" thickBot="1">
      <c r="A174" s="456"/>
      <c r="B174" s="207"/>
      <c r="C174" s="210"/>
      <c r="D174" s="363"/>
      <c r="E174" s="58"/>
      <c r="F174" s="216"/>
      <c r="G174" s="8">
        <v>306750</v>
      </c>
      <c r="H174" s="17" t="s">
        <v>19</v>
      </c>
      <c r="I174" s="9">
        <f t="shared" si="23"/>
        <v>92030</v>
      </c>
      <c r="J174" s="10">
        <f t="shared" si="23"/>
        <v>214720</v>
      </c>
      <c r="K174" s="10">
        <f t="shared" si="23"/>
        <v>0</v>
      </c>
      <c r="L174" s="10">
        <f t="shared" si="23"/>
        <v>214720</v>
      </c>
      <c r="M174" s="124">
        <f t="shared" si="18"/>
        <v>92030</v>
      </c>
      <c r="N174" s="150">
        <f>M174/G171</f>
        <v>0.30001629991850043</v>
      </c>
    </row>
    <row r="175" spans="1:14" s="67" customFormat="1" ht="15.75" customHeight="1">
      <c r="A175" s="455">
        <v>17</v>
      </c>
      <c r="B175" s="214" t="s">
        <v>33</v>
      </c>
      <c r="C175" s="208">
        <v>90001</v>
      </c>
      <c r="D175" s="211" t="s">
        <v>8</v>
      </c>
      <c r="E175" s="211" t="s">
        <v>128</v>
      </c>
      <c r="F175" s="217">
        <v>2013</v>
      </c>
      <c r="G175" s="1" t="s">
        <v>9</v>
      </c>
      <c r="H175" s="15" t="s">
        <v>10</v>
      </c>
      <c r="I175" s="69"/>
      <c r="J175" s="61"/>
      <c r="K175" s="61"/>
      <c r="L175" s="61"/>
      <c r="M175" s="141">
        <f t="shared" si="18"/>
        <v>0</v>
      </c>
      <c r="N175" s="62"/>
    </row>
    <row r="176" spans="1:14" s="67" customFormat="1" ht="15.75" customHeight="1">
      <c r="A176" s="460"/>
      <c r="B176" s="215"/>
      <c r="C176" s="209"/>
      <c r="D176" s="362"/>
      <c r="E176" s="362"/>
      <c r="F176" s="228"/>
      <c r="G176" s="414">
        <v>0</v>
      </c>
      <c r="H176" s="16" t="s">
        <v>11</v>
      </c>
      <c r="I176" s="70"/>
      <c r="J176" s="63">
        <f>100000</f>
        <v>100000</v>
      </c>
      <c r="K176" s="63">
        <v>62034</v>
      </c>
      <c r="L176" s="63">
        <v>100000</v>
      </c>
      <c r="M176" s="141">
        <f t="shared" si="18"/>
        <v>62034</v>
      </c>
      <c r="N176" s="62"/>
    </row>
    <row r="177" spans="1:14" s="67" customFormat="1" ht="15.75" customHeight="1">
      <c r="A177" s="460"/>
      <c r="B177" s="215"/>
      <c r="C177" s="209"/>
      <c r="D177" s="362"/>
      <c r="E177" s="362"/>
      <c r="F177" s="228"/>
      <c r="G177" s="462"/>
      <c r="H177" s="16" t="s">
        <v>12</v>
      </c>
      <c r="I177" s="70"/>
      <c r="J177" s="63"/>
      <c r="K177" s="63"/>
      <c r="L177" s="63"/>
      <c r="M177" s="141">
        <f t="shared" si="18"/>
        <v>0</v>
      </c>
      <c r="N177" s="62"/>
    </row>
    <row r="178" spans="1:16" s="67" customFormat="1" ht="15.75" customHeight="1">
      <c r="A178" s="460"/>
      <c r="B178" s="215"/>
      <c r="C178" s="209"/>
      <c r="D178" s="362"/>
      <c r="E178" s="362"/>
      <c r="F178" s="212"/>
      <c r="G178" s="5" t="s">
        <v>13</v>
      </c>
      <c r="H178" s="16" t="s">
        <v>14</v>
      </c>
      <c r="I178" s="70"/>
      <c r="J178" s="63"/>
      <c r="K178" s="63"/>
      <c r="L178" s="63"/>
      <c r="M178" s="141">
        <f t="shared" si="18"/>
        <v>0</v>
      </c>
      <c r="N178" s="62"/>
      <c r="P178" s="68"/>
    </row>
    <row r="179" spans="1:14" s="67" customFormat="1" ht="15.75" customHeight="1">
      <c r="A179" s="460"/>
      <c r="B179" s="215"/>
      <c r="C179" s="209"/>
      <c r="D179" s="362"/>
      <c r="E179" s="362"/>
      <c r="F179" s="227">
        <v>2016</v>
      </c>
      <c r="G179" s="414">
        <v>30100000</v>
      </c>
      <c r="H179" s="16" t="s">
        <v>15</v>
      </c>
      <c r="I179" s="70"/>
      <c r="J179" s="63"/>
      <c r="K179" s="63"/>
      <c r="L179" s="63"/>
      <c r="M179" s="141">
        <f t="shared" si="18"/>
        <v>0</v>
      </c>
      <c r="N179" s="62"/>
    </row>
    <row r="180" spans="1:14" s="67" customFormat="1" ht="15.75" customHeight="1">
      <c r="A180" s="460"/>
      <c r="B180" s="215"/>
      <c r="C180" s="209"/>
      <c r="D180" s="362"/>
      <c r="E180" s="362"/>
      <c r="F180" s="228"/>
      <c r="G180" s="462"/>
      <c r="H180" s="16" t="s">
        <v>16</v>
      </c>
      <c r="I180" s="70"/>
      <c r="J180" s="63"/>
      <c r="K180" s="63"/>
      <c r="L180" s="63"/>
      <c r="M180" s="141">
        <f t="shared" si="18"/>
        <v>0</v>
      </c>
      <c r="N180" s="62"/>
    </row>
    <row r="181" spans="1:14" s="67" customFormat="1" ht="15.75" customHeight="1">
      <c r="A181" s="460"/>
      <c r="B181" s="215"/>
      <c r="C181" s="209"/>
      <c r="D181" s="362"/>
      <c r="E181" s="362"/>
      <c r="F181" s="228"/>
      <c r="G181" s="5" t="s">
        <v>17</v>
      </c>
      <c r="H181" s="16" t="s">
        <v>18</v>
      </c>
      <c r="I181" s="6">
        <f aca="true" t="shared" si="24" ref="I181:L182">I175+I177+I179</f>
        <v>0</v>
      </c>
      <c r="J181" s="7">
        <f t="shared" si="24"/>
        <v>0</v>
      </c>
      <c r="K181" s="7">
        <f t="shared" si="24"/>
        <v>0</v>
      </c>
      <c r="L181" s="7">
        <f t="shared" si="24"/>
        <v>0</v>
      </c>
      <c r="M181" s="123">
        <f t="shared" si="18"/>
        <v>0</v>
      </c>
      <c r="N181" s="149"/>
    </row>
    <row r="182" spans="1:14" s="67" customFormat="1" ht="15.75" customHeight="1" thickBot="1">
      <c r="A182" s="456"/>
      <c r="B182" s="207"/>
      <c r="C182" s="210"/>
      <c r="D182" s="363"/>
      <c r="E182" s="362"/>
      <c r="F182" s="216"/>
      <c r="G182" s="8">
        <v>30100000</v>
      </c>
      <c r="H182" s="17" t="s">
        <v>19</v>
      </c>
      <c r="I182" s="9">
        <f t="shared" si="24"/>
        <v>0</v>
      </c>
      <c r="J182" s="10">
        <f t="shared" si="24"/>
        <v>100000</v>
      </c>
      <c r="K182" s="10">
        <f t="shared" si="24"/>
        <v>62034</v>
      </c>
      <c r="L182" s="10">
        <f t="shared" si="24"/>
        <v>100000</v>
      </c>
      <c r="M182" s="144">
        <f t="shared" si="18"/>
        <v>62034</v>
      </c>
      <c r="N182" s="150">
        <f>M182/G179</f>
        <v>0.0020609302325581397</v>
      </c>
    </row>
    <row r="183" spans="1:14" s="67" customFormat="1" ht="14.25" customHeight="1">
      <c r="A183" s="455">
        <v>18</v>
      </c>
      <c r="B183" s="214" t="s">
        <v>129</v>
      </c>
      <c r="C183" s="208">
        <v>90001</v>
      </c>
      <c r="D183" s="211" t="s">
        <v>8</v>
      </c>
      <c r="E183" s="211" t="s">
        <v>128</v>
      </c>
      <c r="F183" s="217">
        <v>2012</v>
      </c>
      <c r="G183" s="1" t="s">
        <v>9</v>
      </c>
      <c r="H183" s="15" t="s">
        <v>10</v>
      </c>
      <c r="I183" s="69"/>
      <c r="J183" s="61"/>
      <c r="K183" s="61"/>
      <c r="L183" s="61"/>
      <c r="M183" s="140">
        <f t="shared" si="18"/>
        <v>0</v>
      </c>
      <c r="N183" s="60"/>
    </row>
    <row r="184" spans="1:14" s="67" customFormat="1" ht="14.25" customHeight="1">
      <c r="A184" s="460"/>
      <c r="B184" s="215"/>
      <c r="C184" s="209"/>
      <c r="D184" s="362"/>
      <c r="E184" s="362"/>
      <c r="F184" s="228"/>
      <c r="G184" s="414">
        <v>0</v>
      </c>
      <c r="H184" s="16" t="s">
        <v>11</v>
      </c>
      <c r="I184" s="62">
        <v>704404</v>
      </c>
      <c r="J184" s="63">
        <f>800000+1188268</f>
        <v>1988268</v>
      </c>
      <c r="K184" s="63">
        <v>0</v>
      </c>
      <c r="L184" s="63">
        <v>1988268</v>
      </c>
      <c r="M184" s="141">
        <f t="shared" si="18"/>
        <v>704404</v>
      </c>
      <c r="N184" s="62"/>
    </row>
    <row r="185" spans="1:14" s="67" customFormat="1" ht="14.25" customHeight="1">
      <c r="A185" s="460"/>
      <c r="B185" s="215"/>
      <c r="C185" s="209"/>
      <c r="D185" s="362"/>
      <c r="E185" s="362"/>
      <c r="F185" s="228"/>
      <c r="G185" s="462"/>
      <c r="H185" s="16" t="s">
        <v>12</v>
      </c>
      <c r="I185" s="70"/>
      <c r="J185" s="63"/>
      <c r="K185" s="63"/>
      <c r="L185" s="63"/>
      <c r="M185" s="141">
        <f t="shared" si="18"/>
        <v>0</v>
      </c>
      <c r="N185" s="62"/>
    </row>
    <row r="186" spans="1:14" s="67" customFormat="1" ht="14.25" customHeight="1">
      <c r="A186" s="460"/>
      <c r="B186" s="215"/>
      <c r="C186" s="209"/>
      <c r="D186" s="362"/>
      <c r="E186" s="362"/>
      <c r="F186" s="212"/>
      <c r="G186" s="5" t="s">
        <v>13</v>
      </c>
      <c r="H186" s="16" t="s">
        <v>14</v>
      </c>
      <c r="I186" s="70"/>
      <c r="J186" s="63"/>
      <c r="K186" s="63"/>
      <c r="L186" s="63"/>
      <c r="M186" s="141">
        <f t="shared" si="18"/>
        <v>0</v>
      </c>
      <c r="N186" s="62"/>
    </row>
    <row r="187" spans="1:14" s="67" customFormat="1" ht="14.25" customHeight="1">
      <c r="A187" s="460"/>
      <c r="B187" s="215"/>
      <c r="C187" s="209"/>
      <c r="D187" s="362"/>
      <c r="E187" s="362"/>
      <c r="F187" s="227">
        <v>2013</v>
      </c>
      <c r="G187" s="414">
        <v>2692672</v>
      </c>
      <c r="H187" s="16" t="s">
        <v>15</v>
      </c>
      <c r="I187" s="70"/>
      <c r="J187" s="63"/>
      <c r="K187" s="63"/>
      <c r="L187" s="63"/>
      <c r="M187" s="141">
        <f t="shared" si="18"/>
        <v>0</v>
      </c>
      <c r="N187" s="62"/>
    </row>
    <row r="188" spans="1:14" s="67" customFormat="1" ht="14.25" customHeight="1">
      <c r="A188" s="460"/>
      <c r="B188" s="215"/>
      <c r="C188" s="209"/>
      <c r="D188" s="362"/>
      <c r="E188" s="362"/>
      <c r="F188" s="228"/>
      <c r="G188" s="462"/>
      <c r="H188" s="16" t="s">
        <v>16</v>
      </c>
      <c r="I188" s="70"/>
      <c r="J188" s="63"/>
      <c r="K188" s="63"/>
      <c r="L188" s="63"/>
      <c r="M188" s="141">
        <f t="shared" si="18"/>
        <v>0</v>
      </c>
      <c r="N188" s="62"/>
    </row>
    <row r="189" spans="1:14" s="67" customFormat="1" ht="14.25" customHeight="1">
      <c r="A189" s="460"/>
      <c r="B189" s="215"/>
      <c r="C189" s="209"/>
      <c r="D189" s="362"/>
      <c r="E189" s="362"/>
      <c r="F189" s="228"/>
      <c r="G189" s="5" t="s">
        <v>17</v>
      </c>
      <c r="H189" s="16" t="s">
        <v>18</v>
      </c>
      <c r="I189" s="6">
        <f aca="true" t="shared" si="25" ref="I189:L190">I183+I185+I187</f>
        <v>0</v>
      </c>
      <c r="J189" s="7">
        <f t="shared" si="25"/>
        <v>0</v>
      </c>
      <c r="K189" s="7">
        <f t="shared" si="25"/>
        <v>0</v>
      </c>
      <c r="L189" s="7">
        <f t="shared" si="25"/>
        <v>0</v>
      </c>
      <c r="M189" s="123">
        <f t="shared" si="18"/>
        <v>0</v>
      </c>
      <c r="N189" s="149"/>
    </row>
    <row r="190" spans="1:14" s="67" customFormat="1" ht="14.25" customHeight="1" thickBot="1">
      <c r="A190" s="456"/>
      <c r="B190" s="207"/>
      <c r="C190" s="210"/>
      <c r="D190" s="363"/>
      <c r="E190" s="362"/>
      <c r="F190" s="216"/>
      <c r="G190" s="8">
        <v>2692672</v>
      </c>
      <c r="H190" s="17" t="s">
        <v>19</v>
      </c>
      <c r="I190" s="9">
        <f t="shared" si="25"/>
        <v>704404</v>
      </c>
      <c r="J190" s="10">
        <f t="shared" si="25"/>
        <v>1988268</v>
      </c>
      <c r="K190" s="10">
        <f t="shared" si="25"/>
        <v>0</v>
      </c>
      <c r="L190" s="10">
        <f t="shared" si="25"/>
        <v>1988268</v>
      </c>
      <c r="M190" s="124">
        <f t="shared" si="18"/>
        <v>704404</v>
      </c>
      <c r="N190" s="150">
        <f>M190/G187</f>
        <v>0.26160037316093454</v>
      </c>
    </row>
    <row r="191" spans="1:14" s="67" customFormat="1" ht="12.75">
      <c r="A191" s="455">
        <v>19</v>
      </c>
      <c r="B191" s="214" t="s">
        <v>24</v>
      </c>
      <c r="C191" s="208">
        <v>90001</v>
      </c>
      <c r="D191" s="211" t="s">
        <v>8</v>
      </c>
      <c r="E191" s="211" t="s">
        <v>128</v>
      </c>
      <c r="F191" s="217">
        <v>2012</v>
      </c>
      <c r="G191" s="1" t="s">
        <v>9</v>
      </c>
      <c r="H191" s="15" t="s">
        <v>10</v>
      </c>
      <c r="I191" s="69"/>
      <c r="J191" s="61"/>
      <c r="K191" s="61"/>
      <c r="L191" s="61"/>
      <c r="M191" s="140">
        <f t="shared" si="18"/>
        <v>0</v>
      </c>
      <c r="N191" s="60"/>
    </row>
    <row r="192" spans="1:14" s="67" customFormat="1" ht="12.75">
      <c r="A192" s="460"/>
      <c r="B192" s="215"/>
      <c r="C192" s="209"/>
      <c r="D192" s="362"/>
      <c r="E192" s="362"/>
      <c r="F192" s="228"/>
      <c r="G192" s="414">
        <v>0</v>
      </c>
      <c r="H192" s="16" t="s">
        <v>11</v>
      </c>
      <c r="I192" s="62">
        <v>500000</v>
      </c>
      <c r="J192" s="63">
        <v>350000</v>
      </c>
      <c r="K192" s="63">
        <v>169513</v>
      </c>
      <c r="L192" s="63">
        <v>350000</v>
      </c>
      <c r="M192" s="141">
        <f t="shared" si="18"/>
        <v>669513</v>
      </c>
      <c r="N192" s="62"/>
    </row>
    <row r="193" spans="1:14" s="67" customFormat="1" ht="12.75">
      <c r="A193" s="460"/>
      <c r="B193" s="215"/>
      <c r="C193" s="209"/>
      <c r="D193" s="362"/>
      <c r="E193" s="362"/>
      <c r="F193" s="228"/>
      <c r="G193" s="462"/>
      <c r="H193" s="16" t="s">
        <v>12</v>
      </c>
      <c r="I193" s="70"/>
      <c r="J193" s="63"/>
      <c r="K193" s="63"/>
      <c r="L193" s="63"/>
      <c r="M193" s="141">
        <f t="shared" si="18"/>
        <v>0</v>
      </c>
      <c r="N193" s="62"/>
    </row>
    <row r="194" spans="1:14" s="67" customFormat="1" ht="12.75">
      <c r="A194" s="460"/>
      <c r="B194" s="215"/>
      <c r="C194" s="209"/>
      <c r="D194" s="362"/>
      <c r="E194" s="362"/>
      <c r="F194" s="212"/>
      <c r="G194" s="5" t="s">
        <v>13</v>
      </c>
      <c r="H194" s="16" t="s">
        <v>14</v>
      </c>
      <c r="I194" s="70"/>
      <c r="J194" s="63"/>
      <c r="K194" s="63"/>
      <c r="L194" s="63"/>
      <c r="M194" s="141">
        <f t="shared" si="18"/>
        <v>0</v>
      </c>
      <c r="N194" s="62"/>
    </row>
    <row r="195" spans="1:14" s="67" customFormat="1" ht="12.75">
      <c r="A195" s="460"/>
      <c r="B195" s="215"/>
      <c r="C195" s="209"/>
      <c r="D195" s="362"/>
      <c r="E195" s="362"/>
      <c r="F195" s="227">
        <v>2016</v>
      </c>
      <c r="G195" s="414">
        <v>2350000</v>
      </c>
      <c r="H195" s="16" t="s">
        <v>15</v>
      </c>
      <c r="I195" s="70"/>
      <c r="J195" s="63"/>
      <c r="K195" s="63"/>
      <c r="L195" s="63"/>
      <c r="M195" s="141">
        <f t="shared" si="18"/>
        <v>0</v>
      </c>
      <c r="N195" s="62"/>
    </row>
    <row r="196" spans="1:15" s="67" customFormat="1" ht="13.5" customHeight="1">
      <c r="A196" s="460"/>
      <c r="B196" s="215"/>
      <c r="C196" s="209"/>
      <c r="D196" s="362"/>
      <c r="E196" s="362"/>
      <c r="F196" s="228"/>
      <c r="G196" s="462"/>
      <c r="H196" s="16" t="s">
        <v>16</v>
      </c>
      <c r="I196" s="70"/>
      <c r="J196" s="63"/>
      <c r="K196" s="63"/>
      <c r="L196" s="63"/>
      <c r="M196" s="141">
        <f t="shared" si="18"/>
        <v>0</v>
      </c>
      <c r="N196" s="62"/>
      <c r="O196" s="68"/>
    </row>
    <row r="197" spans="1:14" s="67" customFormat="1" ht="15.75" customHeight="1">
      <c r="A197" s="460"/>
      <c r="B197" s="215"/>
      <c r="C197" s="209"/>
      <c r="D197" s="362"/>
      <c r="E197" s="362"/>
      <c r="F197" s="228"/>
      <c r="G197" s="5" t="s">
        <v>17</v>
      </c>
      <c r="H197" s="16" t="s">
        <v>18</v>
      </c>
      <c r="I197" s="6">
        <f aca="true" t="shared" si="26" ref="I197:L198">I191+I193+I195</f>
        <v>0</v>
      </c>
      <c r="J197" s="7">
        <f t="shared" si="26"/>
        <v>0</v>
      </c>
      <c r="K197" s="7">
        <f t="shared" si="26"/>
        <v>0</v>
      </c>
      <c r="L197" s="7">
        <f t="shared" si="26"/>
        <v>0</v>
      </c>
      <c r="M197" s="123">
        <f t="shared" si="18"/>
        <v>0</v>
      </c>
      <c r="N197" s="149"/>
    </row>
    <row r="198" spans="1:14" s="67" customFormat="1" ht="13.5" thickBot="1">
      <c r="A198" s="456"/>
      <c r="B198" s="207"/>
      <c r="C198" s="210"/>
      <c r="D198" s="363"/>
      <c r="E198" s="363"/>
      <c r="F198" s="216"/>
      <c r="G198" s="8">
        <v>2350000</v>
      </c>
      <c r="H198" s="17" t="s">
        <v>19</v>
      </c>
      <c r="I198" s="9">
        <f t="shared" si="26"/>
        <v>500000</v>
      </c>
      <c r="J198" s="10">
        <f t="shared" si="26"/>
        <v>350000</v>
      </c>
      <c r="K198" s="10">
        <f t="shared" si="26"/>
        <v>169513</v>
      </c>
      <c r="L198" s="10">
        <f t="shared" si="26"/>
        <v>350000</v>
      </c>
      <c r="M198" s="124">
        <f t="shared" si="18"/>
        <v>669513</v>
      </c>
      <c r="N198" s="150">
        <f>M198/G195</f>
        <v>0.2848991489361702</v>
      </c>
    </row>
    <row r="199" spans="1:14" s="67" customFormat="1" ht="15" customHeight="1" hidden="1">
      <c r="A199" s="455">
        <v>25</v>
      </c>
      <c r="B199" s="214" t="s">
        <v>34</v>
      </c>
      <c r="C199" s="208">
        <v>90001</v>
      </c>
      <c r="D199" s="211" t="s">
        <v>8</v>
      </c>
      <c r="E199" s="211" t="s">
        <v>128</v>
      </c>
      <c r="F199" s="217">
        <v>2014</v>
      </c>
      <c r="G199" s="1" t="s">
        <v>9</v>
      </c>
      <c r="H199" s="15" t="s">
        <v>10</v>
      </c>
      <c r="I199" s="69"/>
      <c r="J199" s="61"/>
      <c r="K199" s="61"/>
      <c r="L199" s="61"/>
      <c r="M199" s="140">
        <f t="shared" si="18"/>
        <v>0</v>
      </c>
      <c r="N199" s="60"/>
    </row>
    <row r="200" spans="1:14" s="67" customFormat="1" ht="15" customHeight="1" hidden="1">
      <c r="A200" s="460"/>
      <c r="B200" s="215"/>
      <c r="C200" s="209"/>
      <c r="D200" s="362"/>
      <c r="E200" s="362"/>
      <c r="F200" s="228"/>
      <c r="G200" s="414">
        <v>0</v>
      </c>
      <c r="H200" s="16" t="s">
        <v>11</v>
      </c>
      <c r="I200" s="70"/>
      <c r="J200" s="63"/>
      <c r="K200" s="63"/>
      <c r="L200" s="63"/>
      <c r="M200" s="141">
        <f aca="true" t="shared" si="27" ref="M200:M263">SUM(I200,K200)</f>
        <v>0</v>
      </c>
      <c r="N200" s="62"/>
    </row>
    <row r="201" spans="1:14" s="67" customFormat="1" ht="15" customHeight="1" hidden="1">
      <c r="A201" s="460"/>
      <c r="B201" s="215"/>
      <c r="C201" s="209"/>
      <c r="D201" s="362"/>
      <c r="E201" s="362"/>
      <c r="F201" s="228"/>
      <c r="G201" s="462"/>
      <c r="H201" s="16" t="s">
        <v>12</v>
      </c>
      <c r="I201" s="70"/>
      <c r="J201" s="63"/>
      <c r="K201" s="63"/>
      <c r="L201" s="63"/>
      <c r="M201" s="141">
        <f t="shared" si="27"/>
        <v>0</v>
      </c>
      <c r="N201" s="62"/>
    </row>
    <row r="202" spans="1:14" s="67" customFormat="1" ht="15" customHeight="1" hidden="1">
      <c r="A202" s="460"/>
      <c r="B202" s="215"/>
      <c r="C202" s="209"/>
      <c r="D202" s="362"/>
      <c r="E202" s="362"/>
      <c r="F202" s="212"/>
      <c r="G202" s="5" t="s">
        <v>13</v>
      </c>
      <c r="H202" s="16" t="s">
        <v>14</v>
      </c>
      <c r="I202" s="70"/>
      <c r="J202" s="63"/>
      <c r="K202" s="63"/>
      <c r="L202" s="63"/>
      <c r="M202" s="141">
        <f t="shared" si="27"/>
        <v>0</v>
      </c>
      <c r="N202" s="62"/>
    </row>
    <row r="203" spans="1:14" s="67" customFormat="1" ht="15" customHeight="1" hidden="1">
      <c r="A203" s="460"/>
      <c r="B203" s="215"/>
      <c r="C203" s="209"/>
      <c r="D203" s="362"/>
      <c r="E203" s="362"/>
      <c r="F203" s="227">
        <v>2016</v>
      </c>
      <c r="G203" s="414">
        <v>300000</v>
      </c>
      <c r="H203" s="16" t="s">
        <v>15</v>
      </c>
      <c r="I203" s="70"/>
      <c r="J203" s="63"/>
      <c r="K203" s="63"/>
      <c r="L203" s="63"/>
      <c r="M203" s="141">
        <f t="shared" si="27"/>
        <v>0</v>
      </c>
      <c r="N203" s="62"/>
    </row>
    <row r="204" spans="1:14" s="67" customFormat="1" ht="15" customHeight="1" hidden="1">
      <c r="A204" s="460"/>
      <c r="B204" s="215"/>
      <c r="C204" s="209"/>
      <c r="D204" s="362"/>
      <c r="E204" s="362"/>
      <c r="F204" s="228"/>
      <c r="G204" s="462"/>
      <c r="H204" s="16" t="s">
        <v>16</v>
      </c>
      <c r="I204" s="70"/>
      <c r="J204" s="63"/>
      <c r="K204" s="63"/>
      <c r="L204" s="63"/>
      <c r="M204" s="141">
        <f t="shared" si="27"/>
        <v>0</v>
      </c>
      <c r="N204" s="62"/>
    </row>
    <row r="205" spans="1:14" s="67" customFormat="1" ht="15" customHeight="1" hidden="1">
      <c r="A205" s="460"/>
      <c r="B205" s="215"/>
      <c r="C205" s="209"/>
      <c r="D205" s="362"/>
      <c r="E205" s="362"/>
      <c r="F205" s="228"/>
      <c r="G205" s="5" t="s">
        <v>17</v>
      </c>
      <c r="H205" s="16" t="s">
        <v>18</v>
      </c>
      <c r="I205" s="6">
        <f aca="true" t="shared" si="28" ref="I205:L206">I199+I201+I203</f>
        <v>0</v>
      </c>
      <c r="J205" s="7">
        <f t="shared" si="28"/>
        <v>0</v>
      </c>
      <c r="K205" s="7">
        <f t="shared" si="28"/>
        <v>0</v>
      </c>
      <c r="L205" s="7">
        <f t="shared" si="28"/>
        <v>0</v>
      </c>
      <c r="M205" s="123">
        <f t="shared" si="27"/>
        <v>0</v>
      </c>
      <c r="N205" s="149" t="e">
        <f>M205/G200</f>
        <v>#DIV/0!</v>
      </c>
    </row>
    <row r="206" spans="1:14" s="67" customFormat="1" ht="15" customHeight="1" hidden="1" thickBot="1">
      <c r="A206" s="456"/>
      <c r="B206" s="207"/>
      <c r="C206" s="210"/>
      <c r="D206" s="363"/>
      <c r="E206" s="362"/>
      <c r="F206" s="216"/>
      <c r="G206" s="8">
        <v>300000</v>
      </c>
      <c r="H206" s="17" t="s">
        <v>19</v>
      </c>
      <c r="I206" s="9">
        <f t="shared" si="28"/>
        <v>0</v>
      </c>
      <c r="J206" s="10">
        <f t="shared" si="28"/>
        <v>0</v>
      </c>
      <c r="K206" s="10">
        <f t="shared" si="28"/>
        <v>0</v>
      </c>
      <c r="L206" s="10">
        <f t="shared" si="28"/>
        <v>0</v>
      </c>
      <c r="M206" s="124">
        <f t="shared" si="27"/>
        <v>0</v>
      </c>
      <c r="N206" s="150">
        <f>M206/G203</f>
        <v>0</v>
      </c>
    </row>
    <row r="207" spans="1:39" s="13" customFormat="1" ht="15.75" customHeight="1">
      <c r="A207" s="455">
        <v>20</v>
      </c>
      <c r="B207" s="214" t="s">
        <v>91</v>
      </c>
      <c r="C207" s="208">
        <v>90004</v>
      </c>
      <c r="D207" s="211" t="s">
        <v>8</v>
      </c>
      <c r="E207" s="56"/>
      <c r="F207" s="217">
        <v>2012</v>
      </c>
      <c r="G207" s="81" t="s">
        <v>9</v>
      </c>
      <c r="H207" s="15" t="s">
        <v>10</v>
      </c>
      <c r="I207" s="60"/>
      <c r="J207" s="61"/>
      <c r="K207" s="61"/>
      <c r="L207" s="61"/>
      <c r="M207" s="146">
        <f t="shared" si="27"/>
        <v>0</v>
      </c>
      <c r="N207" s="60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461"/>
    </row>
    <row r="208" spans="1:39" s="13" customFormat="1" ht="15" customHeight="1">
      <c r="A208" s="460"/>
      <c r="B208" s="215"/>
      <c r="C208" s="209"/>
      <c r="D208" s="362"/>
      <c r="E208" s="57"/>
      <c r="F208" s="228"/>
      <c r="G208" s="341">
        <v>162885</v>
      </c>
      <c r="H208" s="16" t="s">
        <v>11</v>
      </c>
      <c r="I208" s="62">
        <v>770837</v>
      </c>
      <c r="J208" s="63">
        <v>695130</v>
      </c>
      <c r="K208" s="63">
        <v>695122</v>
      </c>
      <c r="L208" s="63">
        <v>695122</v>
      </c>
      <c r="M208" s="147">
        <f t="shared" si="27"/>
        <v>1465959</v>
      </c>
      <c r="N208" s="6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461"/>
    </row>
    <row r="209" spans="1:39" s="13" customFormat="1" ht="15" customHeight="1">
      <c r="A209" s="460"/>
      <c r="B209" s="215"/>
      <c r="C209" s="209"/>
      <c r="D209" s="362"/>
      <c r="E209" s="57"/>
      <c r="F209" s="228"/>
      <c r="G209" s="342"/>
      <c r="H209" s="16" t="s">
        <v>12</v>
      </c>
      <c r="I209" s="62"/>
      <c r="J209" s="63"/>
      <c r="K209" s="63"/>
      <c r="L209" s="63"/>
      <c r="M209" s="147">
        <f t="shared" si="27"/>
        <v>0</v>
      </c>
      <c r="N209" s="6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461"/>
    </row>
    <row r="210" spans="1:39" s="13" customFormat="1" ht="15" customHeight="1">
      <c r="A210" s="460"/>
      <c r="B210" s="215"/>
      <c r="C210" s="209"/>
      <c r="D210" s="362"/>
      <c r="E210" s="57"/>
      <c r="F210" s="212"/>
      <c r="G210" s="83" t="s">
        <v>13</v>
      </c>
      <c r="H210" s="16" t="s">
        <v>14</v>
      </c>
      <c r="I210" s="62"/>
      <c r="J210" s="63"/>
      <c r="K210" s="63"/>
      <c r="L210" s="63"/>
      <c r="M210" s="147">
        <f t="shared" si="27"/>
        <v>0</v>
      </c>
      <c r="N210" s="6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461"/>
    </row>
    <row r="211" spans="1:39" s="13" customFormat="1" ht="15" customHeight="1">
      <c r="A211" s="460"/>
      <c r="B211" s="215"/>
      <c r="C211" s="209"/>
      <c r="D211" s="362"/>
      <c r="E211" s="57" t="s">
        <v>90</v>
      </c>
      <c r="F211" s="227">
        <v>2015</v>
      </c>
      <c r="G211" s="341">
        <v>1465967</v>
      </c>
      <c r="H211" s="16" t="s">
        <v>15</v>
      </c>
      <c r="I211" s="62"/>
      <c r="J211" s="63"/>
      <c r="K211" s="63"/>
      <c r="L211" s="63"/>
      <c r="M211" s="147">
        <f t="shared" si="27"/>
        <v>0</v>
      </c>
      <c r="N211" s="6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461"/>
    </row>
    <row r="212" spans="1:39" s="13" customFormat="1" ht="15.75" customHeight="1">
      <c r="A212" s="460"/>
      <c r="B212" s="215"/>
      <c r="C212" s="209"/>
      <c r="D212" s="362"/>
      <c r="E212" s="57"/>
      <c r="F212" s="228"/>
      <c r="G212" s="342"/>
      <c r="H212" s="16" t="s">
        <v>16</v>
      </c>
      <c r="I212" s="62"/>
      <c r="J212" s="63"/>
      <c r="K212" s="63"/>
      <c r="L212" s="63"/>
      <c r="M212" s="147">
        <f t="shared" si="27"/>
        <v>0</v>
      </c>
      <c r="N212" s="6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461"/>
    </row>
    <row r="213" spans="1:39" s="13" customFormat="1" ht="15.75" customHeight="1">
      <c r="A213" s="460"/>
      <c r="B213" s="215"/>
      <c r="C213" s="209"/>
      <c r="D213" s="362"/>
      <c r="E213" s="57"/>
      <c r="F213" s="228"/>
      <c r="G213" s="83" t="s">
        <v>17</v>
      </c>
      <c r="H213" s="16" t="s">
        <v>18</v>
      </c>
      <c r="I213" s="6">
        <f aca="true" t="shared" si="29" ref="I213:L214">I207+I209+I211</f>
        <v>0</v>
      </c>
      <c r="J213" s="7">
        <f t="shared" si="29"/>
        <v>0</v>
      </c>
      <c r="K213" s="7">
        <f t="shared" si="29"/>
        <v>0</v>
      </c>
      <c r="L213" s="7">
        <f t="shared" si="29"/>
        <v>0</v>
      </c>
      <c r="M213" s="123">
        <f t="shared" si="27"/>
        <v>0</v>
      </c>
      <c r="N213" s="149">
        <f>M213/G208</f>
        <v>0</v>
      </c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461"/>
    </row>
    <row r="214" spans="1:39" s="13" customFormat="1" ht="15.75" customHeight="1" thickBot="1">
      <c r="A214" s="456"/>
      <c r="B214" s="207"/>
      <c r="C214" s="210"/>
      <c r="D214" s="363"/>
      <c r="E214" s="58"/>
      <c r="F214" s="216"/>
      <c r="G214" s="85">
        <v>1628852</v>
      </c>
      <c r="H214" s="17" t="s">
        <v>19</v>
      </c>
      <c r="I214" s="9">
        <f t="shared" si="29"/>
        <v>770837</v>
      </c>
      <c r="J214" s="10">
        <f t="shared" si="29"/>
        <v>695130</v>
      </c>
      <c r="K214" s="10">
        <f t="shared" si="29"/>
        <v>695122</v>
      </c>
      <c r="L214" s="10">
        <f t="shared" si="29"/>
        <v>695122</v>
      </c>
      <c r="M214" s="124">
        <f t="shared" si="27"/>
        <v>1465959</v>
      </c>
      <c r="N214" s="150">
        <f>M214/G211</f>
        <v>0.9999945428512375</v>
      </c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461"/>
    </row>
    <row r="215" spans="1:14" s="67" customFormat="1" ht="16.5" customHeight="1" hidden="1">
      <c r="A215" s="455">
        <v>23</v>
      </c>
      <c r="B215" s="214" t="s">
        <v>35</v>
      </c>
      <c r="C215" s="208">
        <v>90004</v>
      </c>
      <c r="D215" s="211" t="s">
        <v>8</v>
      </c>
      <c r="E215" s="211" t="s">
        <v>128</v>
      </c>
      <c r="F215" s="217">
        <v>2014</v>
      </c>
      <c r="G215" s="1" t="s">
        <v>9</v>
      </c>
      <c r="H215" s="15" t="s">
        <v>10</v>
      </c>
      <c r="I215" s="69"/>
      <c r="J215" s="61"/>
      <c r="K215" s="61"/>
      <c r="L215" s="61"/>
      <c r="M215" s="142">
        <f t="shared" si="27"/>
        <v>0</v>
      </c>
      <c r="N215" s="64"/>
    </row>
    <row r="216" spans="1:14" s="67" customFormat="1" ht="16.5" customHeight="1" hidden="1">
      <c r="A216" s="460"/>
      <c r="B216" s="215"/>
      <c r="C216" s="209"/>
      <c r="D216" s="362"/>
      <c r="E216" s="362"/>
      <c r="F216" s="228"/>
      <c r="G216" s="414">
        <v>0</v>
      </c>
      <c r="H216" s="16" t="s">
        <v>11</v>
      </c>
      <c r="I216" s="70"/>
      <c r="J216" s="63"/>
      <c r="K216" s="63"/>
      <c r="L216" s="63"/>
      <c r="M216" s="141">
        <f t="shared" si="27"/>
        <v>0</v>
      </c>
      <c r="N216" s="62"/>
    </row>
    <row r="217" spans="1:14" s="67" customFormat="1" ht="16.5" customHeight="1" hidden="1">
      <c r="A217" s="460"/>
      <c r="B217" s="215"/>
      <c r="C217" s="209"/>
      <c r="D217" s="362"/>
      <c r="E217" s="362"/>
      <c r="F217" s="228"/>
      <c r="G217" s="462"/>
      <c r="H217" s="16" t="s">
        <v>12</v>
      </c>
      <c r="I217" s="70"/>
      <c r="J217" s="63"/>
      <c r="K217" s="63"/>
      <c r="L217" s="63"/>
      <c r="M217" s="141">
        <f t="shared" si="27"/>
        <v>0</v>
      </c>
      <c r="N217" s="62"/>
    </row>
    <row r="218" spans="1:14" s="67" customFormat="1" ht="16.5" customHeight="1" hidden="1">
      <c r="A218" s="460"/>
      <c r="B218" s="215"/>
      <c r="C218" s="209"/>
      <c r="D218" s="362"/>
      <c r="E218" s="362"/>
      <c r="F218" s="212"/>
      <c r="G218" s="5" t="s">
        <v>13</v>
      </c>
      <c r="H218" s="16" t="s">
        <v>14</v>
      </c>
      <c r="I218" s="70"/>
      <c r="J218" s="63"/>
      <c r="K218" s="63"/>
      <c r="L218" s="63"/>
      <c r="M218" s="141">
        <f t="shared" si="27"/>
        <v>0</v>
      </c>
      <c r="N218" s="62"/>
    </row>
    <row r="219" spans="1:14" s="67" customFormat="1" ht="16.5" customHeight="1" hidden="1">
      <c r="A219" s="460"/>
      <c r="B219" s="215"/>
      <c r="C219" s="209"/>
      <c r="D219" s="362"/>
      <c r="E219" s="362"/>
      <c r="F219" s="227">
        <v>2016</v>
      </c>
      <c r="G219" s="414">
        <v>6000000</v>
      </c>
      <c r="H219" s="16" t="s">
        <v>15</v>
      </c>
      <c r="I219" s="70"/>
      <c r="J219" s="63"/>
      <c r="K219" s="63"/>
      <c r="L219" s="63"/>
      <c r="M219" s="141">
        <f t="shared" si="27"/>
        <v>0</v>
      </c>
      <c r="N219" s="62"/>
    </row>
    <row r="220" spans="1:14" s="67" customFormat="1" ht="16.5" customHeight="1" hidden="1">
      <c r="A220" s="460"/>
      <c r="B220" s="215"/>
      <c r="C220" s="209"/>
      <c r="D220" s="362"/>
      <c r="E220" s="362"/>
      <c r="F220" s="228"/>
      <c r="G220" s="462"/>
      <c r="H220" s="16" t="s">
        <v>16</v>
      </c>
      <c r="I220" s="70"/>
      <c r="J220" s="63"/>
      <c r="K220" s="63"/>
      <c r="L220" s="63"/>
      <c r="M220" s="141">
        <f t="shared" si="27"/>
        <v>0</v>
      </c>
      <c r="N220" s="62"/>
    </row>
    <row r="221" spans="1:14" s="67" customFormat="1" ht="16.5" customHeight="1" hidden="1">
      <c r="A221" s="460"/>
      <c r="B221" s="215"/>
      <c r="C221" s="209"/>
      <c r="D221" s="362"/>
      <c r="E221" s="362"/>
      <c r="F221" s="228"/>
      <c r="G221" s="5" t="s">
        <v>17</v>
      </c>
      <c r="H221" s="16" t="s">
        <v>18</v>
      </c>
      <c r="I221" s="6">
        <f aca="true" t="shared" si="30" ref="I221:L222">I215+I217+I219</f>
        <v>0</v>
      </c>
      <c r="J221" s="7">
        <f t="shared" si="30"/>
        <v>0</v>
      </c>
      <c r="K221" s="7">
        <f t="shared" si="30"/>
        <v>0</v>
      </c>
      <c r="L221" s="7">
        <f t="shared" si="30"/>
        <v>0</v>
      </c>
      <c r="M221" s="123">
        <f t="shared" si="27"/>
        <v>0</v>
      </c>
      <c r="N221" s="149" t="e">
        <f>M221/G216</f>
        <v>#DIV/0!</v>
      </c>
    </row>
    <row r="222" spans="1:14" s="67" customFormat="1" ht="16.5" customHeight="1" hidden="1" thickBot="1">
      <c r="A222" s="456"/>
      <c r="B222" s="207"/>
      <c r="C222" s="210"/>
      <c r="D222" s="363"/>
      <c r="E222" s="362"/>
      <c r="F222" s="216"/>
      <c r="G222" s="8">
        <v>6000000</v>
      </c>
      <c r="H222" s="17" t="s">
        <v>19</v>
      </c>
      <c r="I222" s="9">
        <f t="shared" si="30"/>
        <v>0</v>
      </c>
      <c r="J222" s="10">
        <f t="shared" si="30"/>
        <v>0</v>
      </c>
      <c r="K222" s="10">
        <f t="shared" si="30"/>
        <v>0</v>
      </c>
      <c r="L222" s="10">
        <f t="shared" si="30"/>
        <v>0</v>
      </c>
      <c r="M222" s="144">
        <f t="shared" si="27"/>
        <v>0</v>
      </c>
      <c r="N222" s="150">
        <f>M222/G219</f>
        <v>0</v>
      </c>
    </row>
    <row r="223" spans="1:14" s="67" customFormat="1" ht="12.75" customHeight="1" hidden="1">
      <c r="A223" s="455">
        <v>23</v>
      </c>
      <c r="B223" s="215" t="s">
        <v>24</v>
      </c>
      <c r="C223" s="209">
        <v>90004</v>
      </c>
      <c r="D223" s="362" t="s">
        <v>8</v>
      </c>
      <c r="E223" s="211" t="s">
        <v>128</v>
      </c>
      <c r="F223" s="228">
        <v>2014</v>
      </c>
      <c r="G223" s="1" t="s">
        <v>9</v>
      </c>
      <c r="H223" s="18" t="s">
        <v>10</v>
      </c>
      <c r="I223" s="71"/>
      <c r="J223" s="65"/>
      <c r="K223" s="65"/>
      <c r="L223" s="65"/>
      <c r="M223" s="140">
        <f t="shared" si="27"/>
        <v>0</v>
      </c>
      <c r="N223" s="60"/>
    </row>
    <row r="224" spans="1:14" s="67" customFormat="1" ht="12.75" hidden="1">
      <c r="A224" s="460"/>
      <c r="B224" s="215"/>
      <c r="C224" s="209"/>
      <c r="D224" s="362"/>
      <c r="E224" s="362"/>
      <c r="F224" s="228"/>
      <c r="G224" s="414">
        <v>0</v>
      </c>
      <c r="H224" s="16" t="s">
        <v>11</v>
      </c>
      <c r="I224" s="70"/>
      <c r="J224" s="63"/>
      <c r="K224" s="63"/>
      <c r="L224" s="63"/>
      <c r="M224" s="141">
        <f t="shared" si="27"/>
        <v>0</v>
      </c>
      <c r="N224" s="62"/>
    </row>
    <row r="225" spans="1:14" s="67" customFormat="1" ht="12" customHeight="1" hidden="1">
      <c r="A225" s="460"/>
      <c r="B225" s="215"/>
      <c r="C225" s="209"/>
      <c r="D225" s="362"/>
      <c r="E225" s="362"/>
      <c r="F225" s="228"/>
      <c r="G225" s="462"/>
      <c r="H225" s="16" t="s">
        <v>12</v>
      </c>
      <c r="I225" s="70"/>
      <c r="J225" s="63"/>
      <c r="K225" s="63"/>
      <c r="L225" s="63"/>
      <c r="M225" s="141">
        <f t="shared" si="27"/>
        <v>0</v>
      </c>
      <c r="N225" s="62"/>
    </row>
    <row r="226" spans="1:14" s="67" customFormat="1" ht="12.75" hidden="1">
      <c r="A226" s="460"/>
      <c r="B226" s="215"/>
      <c r="C226" s="209"/>
      <c r="D226" s="362"/>
      <c r="E226" s="362"/>
      <c r="F226" s="212"/>
      <c r="G226" s="5" t="s">
        <v>13</v>
      </c>
      <c r="H226" s="16" t="s">
        <v>14</v>
      </c>
      <c r="I226" s="70"/>
      <c r="J226" s="63"/>
      <c r="K226" s="63"/>
      <c r="L226" s="63"/>
      <c r="M226" s="141">
        <f t="shared" si="27"/>
        <v>0</v>
      </c>
      <c r="N226" s="62"/>
    </row>
    <row r="227" spans="1:14" s="67" customFormat="1" ht="12.75" hidden="1">
      <c r="A227" s="460"/>
      <c r="B227" s="215"/>
      <c r="C227" s="209"/>
      <c r="D227" s="362"/>
      <c r="E227" s="362"/>
      <c r="F227" s="227">
        <v>2016</v>
      </c>
      <c r="G227" s="414">
        <v>150000</v>
      </c>
      <c r="H227" s="16" t="s">
        <v>15</v>
      </c>
      <c r="I227" s="70"/>
      <c r="J227" s="63"/>
      <c r="K227" s="63"/>
      <c r="L227" s="63"/>
      <c r="M227" s="141">
        <f t="shared" si="27"/>
        <v>0</v>
      </c>
      <c r="N227" s="62"/>
    </row>
    <row r="228" spans="1:14" s="67" customFormat="1" ht="12.75" hidden="1">
      <c r="A228" s="460"/>
      <c r="B228" s="215"/>
      <c r="C228" s="209"/>
      <c r="D228" s="362"/>
      <c r="E228" s="362"/>
      <c r="F228" s="228"/>
      <c r="G228" s="462"/>
      <c r="H228" s="16" t="s">
        <v>16</v>
      </c>
      <c r="I228" s="70"/>
      <c r="J228" s="63"/>
      <c r="K228" s="63"/>
      <c r="L228" s="63"/>
      <c r="M228" s="141">
        <f t="shared" si="27"/>
        <v>0</v>
      </c>
      <c r="N228" s="62"/>
    </row>
    <row r="229" spans="1:14" s="67" customFormat="1" ht="12.75" hidden="1">
      <c r="A229" s="460"/>
      <c r="B229" s="215"/>
      <c r="C229" s="209"/>
      <c r="D229" s="362"/>
      <c r="E229" s="362"/>
      <c r="F229" s="228"/>
      <c r="G229" s="5" t="s">
        <v>17</v>
      </c>
      <c r="H229" s="16" t="s">
        <v>18</v>
      </c>
      <c r="I229" s="6">
        <f aca="true" t="shared" si="31" ref="I229:L230">I223+I225+I227</f>
        <v>0</v>
      </c>
      <c r="J229" s="7">
        <f t="shared" si="31"/>
        <v>0</v>
      </c>
      <c r="K229" s="7">
        <f t="shared" si="31"/>
        <v>0</v>
      </c>
      <c r="L229" s="7">
        <f t="shared" si="31"/>
        <v>0</v>
      </c>
      <c r="M229" s="123">
        <f t="shared" si="27"/>
        <v>0</v>
      </c>
      <c r="N229" s="149" t="e">
        <f>M229/G224</f>
        <v>#DIV/0!</v>
      </c>
    </row>
    <row r="230" spans="1:14" s="67" customFormat="1" ht="13.5" hidden="1" thickBot="1">
      <c r="A230" s="456"/>
      <c r="B230" s="207"/>
      <c r="C230" s="210"/>
      <c r="D230" s="363"/>
      <c r="E230" s="362"/>
      <c r="F230" s="216"/>
      <c r="G230" s="8">
        <v>150000</v>
      </c>
      <c r="H230" s="17" t="s">
        <v>19</v>
      </c>
      <c r="I230" s="9">
        <f t="shared" si="31"/>
        <v>0</v>
      </c>
      <c r="J230" s="10">
        <f t="shared" si="31"/>
        <v>0</v>
      </c>
      <c r="K230" s="10">
        <f t="shared" si="31"/>
        <v>0</v>
      </c>
      <c r="L230" s="10">
        <f t="shared" si="31"/>
        <v>0</v>
      </c>
      <c r="M230" s="124">
        <f t="shared" si="27"/>
        <v>0</v>
      </c>
      <c r="N230" s="150">
        <f>M230/G227</f>
        <v>0</v>
      </c>
    </row>
    <row r="231" spans="1:14" s="67" customFormat="1" ht="14.25" customHeight="1">
      <c r="A231" s="455">
        <v>21</v>
      </c>
      <c r="B231" s="214" t="s">
        <v>36</v>
      </c>
      <c r="C231" s="208">
        <v>90015</v>
      </c>
      <c r="D231" s="211" t="s">
        <v>8</v>
      </c>
      <c r="E231" s="211" t="s">
        <v>128</v>
      </c>
      <c r="F231" s="217">
        <v>2013</v>
      </c>
      <c r="G231" s="1" t="s">
        <v>9</v>
      </c>
      <c r="H231" s="15" t="s">
        <v>10</v>
      </c>
      <c r="I231" s="69"/>
      <c r="J231" s="61"/>
      <c r="K231" s="61"/>
      <c r="L231" s="61"/>
      <c r="M231" s="142">
        <f t="shared" si="27"/>
        <v>0</v>
      </c>
      <c r="N231" s="64"/>
    </row>
    <row r="232" spans="1:14" s="67" customFormat="1" ht="14.25" customHeight="1">
      <c r="A232" s="460"/>
      <c r="B232" s="215"/>
      <c r="C232" s="209"/>
      <c r="D232" s="362"/>
      <c r="E232" s="362"/>
      <c r="F232" s="228"/>
      <c r="G232" s="414">
        <v>0</v>
      </c>
      <c r="H232" s="16" t="s">
        <v>11</v>
      </c>
      <c r="I232" s="70"/>
      <c r="J232" s="63">
        <v>500000</v>
      </c>
      <c r="K232" s="63">
        <v>129581</v>
      </c>
      <c r="L232" s="63">
        <v>500000</v>
      </c>
      <c r="M232" s="147">
        <f t="shared" si="27"/>
        <v>129581</v>
      </c>
      <c r="N232" s="62"/>
    </row>
    <row r="233" spans="1:14" s="67" customFormat="1" ht="14.25" customHeight="1">
      <c r="A233" s="460"/>
      <c r="B233" s="215"/>
      <c r="C233" s="209"/>
      <c r="D233" s="362"/>
      <c r="E233" s="362"/>
      <c r="F233" s="228"/>
      <c r="G233" s="462"/>
      <c r="H233" s="16" t="s">
        <v>12</v>
      </c>
      <c r="I233" s="70"/>
      <c r="J233" s="63"/>
      <c r="K233" s="63"/>
      <c r="L233" s="63"/>
      <c r="M233" s="141">
        <f t="shared" si="27"/>
        <v>0</v>
      </c>
      <c r="N233" s="62"/>
    </row>
    <row r="234" spans="1:14" s="67" customFormat="1" ht="14.25" customHeight="1">
      <c r="A234" s="460"/>
      <c r="B234" s="215"/>
      <c r="C234" s="209"/>
      <c r="D234" s="362"/>
      <c r="E234" s="362"/>
      <c r="F234" s="212"/>
      <c r="G234" s="5" t="s">
        <v>13</v>
      </c>
      <c r="H234" s="16" t="s">
        <v>14</v>
      </c>
      <c r="I234" s="70"/>
      <c r="J234" s="63"/>
      <c r="K234" s="63"/>
      <c r="L234" s="63"/>
      <c r="M234" s="141">
        <f t="shared" si="27"/>
        <v>0</v>
      </c>
      <c r="N234" s="62"/>
    </row>
    <row r="235" spans="1:14" s="67" customFormat="1" ht="16.5" customHeight="1">
      <c r="A235" s="460"/>
      <c r="B235" s="215"/>
      <c r="C235" s="209"/>
      <c r="D235" s="362"/>
      <c r="E235" s="362"/>
      <c r="F235" s="227">
        <v>2016</v>
      </c>
      <c r="G235" s="414">
        <v>2000000</v>
      </c>
      <c r="H235" s="16" t="s">
        <v>15</v>
      </c>
      <c r="I235" s="70"/>
      <c r="J235" s="63"/>
      <c r="K235" s="63"/>
      <c r="L235" s="63"/>
      <c r="M235" s="141">
        <f t="shared" si="27"/>
        <v>0</v>
      </c>
      <c r="N235" s="62"/>
    </row>
    <row r="236" spans="1:14" s="67" customFormat="1" ht="16.5" customHeight="1">
      <c r="A236" s="460"/>
      <c r="B236" s="215"/>
      <c r="C236" s="209"/>
      <c r="D236" s="362"/>
      <c r="E236" s="362"/>
      <c r="F236" s="228"/>
      <c r="G236" s="462"/>
      <c r="H236" s="16" t="s">
        <v>16</v>
      </c>
      <c r="I236" s="70"/>
      <c r="J236" s="63"/>
      <c r="K236" s="63"/>
      <c r="L236" s="63"/>
      <c r="M236" s="141">
        <f t="shared" si="27"/>
        <v>0</v>
      </c>
      <c r="N236" s="62"/>
    </row>
    <row r="237" spans="1:14" s="67" customFormat="1" ht="16.5" customHeight="1">
      <c r="A237" s="460"/>
      <c r="B237" s="215"/>
      <c r="C237" s="209"/>
      <c r="D237" s="362"/>
      <c r="E237" s="362"/>
      <c r="F237" s="228"/>
      <c r="G237" s="5" t="s">
        <v>17</v>
      </c>
      <c r="H237" s="16" t="s">
        <v>18</v>
      </c>
      <c r="I237" s="6">
        <f aca="true" t="shared" si="32" ref="I237:L238">I231+I233+I235</f>
        <v>0</v>
      </c>
      <c r="J237" s="7">
        <f t="shared" si="32"/>
        <v>0</v>
      </c>
      <c r="K237" s="7">
        <f t="shared" si="32"/>
        <v>0</v>
      </c>
      <c r="L237" s="7">
        <f t="shared" si="32"/>
        <v>0</v>
      </c>
      <c r="M237" s="123">
        <f t="shared" si="27"/>
        <v>0</v>
      </c>
      <c r="N237" s="149"/>
    </row>
    <row r="238" spans="1:14" s="67" customFormat="1" ht="16.5" customHeight="1" thickBot="1">
      <c r="A238" s="456"/>
      <c r="B238" s="207"/>
      <c r="C238" s="210"/>
      <c r="D238" s="363"/>
      <c r="E238" s="362"/>
      <c r="F238" s="216"/>
      <c r="G238" s="8">
        <v>2000000</v>
      </c>
      <c r="H238" s="17" t="s">
        <v>19</v>
      </c>
      <c r="I238" s="9">
        <f t="shared" si="32"/>
        <v>0</v>
      </c>
      <c r="J238" s="10">
        <f t="shared" si="32"/>
        <v>500000</v>
      </c>
      <c r="K238" s="10">
        <f t="shared" si="32"/>
        <v>129581</v>
      </c>
      <c r="L238" s="10">
        <f t="shared" si="32"/>
        <v>500000</v>
      </c>
      <c r="M238" s="144">
        <f t="shared" si="27"/>
        <v>129581</v>
      </c>
      <c r="N238" s="150">
        <f>M238/G235</f>
        <v>0.0647905</v>
      </c>
    </row>
    <row r="239" spans="1:14" s="67" customFormat="1" ht="14.25" customHeight="1" hidden="1">
      <c r="A239" s="455">
        <v>2</v>
      </c>
      <c r="B239" s="214" t="s">
        <v>37</v>
      </c>
      <c r="C239" s="208">
        <v>90015</v>
      </c>
      <c r="D239" s="211" t="s">
        <v>8</v>
      </c>
      <c r="E239" s="211" t="s">
        <v>128</v>
      </c>
      <c r="F239" s="217">
        <v>2014</v>
      </c>
      <c r="G239" s="1" t="s">
        <v>9</v>
      </c>
      <c r="H239" s="15" t="s">
        <v>10</v>
      </c>
      <c r="I239" s="69"/>
      <c r="J239" s="61"/>
      <c r="K239" s="61"/>
      <c r="L239" s="61"/>
      <c r="M239" s="140">
        <f t="shared" si="27"/>
        <v>0</v>
      </c>
      <c r="N239" s="60"/>
    </row>
    <row r="240" spans="1:14" s="67" customFormat="1" ht="14.25" customHeight="1" hidden="1">
      <c r="A240" s="460"/>
      <c r="B240" s="215"/>
      <c r="C240" s="209"/>
      <c r="D240" s="362"/>
      <c r="E240" s="362"/>
      <c r="F240" s="228"/>
      <c r="G240" s="414">
        <v>0</v>
      </c>
      <c r="H240" s="16" t="s">
        <v>26</v>
      </c>
      <c r="I240" s="70">
        <v>0</v>
      </c>
      <c r="J240" s="63"/>
      <c r="K240" s="63"/>
      <c r="L240" s="63"/>
      <c r="M240" s="141">
        <f t="shared" si="27"/>
        <v>0</v>
      </c>
      <c r="N240" s="62"/>
    </row>
    <row r="241" spans="1:14" s="67" customFormat="1" ht="14.25" customHeight="1" hidden="1">
      <c r="A241" s="460"/>
      <c r="B241" s="215"/>
      <c r="C241" s="209"/>
      <c r="D241" s="362"/>
      <c r="E241" s="362"/>
      <c r="F241" s="228"/>
      <c r="G241" s="462"/>
      <c r="H241" s="16" t="s">
        <v>12</v>
      </c>
      <c r="I241" s="70"/>
      <c r="J241" s="63"/>
      <c r="K241" s="63"/>
      <c r="L241" s="63"/>
      <c r="M241" s="141">
        <f t="shared" si="27"/>
        <v>0</v>
      </c>
      <c r="N241" s="62"/>
    </row>
    <row r="242" spans="1:14" s="67" customFormat="1" ht="14.25" customHeight="1" hidden="1">
      <c r="A242" s="460"/>
      <c r="B242" s="215"/>
      <c r="C242" s="209"/>
      <c r="D242" s="362"/>
      <c r="E242" s="362"/>
      <c r="F242" s="212"/>
      <c r="G242" s="5" t="s">
        <v>13</v>
      </c>
      <c r="H242" s="16" t="s">
        <v>14</v>
      </c>
      <c r="I242" s="70"/>
      <c r="J242" s="63"/>
      <c r="K242" s="63"/>
      <c r="L242" s="63"/>
      <c r="M242" s="141">
        <f t="shared" si="27"/>
        <v>0</v>
      </c>
      <c r="N242" s="62"/>
    </row>
    <row r="243" spans="1:14" s="67" customFormat="1" ht="14.25" customHeight="1" hidden="1">
      <c r="A243" s="460"/>
      <c r="B243" s="215"/>
      <c r="C243" s="209"/>
      <c r="D243" s="362"/>
      <c r="E243" s="362"/>
      <c r="F243" s="227">
        <v>2016</v>
      </c>
      <c r="G243" s="414">
        <v>150000</v>
      </c>
      <c r="H243" s="16" t="s">
        <v>15</v>
      </c>
      <c r="I243" s="70"/>
      <c r="J243" s="63"/>
      <c r="K243" s="63"/>
      <c r="L243" s="63"/>
      <c r="M243" s="141">
        <f t="shared" si="27"/>
        <v>0</v>
      </c>
      <c r="N243" s="62"/>
    </row>
    <row r="244" spans="1:14" s="67" customFormat="1" ht="14.25" customHeight="1" hidden="1">
      <c r="A244" s="460"/>
      <c r="B244" s="215"/>
      <c r="C244" s="209"/>
      <c r="D244" s="362"/>
      <c r="E244" s="362"/>
      <c r="F244" s="228"/>
      <c r="G244" s="462"/>
      <c r="H244" s="16" t="s">
        <v>16</v>
      </c>
      <c r="I244" s="70"/>
      <c r="J244" s="63"/>
      <c r="K244" s="63"/>
      <c r="L244" s="63"/>
      <c r="M244" s="141">
        <f t="shared" si="27"/>
        <v>0</v>
      </c>
      <c r="N244" s="62"/>
    </row>
    <row r="245" spans="1:14" s="67" customFormat="1" ht="14.25" customHeight="1" hidden="1">
      <c r="A245" s="460"/>
      <c r="B245" s="215"/>
      <c r="C245" s="209"/>
      <c r="D245" s="362"/>
      <c r="E245" s="362"/>
      <c r="F245" s="228"/>
      <c r="G245" s="5" t="s">
        <v>17</v>
      </c>
      <c r="H245" s="16" t="s">
        <v>18</v>
      </c>
      <c r="I245" s="6">
        <f aca="true" t="shared" si="33" ref="I245:L246">I239+I241+I243</f>
        <v>0</v>
      </c>
      <c r="J245" s="7">
        <f t="shared" si="33"/>
        <v>0</v>
      </c>
      <c r="K245" s="7">
        <f t="shared" si="33"/>
        <v>0</v>
      </c>
      <c r="L245" s="7">
        <f t="shared" si="33"/>
        <v>0</v>
      </c>
      <c r="M245" s="123">
        <f t="shared" si="27"/>
        <v>0</v>
      </c>
      <c r="N245" s="149" t="e">
        <f>M245/G240</f>
        <v>#DIV/0!</v>
      </c>
    </row>
    <row r="246" spans="1:14" s="67" customFormat="1" ht="14.25" customHeight="1" hidden="1" thickBot="1">
      <c r="A246" s="456"/>
      <c r="B246" s="207"/>
      <c r="C246" s="210"/>
      <c r="D246" s="363"/>
      <c r="E246" s="362"/>
      <c r="F246" s="216"/>
      <c r="G246" s="8">
        <v>150000</v>
      </c>
      <c r="H246" s="17" t="s">
        <v>19</v>
      </c>
      <c r="I246" s="9">
        <f t="shared" si="33"/>
        <v>0</v>
      </c>
      <c r="J246" s="10">
        <f t="shared" si="33"/>
        <v>0</v>
      </c>
      <c r="K246" s="10">
        <f t="shared" si="33"/>
        <v>0</v>
      </c>
      <c r="L246" s="10">
        <f t="shared" si="33"/>
        <v>0</v>
      </c>
      <c r="M246" s="124">
        <f t="shared" si="27"/>
        <v>0</v>
      </c>
      <c r="N246" s="150">
        <f>M246/G243</f>
        <v>0</v>
      </c>
    </row>
    <row r="247" spans="1:14" s="67" customFormat="1" ht="15" customHeight="1">
      <c r="A247" s="455">
        <v>22</v>
      </c>
      <c r="B247" s="214" t="s">
        <v>24</v>
      </c>
      <c r="C247" s="208">
        <v>90015</v>
      </c>
      <c r="D247" s="211" t="s">
        <v>8</v>
      </c>
      <c r="E247" s="211" t="s">
        <v>128</v>
      </c>
      <c r="F247" s="217">
        <v>2012</v>
      </c>
      <c r="G247" s="1" t="s">
        <v>9</v>
      </c>
      <c r="H247" s="15" t="s">
        <v>10</v>
      </c>
      <c r="I247" s="69"/>
      <c r="J247" s="61"/>
      <c r="K247" s="61"/>
      <c r="L247" s="61"/>
      <c r="M247" s="140">
        <f t="shared" si="27"/>
        <v>0</v>
      </c>
      <c r="N247" s="60"/>
    </row>
    <row r="248" spans="1:14" s="67" customFormat="1" ht="14.25" customHeight="1">
      <c r="A248" s="460"/>
      <c r="B248" s="215"/>
      <c r="C248" s="209"/>
      <c r="D248" s="362"/>
      <c r="E248" s="362"/>
      <c r="F248" s="228"/>
      <c r="G248" s="414">
        <v>0</v>
      </c>
      <c r="H248" s="16" t="s">
        <v>11</v>
      </c>
      <c r="I248" s="62">
        <v>150000</v>
      </c>
      <c r="J248" s="63">
        <f>200000-50000</f>
        <v>150000</v>
      </c>
      <c r="K248" s="63">
        <v>24061</v>
      </c>
      <c r="L248" s="63">
        <v>150000</v>
      </c>
      <c r="M248" s="141">
        <f t="shared" si="27"/>
        <v>174061</v>
      </c>
      <c r="N248" s="62"/>
    </row>
    <row r="249" spans="1:14" s="67" customFormat="1" ht="12.75" customHeight="1">
      <c r="A249" s="460"/>
      <c r="B249" s="215"/>
      <c r="C249" s="209"/>
      <c r="D249" s="362"/>
      <c r="E249" s="362"/>
      <c r="F249" s="228"/>
      <c r="G249" s="462"/>
      <c r="H249" s="16" t="s">
        <v>12</v>
      </c>
      <c r="I249" s="70"/>
      <c r="J249" s="63"/>
      <c r="K249" s="63"/>
      <c r="L249" s="63"/>
      <c r="M249" s="141">
        <f t="shared" si="27"/>
        <v>0</v>
      </c>
      <c r="N249" s="62"/>
    </row>
    <row r="250" spans="1:14" s="67" customFormat="1" ht="13.5" customHeight="1">
      <c r="A250" s="460"/>
      <c r="B250" s="215"/>
      <c r="C250" s="209"/>
      <c r="D250" s="362"/>
      <c r="E250" s="362"/>
      <c r="F250" s="212"/>
      <c r="G250" s="5" t="s">
        <v>13</v>
      </c>
      <c r="H250" s="16" t="s">
        <v>14</v>
      </c>
      <c r="I250" s="70"/>
      <c r="J250" s="63"/>
      <c r="K250" s="63"/>
      <c r="L250" s="63"/>
      <c r="M250" s="141">
        <f t="shared" si="27"/>
        <v>0</v>
      </c>
      <c r="N250" s="62"/>
    </row>
    <row r="251" spans="1:14" s="67" customFormat="1" ht="13.5" customHeight="1">
      <c r="A251" s="460"/>
      <c r="B251" s="215"/>
      <c r="C251" s="209"/>
      <c r="D251" s="362"/>
      <c r="E251" s="362"/>
      <c r="F251" s="227">
        <v>2016</v>
      </c>
      <c r="G251" s="414">
        <v>600000</v>
      </c>
      <c r="H251" s="16" t="s">
        <v>15</v>
      </c>
      <c r="I251" s="70"/>
      <c r="J251" s="63"/>
      <c r="K251" s="63"/>
      <c r="L251" s="63"/>
      <c r="M251" s="141">
        <f t="shared" si="27"/>
        <v>0</v>
      </c>
      <c r="N251" s="62"/>
    </row>
    <row r="252" spans="1:14" s="67" customFormat="1" ht="15.75" customHeight="1">
      <c r="A252" s="460"/>
      <c r="B252" s="215"/>
      <c r="C252" s="209"/>
      <c r="D252" s="362"/>
      <c r="E252" s="362"/>
      <c r="F252" s="228"/>
      <c r="G252" s="462"/>
      <c r="H252" s="16" t="s">
        <v>16</v>
      </c>
      <c r="I252" s="70"/>
      <c r="J252" s="63"/>
      <c r="K252" s="63"/>
      <c r="L252" s="63"/>
      <c r="M252" s="141">
        <f t="shared" si="27"/>
        <v>0</v>
      </c>
      <c r="N252" s="62"/>
    </row>
    <row r="253" spans="1:14" s="67" customFormat="1" ht="15.75" customHeight="1">
      <c r="A253" s="460"/>
      <c r="B253" s="215"/>
      <c r="C253" s="209"/>
      <c r="D253" s="362"/>
      <c r="E253" s="362"/>
      <c r="F253" s="228"/>
      <c r="G253" s="5" t="s">
        <v>17</v>
      </c>
      <c r="H253" s="16" t="s">
        <v>18</v>
      </c>
      <c r="I253" s="6">
        <f aca="true" t="shared" si="34" ref="I253:L254">I247+I249+I251</f>
        <v>0</v>
      </c>
      <c r="J253" s="7">
        <f t="shared" si="34"/>
        <v>0</v>
      </c>
      <c r="K253" s="7">
        <f t="shared" si="34"/>
        <v>0</v>
      </c>
      <c r="L253" s="7">
        <f t="shared" si="34"/>
        <v>0</v>
      </c>
      <c r="M253" s="123">
        <f t="shared" si="27"/>
        <v>0</v>
      </c>
      <c r="N253" s="149"/>
    </row>
    <row r="254" spans="1:14" s="67" customFormat="1" ht="15.75" customHeight="1" thickBot="1">
      <c r="A254" s="456"/>
      <c r="B254" s="207"/>
      <c r="C254" s="210"/>
      <c r="D254" s="363"/>
      <c r="E254" s="363"/>
      <c r="F254" s="216"/>
      <c r="G254" s="8">
        <v>600000</v>
      </c>
      <c r="H254" s="17" t="s">
        <v>19</v>
      </c>
      <c r="I254" s="9">
        <f t="shared" si="34"/>
        <v>150000</v>
      </c>
      <c r="J254" s="10">
        <f t="shared" si="34"/>
        <v>150000</v>
      </c>
      <c r="K254" s="10">
        <f t="shared" si="34"/>
        <v>24061</v>
      </c>
      <c r="L254" s="10">
        <f t="shared" si="34"/>
        <v>150000</v>
      </c>
      <c r="M254" s="124">
        <f t="shared" si="27"/>
        <v>174061</v>
      </c>
      <c r="N254" s="150">
        <f>M254/G251</f>
        <v>0.29010166666666665</v>
      </c>
    </row>
    <row r="255" spans="1:14" s="67" customFormat="1" ht="15" customHeight="1">
      <c r="A255" s="455">
        <v>23</v>
      </c>
      <c r="B255" s="214" t="s">
        <v>130</v>
      </c>
      <c r="C255" s="208">
        <v>90095</v>
      </c>
      <c r="D255" s="211" t="s">
        <v>8</v>
      </c>
      <c r="E255" s="211" t="s">
        <v>128</v>
      </c>
      <c r="F255" s="217">
        <v>2011</v>
      </c>
      <c r="G255" s="1" t="s">
        <v>9</v>
      </c>
      <c r="H255" s="15" t="s">
        <v>10</v>
      </c>
      <c r="I255" s="69"/>
      <c r="J255" s="61"/>
      <c r="K255" s="61"/>
      <c r="L255" s="61"/>
      <c r="M255" s="140">
        <f t="shared" si="27"/>
        <v>0</v>
      </c>
      <c r="N255" s="60"/>
    </row>
    <row r="256" spans="1:14" s="67" customFormat="1" ht="15" customHeight="1">
      <c r="A256" s="460"/>
      <c r="B256" s="215"/>
      <c r="C256" s="209"/>
      <c r="D256" s="362"/>
      <c r="E256" s="362"/>
      <c r="F256" s="228"/>
      <c r="G256" s="414">
        <v>0</v>
      </c>
      <c r="H256" s="16" t="s">
        <v>11</v>
      </c>
      <c r="I256" s="62">
        <f>2500+50000</f>
        <v>52500</v>
      </c>
      <c r="J256" s="63">
        <v>275000</v>
      </c>
      <c r="K256" s="63">
        <v>0</v>
      </c>
      <c r="L256" s="63">
        <v>275000</v>
      </c>
      <c r="M256" s="141">
        <f t="shared" si="27"/>
        <v>52500</v>
      </c>
      <c r="N256" s="62"/>
    </row>
    <row r="257" spans="1:14" s="67" customFormat="1" ht="15" customHeight="1">
      <c r="A257" s="460"/>
      <c r="B257" s="215"/>
      <c r="C257" s="209"/>
      <c r="D257" s="362"/>
      <c r="E257" s="362"/>
      <c r="F257" s="228"/>
      <c r="G257" s="462"/>
      <c r="H257" s="16" t="s">
        <v>12</v>
      </c>
      <c r="I257" s="70"/>
      <c r="J257" s="63"/>
      <c r="K257" s="63"/>
      <c r="L257" s="63"/>
      <c r="M257" s="141">
        <f t="shared" si="27"/>
        <v>0</v>
      </c>
      <c r="N257" s="62"/>
    </row>
    <row r="258" spans="1:14" s="67" customFormat="1" ht="15" customHeight="1">
      <c r="A258" s="460"/>
      <c r="B258" s="215"/>
      <c r="C258" s="209"/>
      <c r="D258" s="362"/>
      <c r="E258" s="362"/>
      <c r="F258" s="212"/>
      <c r="G258" s="5" t="s">
        <v>13</v>
      </c>
      <c r="H258" s="16" t="s">
        <v>14</v>
      </c>
      <c r="I258" s="70"/>
      <c r="J258" s="63"/>
      <c r="K258" s="63"/>
      <c r="L258" s="63"/>
      <c r="M258" s="141">
        <f t="shared" si="27"/>
        <v>0</v>
      </c>
      <c r="N258" s="62"/>
    </row>
    <row r="259" spans="1:14" s="67" customFormat="1" ht="15" customHeight="1">
      <c r="A259" s="460"/>
      <c r="B259" s="215"/>
      <c r="C259" s="209"/>
      <c r="D259" s="362"/>
      <c r="E259" s="362"/>
      <c r="F259" s="227">
        <v>2016</v>
      </c>
      <c r="G259" s="414">
        <v>477500</v>
      </c>
      <c r="H259" s="16" t="s">
        <v>15</v>
      </c>
      <c r="I259" s="70"/>
      <c r="J259" s="63"/>
      <c r="K259" s="63"/>
      <c r="L259" s="63"/>
      <c r="M259" s="141">
        <f t="shared" si="27"/>
        <v>0</v>
      </c>
      <c r="N259" s="62"/>
    </row>
    <row r="260" spans="1:14" s="67" customFormat="1" ht="15" customHeight="1">
      <c r="A260" s="460"/>
      <c r="B260" s="215"/>
      <c r="C260" s="209"/>
      <c r="D260" s="362"/>
      <c r="E260" s="362"/>
      <c r="F260" s="228"/>
      <c r="G260" s="462"/>
      <c r="H260" s="16" t="s">
        <v>16</v>
      </c>
      <c r="I260" s="70"/>
      <c r="J260" s="63"/>
      <c r="K260" s="63"/>
      <c r="L260" s="63"/>
      <c r="M260" s="141">
        <f t="shared" si="27"/>
        <v>0</v>
      </c>
      <c r="N260" s="62"/>
    </row>
    <row r="261" spans="1:14" s="67" customFormat="1" ht="15" customHeight="1">
      <c r="A261" s="460"/>
      <c r="B261" s="215"/>
      <c r="C261" s="209"/>
      <c r="D261" s="362"/>
      <c r="E261" s="362"/>
      <c r="F261" s="228"/>
      <c r="G261" s="5" t="s">
        <v>17</v>
      </c>
      <c r="H261" s="16" t="s">
        <v>18</v>
      </c>
      <c r="I261" s="6">
        <f aca="true" t="shared" si="35" ref="I261:L262">I255+I257+I259</f>
        <v>0</v>
      </c>
      <c r="J261" s="7">
        <f t="shared" si="35"/>
        <v>0</v>
      </c>
      <c r="K261" s="7">
        <f t="shared" si="35"/>
        <v>0</v>
      </c>
      <c r="L261" s="7">
        <f t="shared" si="35"/>
        <v>0</v>
      </c>
      <c r="M261" s="123">
        <f t="shared" si="27"/>
        <v>0</v>
      </c>
      <c r="N261" s="149"/>
    </row>
    <row r="262" spans="1:14" s="67" customFormat="1" ht="15" customHeight="1" thickBot="1">
      <c r="A262" s="456"/>
      <c r="B262" s="207"/>
      <c r="C262" s="210"/>
      <c r="D262" s="363"/>
      <c r="E262" s="362"/>
      <c r="F262" s="216"/>
      <c r="G262" s="8">
        <v>477500</v>
      </c>
      <c r="H262" s="17" t="s">
        <v>19</v>
      </c>
      <c r="I262" s="9">
        <f t="shared" si="35"/>
        <v>52500</v>
      </c>
      <c r="J262" s="10">
        <f t="shared" si="35"/>
        <v>275000</v>
      </c>
      <c r="K262" s="10">
        <f t="shared" si="35"/>
        <v>0</v>
      </c>
      <c r="L262" s="10">
        <f t="shared" si="35"/>
        <v>275000</v>
      </c>
      <c r="M262" s="124">
        <f t="shared" si="27"/>
        <v>52500</v>
      </c>
      <c r="N262" s="150">
        <f>M262/G259</f>
        <v>0.1099476439790576</v>
      </c>
    </row>
    <row r="263" spans="1:14" s="67" customFormat="1" ht="15" customHeight="1">
      <c r="A263" s="455">
        <v>24</v>
      </c>
      <c r="B263" s="214" t="s">
        <v>38</v>
      </c>
      <c r="C263" s="208">
        <v>90095</v>
      </c>
      <c r="D263" s="211" t="s">
        <v>8</v>
      </c>
      <c r="E263" s="211" t="s">
        <v>128</v>
      </c>
      <c r="F263" s="217">
        <v>2013</v>
      </c>
      <c r="G263" s="1" t="s">
        <v>9</v>
      </c>
      <c r="H263" s="15" t="s">
        <v>10</v>
      </c>
      <c r="I263" s="69"/>
      <c r="J263" s="61"/>
      <c r="K263" s="61"/>
      <c r="L263" s="61"/>
      <c r="M263" s="142">
        <f t="shared" si="27"/>
        <v>0</v>
      </c>
      <c r="N263" s="64"/>
    </row>
    <row r="264" spans="1:14" s="67" customFormat="1" ht="15" customHeight="1">
      <c r="A264" s="460"/>
      <c r="B264" s="215"/>
      <c r="C264" s="209"/>
      <c r="D264" s="362"/>
      <c r="E264" s="362"/>
      <c r="F264" s="228"/>
      <c r="G264" s="414">
        <v>0</v>
      </c>
      <c r="H264" s="16" t="s">
        <v>11</v>
      </c>
      <c r="I264" s="70"/>
      <c r="J264" s="63">
        <v>500000</v>
      </c>
      <c r="K264" s="63">
        <v>850</v>
      </c>
      <c r="L264" s="63">
        <v>500000</v>
      </c>
      <c r="M264" s="141">
        <f aca="true" t="shared" si="36" ref="M264:M318">SUM(I264,K264)</f>
        <v>850</v>
      </c>
      <c r="N264" s="62"/>
    </row>
    <row r="265" spans="1:14" s="67" customFormat="1" ht="12.75" customHeight="1">
      <c r="A265" s="460"/>
      <c r="B265" s="215"/>
      <c r="C265" s="209"/>
      <c r="D265" s="362"/>
      <c r="E265" s="362"/>
      <c r="F265" s="228"/>
      <c r="G265" s="462"/>
      <c r="H265" s="16" t="s">
        <v>12</v>
      </c>
      <c r="I265" s="70"/>
      <c r="J265" s="63"/>
      <c r="K265" s="63"/>
      <c r="L265" s="63"/>
      <c r="M265" s="141">
        <f t="shared" si="36"/>
        <v>0</v>
      </c>
      <c r="N265" s="62"/>
    </row>
    <row r="266" spans="1:14" s="67" customFormat="1" ht="12.75" customHeight="1">
      <c r="A266" s="460"/>
      <c r="B266" s="215"/>
      <c r="C266" s="209"/>
      <c r="D266" s="362"/>
      <c r="E266" s="362"/>
      <c r="F266" s="212"/>
      <c r="G266" s="5" t="s">
        <v>13</v>
      </c>
      <c r="H266" s="16" t="s">
        <v>14</v>
      </c>
      <c r="I266" s="70"/>
      <c r="J266" s="63"/>
      <c r="K266" s="63"/>
      <c r="L266" s="63"/>
      <c r="M266" s="141">
        <f t="shared" si="36"/>
        <v>0</v>
      </c>
      <c r="N266" s="62"/>
    </row>
    <row r="267" spans="1:14" s="67" customFormat="1" ht="12.75" customHeight="1">
      <c r="A267" s="460"/>
      <c r="B267" s="215"/>
      <c r="C267" s="209"/>
      <c r="D267" s="362"/>
      <c r="E267" s="362"/>
      <c r="F267" s="227">
        <v>2014</v>
      </c>
      <c r="G267" s="414">
        <v>2200000</v>
      </c>
      <c r="H267" s="16" t="s">
        <v>15</v>
      </c>
      <c r="I267" s="70"/>
      <c r="J267" s="63"/>
      <c r="K267" s="63"/>
      <c r="L267" s="63"/>
      <c r="M267" s="141">
        <f t="shared" si="36"/>
        <v>0</v>
      </c>
      <c r="N267" s="62"/>
    </row>
    <row r="268" spans="1:14" s="67" customFormat="1" ht="12.75" customHeight="1">
      <c r="A268" s="460"/>
      <c r="B268" s="215"/>
      <c r="C268" s="209"/>
      <c r="D268" s="362"/>
      <c r="E268" s="362"/>
      <c r="F268" s="228"/>
      <c r="G268" s="462"/>
      <c r="H268" s="16" t="s">
        <v>16</v>
      </c>
      <c r="I268" s="70"/>
      <c r="J268" s="63"/>
      <c r="K268" s="63"/>
      <c r="L268" s="63"/>
      <c r="M268" s="141">
        <f t="shared" si="36"/>
        <v>0</v>
      </c>
      <c r="N268" s="62"/>
    </row>
    <row r="269" spans="1:14" s="67" customFormat="1" ht="15" customHeight="1">
      <c r="A269" s="460"/>
      <c r="B269" s="215"/>
      <c r="C269" s="209"/>
      <c r="D269" s="362"/>
      <c r="E269" s="362"/>
      <c r="F269" s="228"/>
      <c r="G269" s="5" t="s">
        <v>17</v>
      </c>
      <c r="H269" s="16" t="s">
        <v>18</v>
      </c>
      <c r="I269" s="6">
        <f aca="true" t="shared" si="37" ref="I269:L270">I263+I265+I267</f>
        <v>0</v>
      </c>
      <c r="J269" s="7">
        <f t="shared" si="37"/>
        <v>0</v>
      </c>
      <c r="K269" s="7">
        <f t="shared" si="37"/>
        <v>0</v>
      </c>
      <c r="L269" s="7">
        <f t="shared" si="37"/>
        <v>0</v>
      </c>
      <c r="M269" s="123">
        <f t="shared" si="36"/>
        <v>0</v>
      </c>
      <c r="N269" s="149"/>
    </row>
    <row r="270" spans="1:14" s="67" customFormat="1" ht="15" customHeight="1" thickBot="1">
      <c r="A270" s="456"/>
      <c r="B270" s="207"/>
      <c r="C270" s="210"/>
      <c r="D270" s="363"/>
      <c r="E270" s="362"/>
      <c r="F270" s="216"/>
      <c r="G270" s="8">
        <v>2200000</v>
      </c>
      <c r="H270" s="17" t="s">
        <v>19</v>
      </c>
      <c r="I270" s="9">
        <f t="shared" si="37"/>
        <v>0</v>
      </c>
      <c r="J270" s="10">
        <f t="shared" si="37"/>
        <v>500000</v>
      </c>
      <c r="K270" s="10">
        <f t="shared" si="37"/>
        <v>850</v>
      </c>
      <c r="L270" s="10">
        <f t="shared" si="37"/>
        <v>500000</v>
      </c>
      <c r="M270" s="124">
        <f t="shared" si="36"/>
        <v>850</v>
      </c>
      <c r="N270" s="150">
        <f>M270/G267</f>
        <v>0.00038636363636363635</v>
      </c>
    </row>
    <row r="271" spans="1:14" s="67" customFormat="1" ht="15" customHeight="1">
      <c r="A271" s="455">
        <v>25</v>
      </c>
      <c r="B271" s="214" t="s">
        <v>77</v>
      </c>
      <c r="C271" s="208">
        <v>90095</v>
      </c>
      <c r="D271" s="211" t="s">
        <v>8</v>
      </c>
      <c r="E271" s="211" t="s">
        <v>128</v>
      </c>
      <c r="F271" s="217">
        <v>2013</v>
      </c>
      <c r="G271" s="1" t="s">
        <v>9</v>
      </c>
      <c r="H271" s="15" t="s">
        <v>10</v>
      </c>
      <c r="I271" s="69"/>
      <c r="J271" s="61"/>
      <c r="K271" s="61"/>
      <c r="L271" s="61"/>
      <c r="M271" s="140">
        <f t="shared" si="36"/>
        <v>0</v>
      </c>
      <c r="N271" s="60"/>
    </row>
    <row r="272" spans="1:14" s="67" customFormat="1" ht="15" customHeight="1">
      <c r="A272" s="460"/>
      <c r="B272" s="215"/>
      <c r="C272" s="209"/>
      <c r="D272" s="362"/>
      <c r="E272" s="362"/>
      <c r="F272" s="228"/>
      <c r="G272" s="414">
        <v>0</v>
      </c>
      <c r="H272" s="16" t="s">
        <v>11</v>
      </c>
      <c r="I272" s="70"/>
      <c r="J272" s="63">
        <f>250000-200000</f>
        <v>50000</v>
      </c>
      <c r="K272" s="63">
        <v>0</v>
      </c>
      <c r="L272" s="63">
        <v>50000</v>
      </c>
      <c r="M272" s="141">
        <f t="shared" si="36"/>
        <v>0</v>
      </c>
      <c r="N272" s="62"/>
    </row>
    <row r="273" spans="1:14" s="67" customFormat="1" ht="12.75" customHeight="1">
      <c r="A273" s="460"/>
      <c r="B273" s="215"/>
      <c r="C273" s="209"/>
      <c r="D273" s="362"/>
      <c r="E273" s="362"/>
      <c r="F273" s="228"/>
      <c r="G273" s="462"/>
      <c r="H273" s="16" t="s">
        <v>12</v>
      </c>
      <c r="I273" s="70"/>
      <c r="J273" s="63"/>
      <c r="K273" s="63"/>
      <c r="L273" s="63"/>
      <c r="M273" s="141">
        <f t="shared" si="36"/>
        <v>0</v>
      </c>
      <c r="N273" s="62"/>
    </row>
    <row r="274" spans="1:14" s="67" customFormat="1" ht="12.75" customHeight="1">
      <c r="A274" s="460"/>
      <c r="B274" s="215"/>
      <c r="C274" s="209"/>
      <c r="D274" s="362"/>
      <c r="E274" s="362"/>
      <c r="F274" s="212"/>
      <c r="G274" s="5" t="s">
        <v>13</v>
      </c>
      <c r="H274" s="16" t="s">
        <v>14</v>
      </c>
      <c r="I274" s="70"/>
      <c r="J274" s="63"/>
      <c r="K274" s="63"/>
      <c r="L274" s="63"/>
      <c r="M274" s="141">
        <f t="shared" si="36"/>
        <v>0</v>
      </c>
      <c r="N274" s="62"/>
    </row>
    <row r="275" spans="1:14" s="67" customFormat="1" ht="12.75" customHeight="1">
      <c r="A275" s="460"/>
      <c r="B275" s="215"/>
      <c r="C275" s="209"/>
      <c r="D275" s="362"/>
      <c r="E275" s="362"/>
      <c r="F275" s="227">
        <v>2015</v>
      </c>
      <c r="G275" s="414">
        <v>1300000</v>
      </c>
      <c r="H275" s="16" t="s">
        <v>15</v>
      </c>
      <c r="I275" s="70"/>
      <c r="J275" s="63"/>
      <c r="K275" s="63"/>
      <c r="L275" s="63"/>
      <c r="M275" s="141">
        <f t="shared" si="36"/>
        <v>0</v>
      </c>
      <c r="N275" s="62"/>
    </row>
    <row r="276" spans="1:14" s="67" customFormat="1" ht="12.75" customHeight="1">
      <c r="A276" s="460"/>
      <c r="B276" s="215"/>
      <c r="C276" s="209"/>
      <c r="D276" s="362"/>
      <c r="E276" s="362"/>
      <c r="F276" s="228"/>
      <c r="G276" s="462"/>
      <c r="H276" s="16" t="s">
        <v>16</v>
      </c>
      <c r="I276" s="70"/>
      <c r="J276" s="63"/>
      <c r="K276" s="63"/>
      <c r="L276" s="63"/>
      <c r="M276" s="141">
        <f t="shared" si="36"/>
        <v>0</v>
      </c>
      <c r="N276" s="62"/>
    </row>
    <row r="277" spans="1:14" s="67" customFormat="1" ht="15" customHeight="1">
      <c r="A277" s="460"/>
      <c r="B277" s="215"/>
      <c r="C277" s="209"/>
      <c r="D277" s="362"/>
      <c r="E277" s="362"/>
      <c r="F277" s="228"/>
      <c r="G277" s="5" t="s">
        <v>17</v>
      </c>
      <c r="H277" s="16" t="s">
        <v>18</v>
      </c>
      <c r="I277" s="6">
        <f aca="true" t="shared" si="38" ref="I277:L278">I271+I273+I275</f>
        <v>0</v>
      </c>
      <c r="J277" s="7">
        <f t="shared" si="38"/>
        <v>0</v>
      </c>
      <c r="K277" s="7">
        <f t="shared" si="38"/>
        <v>0</v>
      </c>
      <c r="L277" s="7">
        <f t="shared" si="38"/>
        <v>0</v>
      </c>
      <c r="M277" s="123">
        <f t="shared" si="36"/>
        <v>0</v>
      </c>
      <c r="N277" s="149"/>
    </row>
    <row r="278" spans="1:14" s="67" customFormat="1" ht="15" customHeight="1" thickBot="1">
      <c r="A278" s="456"/>
      <c r="B278" s="207"/>
      <c r="C278" s="210"/>
      <c r="D278" s="363"/>
      <c r="E278" s="362"/>
      <c r="F278" s="216"/>
      <c r="G278" s="8">
        <v>1300000</v>
      </c>
      <c r="H278" s="17" t="s">
        <v>19</v>
      </c>
      <c r="I278" s="9">
        <f t="shared" si="38"/>
        <v>0</v>
      </c>
      <c r="J278" s="10">
        <f t="shared" si="38"/>
        <v>50000</v>
      </c>
      <c r="K278" s="10">
        <f t="shared" si="38"/>
        <v>0</v>
      </c>
      <c r="L278" s="10">
        <f t="shared" si="38"/>
        <v>50000</v>
      </c>
      <c r="M278" s="124">
        <f t="shared" si="36"/>
        <v>0</v>
      </c>
      <c r="N278" s="150">
        <f>M278/G275</f>
        <v>0</v>
      </c>
    </row>
    <row r="279" spans="1:14" s="67" customFormat="1" ht="14.25" customHeight="1" hidden="1">
      <c r="A279" s="455">
        <v>28</v>
      </c>
      <c r="B279" s="214" t="s">
        <v>131</v>
      </c>
      <c r="C279" s="208">
        <v>90095</v>
      </c>
      <c r="D279" s="211" t="s">
        <v>8</v>
      </c>
      <c r="E279" s="211" t="s">
        <v>128</v>
      </c>
      <c r="F279" s="217">
        <v>2015</v>
      </c>
      <c r="G279" s="1" t="s">
        <v>9</v>
      </c>
      <c r="H279" s="15" t="s">
        <v>10</v>
      </c>
      <c r="I279" s="69"/>
      <c r="J279" s="61"/>
      <c r="K279" s="61"/>
      <c r="L279" s="61"/>
      <c r="M279" s="140">
        <f t="shared" si="36"/>
        <v>0</v>
      </c>
      <c r="N279" s="60"/>
    </row>
    <row r="280" spans="1:14" s="67" customFormat="1" ht="14.25" customHeight="1" hidden="1">
      <c r="A280" s="460"/>
      <c r="B280" s="215"/>
      <c r="C280" s="209"/>
      <c r="D280" s="362"/>
      <c r="E280" s="362"/>
      <c r="F280" s="228"/>
      <c r="G280" s="414">
        <v>0</v>
      </c>
      <c r="H280" s="16" t="s">
        <v>11</v>
      </c>
      <c r="I280" s="70"/>
      <c r="J280" s="63"/>
      <c r="K280" s="63"/>
      <c r="L280" s="63"/>
      <c r="M280" s="141">
        <f t="shared" si="36"/>
        <v>0</v>
      </c>
      <c r="N280" s="62"/>
    </row>
    <row r="281" spans="1:14" s="67" customFormat="1" ht="14.25" customHeight="1" hidden="1">
      <c r="A281" s="460"/>
      <c r="B281" s="215"/>
      <c r="C281" s="209"/>
      <c r="D281" s="362"/>
      <c r="E281" s="362"/>
      <c r="F281" s="228"/>
      <c r="G281" s="462"/>
      <c r="H281" s="16" t="s">
        <v>12</v>
      </c>
      <c r="I281" s="70"/>
      <c r="J281" s="63"/>
      <c r="K281" s="63"/>
      <c r="L281" s="63"/>
      <c r="M281" s="141">
        <f t="shared" si="36"/>
        <v>0</v>
      </c>
      <c r="N281" s="62"/>
    </row>
    <row r="282" spans="1:14" s="67" customFormat="1" ht="14.25" customHeight="1" hidden="1">
      <c r="A282" s="460"/>
      <c r="B282" s="215"/>
      <c r="C282" s="209"/>
      <c r="D282" s="362"/>
      <c r="E282" s="362"/>
      <c r="F282" s="212"/>
      <c r="G282" s="5" t="s">
        <v>13</v>
      </c>
      <c r="H282" s="16" t="s">
        <v>14</v>
      </c>
      <c r="I282" s="70"/>
      <c r="J282" s="63"/>
      <c r="K282" s="63"/>
      <c r="L282" s="63"/>
      <c r="M282" s="141">
        <f t="shared" si="36"/>
        <v>0</v>
      </c>
      <c r="N282" s="62"/>
    </row>
    <row r="283" spans="1:14" s="67" customFormat="1" ht="14.25" customHeight="1" hidden="1">
      <c r="A283" s="460"/>
      <c r="B283" s="215"/>
      <c r="C283" s="209"/>
      <c r="D283" s="362"/>
      <c r="E283" s="362"/>
      <c r="F283" s="227">
        <v>2016</v>
      </c>
      <c r="G283" s="414">
        <v>4000000</v>
      </c>
      <c r="H283" s="16" t="s">
        <v>15</v>
      </c>
      <c r="I283" s="70"/>
      <c r="J283" s="63"/>
      <c r="K283" s="63"/>
      <c r="L283" s="63"/>
      <c r="M283" s="141">
        <f t="shared" si="36"/>
        <v>0</v>
      </c>
      <c r="N283" s="62"/>
    </row>
    <row r="284" spans="1:14" s="67" customFormat="1" ht="14.25" customHeight="1" hidden="1">
      <c r="A284" s="460"/>
      <c r="B284" s="215"/>
      <c r="C284" s="209"/>
      <c r="D284" s="362"/>
      <c r="E284" s="362"/>
      <c r="F284" s="228"/>
      <c r="G284" s="462"/>
      <c r="H284" s="16" t="s">
        <v>16</v>
      </c>
      <c r="I284" s="70"/>
      <c r="J284" s="63"/>
      <c r="K284" s="63"/>
      <c r="L284" s="63"/>
      <c r="M284" s="141">
        <f t="shared" si="36"/>
        <v>0</v>
      </c>
      <c r="N284" s="62"/>
    </row>
    <row r="285" spans="1:14" s="67" customFormat="1" ht="14.25" customHeight="1" hidden="1">
      <c r="A285" s="460"/>
      <c r="B285" s="215"/>
      <c r="C285" s="209"/>
      <c r="D285" s="362"/>
      <c r="E285" s="362"/>
      <c r="F285" s="228"/>
      <c r="G285" s="5" t="s">
        <v>17</v>
      </c>
      <c r="H285" s="16" t="s">
        <v>18</v>
      </c>
      <c r="I285" s="6">
        <f aca="true" t="shared" si="39" ref="I285:L286">I279+I281+I283</f>
        <v>0</v>
      </c>
      <c r="J285" s="7">
        <f t="shared" si="39"/>
        <v>0</v>
      </c>
      <c r="K285" s="7">
        <f t="shared" si="39"/>
        <v>0</v>
      </c>
      <c r="L285" s="7">
        <f t="shared" si="39"/>
        <v>0</v>
      </c>
      <c r="M285" s="123">
        <f t="shared" si="36"/>
        <v>0</v>
      </c>
      <c r="N285" s="149" t="e">
        <f>M285/G280</f>
        <v>#DIV/0!</v>
      </c>
    </row>
    <row r="286" spans="1:14" s="67" customFormat="1" ht="14.25" customHeight="1" hidden="1" thickBot="1">
      <c r="A286" s="456"/>
      <c r="B286" s="207"/>
      <c r="C286" s="210"/>
      <c r="D286" s="363"/>
      <c r="E286" s="362"/>
      <c r="F286" s="216"/>
      <c r="G286" s="8">
        <v>4000000</v>
      </c>
      <c r="H286" s="17" t="s">
        <v>19</v>
      </c>
      <c r="I286" s="9">
        <f t="shared" si="39"/>
        <v>0</v>
      </c>
      <c r="J286" s="10">
        <f t="shared" si="39"/>
        <v>0</v>
      </c>
      <c r="K286" s="10">
        <f t="shared" si="39"/>
        <v>0</v>
      </c>
      <c r="L286" s="10">
        <f t="shared" si="39"/>
        <v>0</v>
      </c>
      <c r="M286" s="148">
        <f t="shared" si="36"/>
        <v>0</v>
      </c>
      <c r="N286" s="150">
        <f>M286/G283</f>
        <v>0</v>
      </c>
    </row>
    <row r="287" spans="1:14" s="13" customFormat="1" ht="15" customHeight="1">
      <c r="A287" s="455">
        <v>26</v>
      </c>
      <c r="B287" s="214" t="s">
        <v>39</v>
      </c>
      <c r="C287" s="208">
        <v>92106</v>
      </c>
      <c r="D287" s="211" t="s">
        <v>8</v>
      </c>
      <c r="E287" s="56"/>
      <c r="F287" s="217">
        <v>2010</v>
      </c>
      <c r="G287" s="1" t="s">
        <v>9</v>
      </c>
      <c r="H287" s="15" t="s">
        <v>10</v>
      </c>
      <c r="I287" s="60"/>
      <c r="J287" s="61"/>
      <c r="K287" s="61"/>
      <c r="L287" s="61"/>
      <c r="M287" s="146">
        <f t="shared" si="36"/>
        <v>0</v>
      </c>
      <c r="N287" s="60"/>
    </row>
    <row r="288" spans="1:14" s="13" customFormat="1" ht="15" customHeight="1">
      <c r="A288" s="460"/>
      <c r="B288" s="215"/>
      <c r="C288" s="209"/>
      <c r="D288" s="362"/>
      <c r="E288" s="57"/>
      <c r="F288" s="228"/>
      <c r="G288" s="414">
        <v>0</v>
      </c>
      <c r="H288" s="16" t="s">
        <v>11</v>
      </c>
      <c r="I288" s="62">
        <f>910400+3619430+4293498</f>
        <v>8823328</v>
      </c>
      <c r="J288" s="63">
        <f>3930076+1000000</f>
        <v>4930076</v>
      </c>
      <c r="K288" s="63">
        <v>530386</v>
      </c>
      <c r="L288" s="63">
        <v>4930076</v>
      </c>
      <c r="M288" s="147">
        <f t="shared" si="36"/>
        <v>9353714</v>
      </c>
      <c r="N288" s="62"/>
    </row>
    <row r="289" spans="1:14" s="13" customFormat="1" ht="15" customHeight="1">
      <c r="A289" s="460"/>
      <c r="B289" s="215"/>
      <c r="C289" s="209"/>
      <c r="D289" s="362"/>
      <c r="E289" s="57"/>
      <c r="F289" s="228"/>
      <c r="G289" s="462"/>
      <c r="H289" s="16" t="s">
        <v>12</v>
      </c>
      <c r="I289" s="62"/>
      <c r="J289" s="63"/>
      <c r="K289" s="63"/>
      <c r="L289" s="63"/>
      <c r="M289" s="147">
        <f t="shared" si="36"/>
        <v>0</v>
      </c>
      <c r="N289" s="62"/>
    </row>
    <row r="290" spans="1:14" s="13" customFormat="1" ht="15" customHeight="1">
      <c r="A290" s="460"/>
      <c r="B290" s="215"/>
      <c r="C290" s="209"/>
      <c r="D290" s="362"/>
      <c r="E290" s="57" t="s">
        <v>146</v>
      </c>
      <c r="F290" s="212"/>
      <c r="G290" s="5" t="s">
        <v>13</v>
      </c>
      <c r="H290" s="16" t="s">
        <v>14</v>
      </c>
      <c r="I290" s="62"/>
      <c r="J290" s="63"/>
      <c r="K290" s="63"/>
      <c r="L290" s="63"/>
      <c r="M290" s="147">
        <f t="shared" si="36"/>
        <v>0</v>
      </c>
      <c r="N290" s="62"/>
    </row>
    <row r="291" spans="1:14" s="13" customFormat="1" ht="15" customHeight="1">
      <c r="A291" s="460"/>
      <c r="B291" s="215"/>
      <c r="C291" s="209"/>
      <c r="D291" s="362"/>
      <c r="E291" s="57"/>
      <c r="F291" s="227">
        <v>2013</v>
      </c>
      <c r="G291" s="414">
        <v>13753404</v>
      </c>
      <c r="H291" s="16" t="s">
        <v>15</v>
      </c>
      <c r="I291" s="62"/>
      <c r="J291" s="63"/>
      <c r="K291" s="63"/>
      <c r="L291" s="63"/>
      <c r="M291" s="147">
        <f t="shared" si="36"/>
        <v>0</v>
      </c>
      <c r="N291" s="62"/>
    </row>
    <row r="292" spans="1:14" s="13" customFormat="1" ht="15" customHeight="1">
      <c r="A292" s="460"/>
      <c r="B292" s="215"/>
      <c r="C292" s="209"/>
      <c r="D292" s="362"/>
      <c r="E292" s="57"/>
      <c r="F292" s="228"/>
      <c r="G292" s="462"/>
      <c r="H292" s="16" t="s">
        <v>16</v>
      </c>
      <c r="I292" s="62"/>
      <c r="J292" s="63"/>
      <c r="K292" s="63"/>
      <c r="L292" s="63"/>
      <c r="M292" s="147">
        <f t="shared" si="36"/>
        <v>0</v>
      </c>
      <c r="N292" s="62"/>
    </row>
    <row r="293" spans="1:14" s="13" customFormat="1" ht="15" customHeight="1">
      <c r="A293" s="460"/>
      <c r="B293" s="215"/>
      <c r="C293" s="209"/>
      <c r="D293" s="362"/>
      <c r="E293" s="57"/>
      <c r="F293" s="228"/>
      <c r="G293" s="5" t="s">
        <v>17</v>
      </c>
      <c r="H293" s="16" t="s">
        <v>18</v>
      </c>
      <c r="I293" s="6">
        <f aca="true" t="shared" si="40" ref="I293:L294">I287+I289+I291</f>
        <v>0</v>
      </c>
      <c r="J293" s="7">
        <f t="shared" si="40"/>
        <v>0</v>
      </c>
      <c r="K293" s="7">
        <f t="shared" si="40"/>
        <v>0</v>
      </c>
      <c r="L293" s="7">
        <f t="shared" si="40"/>
        <v>0</v>
      </c>
      <c r="M293" s="123">
        <f t="shared" si="36"/>
        <v>0</v>
      </c>
      <c r="N293" s="149"/>
    </row>
    <row r="294" spans="1:14" s="13" customFormat="1" ht="15" customHeight="1" thickBot="1">
      <c r="A294" s="456"/>
      <c r="B294" s="207"/>
      <c r="C294" s="210"/>
      <c r="D294" s="363"/>
      <c r="E294" s="58"/>
      <c r="F294" s="216"/>
      <c r="G294" s="8">
        <v>13753404</v>
      </c>
      <c r="H294" s="17" t="s">
        <v>19</v>
      </c>
      <c r="I294" s="9">
        <f t="shared" si="40"/>
        <v>8823328</v>
      </c>
      <c r="J294" s="10">
        <f t="shared" si="40"/>
        <v>4930076</v>
      </c>
      <c r="K294" s="10">
        <f t="shared" si="40"/>
        <v>530386</v>
      </c>
      <c r="L294" s="10">
        <f t="shared" si="40"/>
        <v>4930076</v>
      </c>
      <c r="M294" s="124">
        <f t="shared" si="36"/>
        <v>9353714</v>
      </c>
      <c r="N294" s="150">
        <f>M294/G291</f>
        <v>0.6801017406309012</v>
      </c>
    </row>
    <row r="295" spans="1:14" ht="14.25" customHeight="1">
      <c r="A295" s="455">
        <v>27</v>
      </c>
      <c r="B295" s="214" t="s">
        <v>40</v>
      </c>
      <c r="C295" s="208">
        <v>92118</v>
      </c>
      <c r="D295" s="211" t="s">
        <v>49</v>
      </c>
      <c r="E295" s="56"/>
      <c r="F295" s="217">
        <v>2010</v>
      </c>
      <c r="G295" s="1" t="s">
        <v>9</v>
      </c>
      <c r="H295" s="15" t="s">
        <v>25</v>
      </c>
      <c r="I295" s="60"/>
      <c r="J295" s="61"/>
      <c r="K295" s="61"/>
      <c r="L295" s="61"/>
      <c r="M295" s="146">
        <f t="shared" si="36"/>
        <v>0</v>
      </c>
      <c r="N295" s="60"/>
    </row>
    <row r="296" spans="1:14" ht="12.75">
      <c r="A296" s="460"/>
      <c r="B296" s="215"/>
      <c r="C296" s="209"/>
      <c r="D296" s="362"/>
      <c r="E296" s="57"/>
      <c r="F296" s="228"/>
      <c r="G296" s="414">
        <v>0</v>
      </c>
      <c r="H296" s="16" t="s">
        <v>26</v>
      </c>
      <c r="I296" s="62">
        <f>29471+420000</f>
        <v>449471</v>
      </c>
      <c r="J296" s="63">
        <f>23506783-J300</f>
        <v>5880446</v>
      </c>
      <c r="K296" s="63">
        <v>219430</v>
      </c>
      <c r="L296" s="63"/>
      <c r="M296" s="147">
        <f t="shared" si="36"/>
        <v>668901</v>
      </c>
      <c r="N296" s="62"/>
    </row>
    <row r="297" spans="1:14" ht="12.75">
      <c r="A297" s="460"/>
      <c r="B297" s="215"/>
      <c r="C297" s="209"/>
      <c r="D297" s="362"/>
      <c r="E297" s="57"/>
      <c r="F297" s="228"/>
      <c r="G297" s="462"/>
      <c r="H297" s="16" t="s">
        <v>12</v>
      </c>
      <c r="I297" s="62"/>
      <c r="J297" s="63"/>
      <c r="K297" s="63"/>
      <c r="L297" s="63"/>
      <c r="M297" s="147">
        <f t="shared" si="36"/>
        <v>0</v>
      </c>
      <c r="N297" s="62"/>
    </row>
    <row r="298" spans="1:14" ht="12.75">
      <c r="A298" s="460"/>
      <c r="B298" s="215"/>
      <c r="C298" s="209"/>
      <c r="D298" s="362"/>
      <c r="E298" s="57" t="s">
        <v>104</v>
      </c>
      <c r="F298" s="212"/>
      <c r="G298" s="5" t="s">
        <v>13</v>
      </c>
      <c r="H298" s="16" t="s">
        <v>14</v>
      </c>
      <c r="I298" s="62"/>
      <c r="J298" s="63"/>
      <c r="K298" s="63"/>
      <c r="L298" s="63"/>
      <c r="M298" s="147">
        <f t="shared" si="36"/>
        <v>0</v>
      </c>
      <c r="N298" s="62"/>
    </row>
    <row r="299" spans="1:14" ht="12.75">
      <c r="A299" s="460"/>
      <c r="B299" s="215"/>
      <c r="C299" s="209"/>
      <c r="D299" s="362"/>
      <c r="E299" s="57"/>
      <c r="F299" s="227">
        <v>2014</v>
      </c>
      <c r="G299" s="414">
        <v>32146974</v>
      </c>
      <c r="H299" s="16" t="s">
        <v>15</v>
      </c>
      <c r="I299" s="62"/>
      <c r="J299" s="63"/>
      <c r="K299" s="63"/>
      <c r="L299" s="63"/>
      <c r="M299" s="147">
        <f t="shared" si="36"/>
        <v>0</v>
      </c>
      <c r="N299" s="62"/>
    </row>
    <row r="300" spans="1:14" ht="45">
      <c r="A300" s="460"/>
      <c r="B300" s="215"/>
      <c r="C300" s="209"/>
      <c r="D300" s="362"/>
      <c r="E300" s="57"/>
      <c r="F300" s="228"/>
      <c r="G300" s="462"/>
      <c r="H300" s="66" t="s">
        <v>41</v>
      </c>
      <c r="I300" s="62"/>
      <c r="J300" s="63">
        <v>17626337</v>
      </c>
      <c r="K300" s="63"/>
      <c r="L300" s="63"/>
      <c r="M300" s="147">
        <f t="shared" si="36"/>
        <v>0</v>
      </c>
      <c r="N300" s="62"/>
    </row>
    <row r="301" spans="1:14" ht="12.75">
      <c r="A301" s="460"/>
      <c r="B301" s="215"/>
      <c r="C301" s="209"/>
      <c r="D301" s="362"/>
      <c r="E301" s="57"/>
      <c r="F301" s="228"/>
      <c r="G301" s="5" t="s">
        <v>17</v>
      </c>
      <c r="H301" s="16" t="s">
        <v>18</v>
      </c>
      <c r="I301" s="6">
        <f aca="true" t="shared" si="41" ref="I301:L302">I295+I297+I299</f>
        <v>0</v>
      </c>
      <c r="J301" s="7">
        <f t="shared" si="41"/>
        <v>0</v>
      </c>
      <c r="K301" s="7">
        <f t="shared" si="41"/>
        <v>0</v>
      </c>
      <c r="L301" s="7">
        <f t="shared" si="41"/>
        <v>0</v>
      </c>
      <c r="M301" s="123">
        <f t="shared" si="36"/>
        <v>0</v>
      </c>
      <c r="N301" s="149"/>
    </row>
    <row r="302" spans="1:14" ht="13.5" thickBot="1">
      <c r="A302" s="456"/>
      <c r="B302" s="207"/>
      <c r="C302" s="210"/>
      <c r="D302" s="363"/>
      <c r="E302" s="58"/>
      <c r="F302" s="216"/>
      <c r="G302" s="8">
        <v>32146974</v>
      </c>
      <c r="H302" s="17" t="s">
        <v>19</v>
      </c>
      <c r="I302" s="9">
        <f t="shared" si="41"/>
        <v>449471</v>
      </c>
      <c r="J302" s="10">
        <f t="shared" si="41"/>
        <v>23506783</v>
      </c>
      <c r="K302" s="10">
        <f t="shared" si="41"/>
        <v>219430</v>
      </c>
      <c r="L302" s="10">
        <f t="shared" si="41"/>
        <v>0</v>
      </c>
      <c r="M302" s="124">
        <f t="shared" si="36"/>
        <v>668901</v>
      </c>
      <c r="N302" s="150">
        <f>M302/G299</f>
        <v>0.020807588297424198</v>
      </c>
    </row>
    <row r="303" spans="1:14" ht="12.75" customHeight="1">
      <c r="A303" s="455">
        <v>28</v>
      </c>
      <c r="B303" s="214" t="s">
        <v>42</v>
      </c>
      <c r="C303" s="208">
        <v>92118</v>
      </c>
      <c r="D303" s="211" t="s">
        <v>132</v>
      </c>
      <c r="E303" s="56"/>
      <c r="F303" s="217">
        <v>2012</v>
      </c>
      <c r="G303" s="1" t="s">
        <v>9</v>
      </c>
      <c r="H303" s="15" t="s">
        <v>25</v>
      </c>
      <c r="I303" s="60">
        <v>350000</v>
      </c>
      <c r="J303" s="61">
        <v>650000</v>
      </c>
      <c r="K303" s="61">
        <v>150962</v>
      </c>
      <c r="L303" s="61">
        <v>360000</v>
      </c>
      <c r="M303" s="146">
        <f t="shared" si="36"/>
        <v>500962</v>
      </c>
      <c r="N303" s="60"/>
    </row>
    <row r="304" spans="1:14" ht="12.75">
      <c r="A304" s="460"/>
      <c r="B304" s="215"/>
      <c r="C304" s="209"/>
      <c r="D304" s="362"/>
      <c r="E304" s="57"/>
      <c r="F304" s="228"/>
      <c r="G304" s="414">
        <v>1000000</v>
      </c>
      <c r="H304" s="16" t="s">
        <v>26</v>
      </c>
      <c r="I304" s="62"/>
      <c r="J304" s="63">
        <v>2740000</v>
      </c>
      <c r="K304" s="63">
        <v>234438</v>
      </c>
      <c r="L304" s="63">
        <v>1831048</v>
      </c>
      <c r="M304" s="147">
        <f t="shared" si="36"/>
        <v>234438</v>
      </c>
      <c r="N304" s="62"/>
    </row>
    <row r="305" spans="1:14" ht="12.75">
      <c r="A305" s="460"/>
      <c r="B305" s="215"/>
      <c r="C305" s="209"/>
      <c r="D305" s="362"/>
      <c r="E305" s="57"/>
      <c r="F305" s="228"/>
      <c r="G305" s="462"/>
      <c r="H305" s="16" t="s">
        <v>12</v>
      </c>
      <c r="I305" s="62"/>
      <c r="J305" s="63"/>
      <c r="K305" s="63"/>
      <c r="L305" s="63"/>
      <c r="M305" s="147">
        <f t="shared" si="36"/>
        <v>0</v>
      </c>
      <c r="N305" s="62"/>
    </row>
    <row r="306" spans="1:14" ht="12.75">
      <c r="A306" s="460"/>
      <c r="B306" s="215"/>
      <c r="C306" s="209"/>
      <c r="D306" s="362"/>
      <c r="E306" s="57"/>
      <c r="F306" s="212"/>
      <c r="G306" s="5" t="s">
        <v>13</v>
      </c>
      <c r="H306" s="16" t="s">
        <v>14</v>
      </c>
      <c r="I306" s="62"/>
      <c r="J306" s="63"/>
      <c r="K306" s="63"/>
      <c r="L306" s="63"/>
      <c r="M306" s="147">
        <f t="shared" si="36"/>
        <v>0</v>
      </c>
      <c r="N306" s="62"/>
    </row>
    <row r="307" spans="1:14" ht="12.75">
      <c r="A307" s="460"/>
      <c r="B307" s="215"/>
      <c r="C307" s="209"/>
      <c r="D307" s="362"/>
      <c r="E307" s="57"/>
      <c r="F307" s="227">
        <v>2014</v>
      </c>
      <c r="G307" s="414">
        <v>17300000</v>
      </c>
      <c r="H307" s="16" t="s">
        <v>15</v>
      </c>
      <c r="I307" s="62"/>
      <c r="J307" s="63"/>
      <c r="K307" s="63"/>
      <c r="L307" s="63"/>
      <c r="M307" s="147">
        <f t="shared" si="36"/>
        <v>0</v>
      </c>
      <c r="N307" s="62"/>
    </row>
    <row r="308" spans="1:14" ht="12.75">
      <c r="A308" s="460"/>
      <c r="B308" s="215"/>
      <c r="C308" s="209"/>
      <c r="D308" s="362"/>
      <c r="E308" s="57"/>
      <c r="F308" s="228"/>
      <c r="G308" s="462"/>
      <c r="H308" s="16" t="s">
        <v>16</v>
      </c>
      <c r="I308" s="62"/>
      <c r="J308" s="63"/>
      <c r="K308" s="63"/>
      <c r="L308" s="63"/>
      <c r="M308" s="147">
        <f t="shared" si="36"/>
        <v>0</v>
      </c>
      <c r="N308" s="62"/>
    </row>
    <row r="309" spans="1:14" ht="12.75">
      <c r="A309" s="460"/>
      <c r="B309" s="215"/>
      <c r="C309" s="209"/>
      <c r="D309" s="362"/>
      <c r="E309" s="57"/>
      <c r="F309" s="228"/>
      <c r="G309" s="5" t="s">
        <v>17</v>
      </c>
      <c r="H309" s="16" t="s">
        <v>18</v>
      </c>
      <c r="I309" s="6">
        <f aca="true" t="shared" si="42" ref="I309:L310">I303+I305+I307</f>
        <v>350000</v>
      </c>
      <c r="J309" s="7">
        <f t="shared" si="42"/>
        <v>650000</v>
      </c>
      <c r="K309" s="7">
        <f t="shared" si="42"/>
        <v>150962</v>
      </c>
      <c r="L309" s="7">
        <f t="shared" si="42"/>
        <v>360000</v>
      </c>
      <c r="M309" s="123">
        <f t="shared" si="36"/>
        <v>500962</v>
      </c>
      <c r="N309" s="149">
        <f>M309/G304</f>
        <v>0.500962</v>
      </c>
    </row>
    <row r="310" spans="1:14" ht="13.5" thickBot="1">
      <c r="A310" s="456"/>
      <c r="B310" s="207"/>
      <c r="C310" s="210"/>
      <c r="D310" s="363"/>
      <c r="E310" s="58"/>
      <c r="F310" s="216"/>
      <c r="G310" s="8">
        <v>18300000</v>
      </c>
      <c r="H310" s="17" t="s">
        <v>19</v>
      </c>
      <c r="I310" s="9">
        <f t="shared" si="42"/>
        <v>0</v>
      </c>
      <c r="J310" s="10">
        <f t="shared" si="42"/>
        <v>2740000</v>
      </c>
      <c r="K310" s="10">
        <f t="shared" si="42"/>
        <v>234438</v>
      </c>
      <c r="L310" s="10">
        <f t="shared" si="42"/>
        <v>1831048</v>
      </c>
      <c r="M310" s="124">
        <f t="shared" si="36"/>
        <v>234438</v>
      </c>
      <c r="N310" s="150">
        <f>M310/G307</f>
        <v>0.013551329479768786</v>
      </c>
    </row>
    <row r="311" spans="1:14" ht="12.75" customHeight="1">
      <c r="A311" s="455">
        <v>29</v>
      </c>
      <c r="B311" s="214" t="s">
        <v>43</v>
      </c>
      <c r="C311" s="208">
        <v>92601</v>
      </c>
      <c r="D311" s="211" t="s">
        <v>44</v>
      </c>
      <c r="E311" s="56"/>
      <c r="F311" s="217">
        <v>2011</v>
      </c>
      <c r="G311" s="1" t="s">
        <v>9</v>
      </c>
      <c r="H311" s="15" t="s">
        <v>25</v>
      </c>
      <c r="I311" s="60"/>
      <c r="J311" s="61"/>
      <c r="K311" s="61"/>
      <c r="L311" s="61"/>
      <c r="M311" s="146">
        <f t="shared" si="36"/>
        <v>0</v>
      </c>
      <c r="N311" s="60"/>
    </row>
    <row r="312" spans="1:14" ht="12.75">
      <c r="A312" s="460"/>
      <c r="B312" s="215"/>
      <c r="C312" s="209"/>
      <c r="D312" s="362"/>
      <c r="E312" s="57"/>
      <c r="F312" s="228"/>
      <c r="G312" s="414">
        <v>0</v>
      </c>
      <c r="H312" s="16" t="s">
        <v>26</v>
      </c>
      <c r="I312" s="62">
        <v>176198</v>
      </c>
      <c r="J312" s="63">
        <v>1000000</v>
      </c>
      <c r="K312" s="63">
        <v>0</v>
      </c>
      <c r="L312" s="63">
        <v>1000000</v>
      </c>
      <c r="M312" s="147">
        <f t="shared" si="36"/>
        <v>176198</v>
      </c>
      <c r="N312" s="62"/>
    </row>
    <row r="313" spans="1:14" ht="12.75">
      <c r="A313" s="460"/>
      <c r="B313" s="215"/>
      <c r="C313" s="209"/>
      <c r="D313" s="362"/>
      <c r="E313" s="57"/>
      <c r="F313" s="228"/>
      <c r="G313" s="462"/>
      <c r="H313" s="16" t="s">
        <v>12</v>
      </c>
      <c r="I313" s="62"/>
      <c r="J313" s="63"/>
      <c r="K313" s="63"/>
      <c r="L313" s="63"/>
      <c r="M313" s="147">
        <f t="shared" si="36"/>
        <v>0</v>
      </c>
      <c r="N313" s="62"/>
    </row>
    <row r="314" spans="1:14" ht="12.75">
      <c r="A314" s="460"/>
      <c r="B314" s="215"/>
      <c r="C314" s="209"/>
      <c r="D314" s="362"/>
      <c r="E314" s="57"/>
      <c r="F314" s="212"/>
      <c r="G314" s="5" t="s">
        <v>13</v>
      </c>
      <c r="H314" s="16" t="s">
        <v>14</v>
      </c>
      <c r="I314" s="62"/>
      <c r="J314" s="63"/>
      <c r="K314" s="63"/>
      <c r="L314" s="63"/>
      <c r="M314" s="147">
        <f t="shared" si="36"/>
        <v>0</v>
      </c>
      <c r="N314" s="62"/>
    </row>
    <row r="315" spans="1:14" ht="12.75">
      <c r="A315" s="460"/>
      <c r="B315" s="215"/>
      <c r="C315" s="209"/>
      <c r="D315" s="362"/>
      <c r="E315" s="57"/>
      <c r="F315" s="227">
        <v>2014</v>
      </c>
      <c r="G315" s="414">
        <v>1676198</v>
      </c>
      <c r="H315" s="16" t="s">
        <v>15</v>
      </c>
      <c r="I315" s="62"/>
      <c r="J315" s="63"/>
      <c r="K315" s="63"/>
      <c r="L315" s="63"/>
      <c r="M315" s="147">
        <f t="shared" si="36"/>
        <v>0</v>
      </c>
      <c r="N315" s="62"/>
    </row>
    <row r="316" spans="1:14" ht="12.75">
      <c r="A316" s="460"/>
      <c r="B316" s="215"/>
      <c r="C316" s="209"/>
      <c r="D316" s="362"/>
      <c r="E316" s="57"/>
      <c r="F316" s="228"/>
      <c r="G316" s="462"/>
      <c r="H316" s="16" t="s">
        <v>16</v>
      </c>
      <c r="I316" s="62"/>
      <c r="J316" s="63"/>
      <c r="K316" s="63"/>
      <c r="L316" s="63"/>
      <c r="M316" s="147">
        <f t="shared" si="36"/>
        <v>0</v>
      </c>
      <c r="N316" s="62"/>
    </row>
    <row r="317" spans="1:14" ht="12.75">
      <c r="A317" s="460"/>
      <c r="B317" s="215"/>
      <c r="C317" s="209"/>
      <c r="D317" s="362"/>
      <c r="E317" s="57"/>
      <c r="F317" s="228"/>
      <c r="G317" s="5" t="s">
        <v>17</v>
      </c>
      <c r="H317" s="16" t="s">
        <v>18</v>
      </c>
      <c r="I317" s="6">
        <f aca="true" t="shared" si="43" ref="I317:L318">I311+I313+I315</f>
        <v>0</v>
      </c>
      <c r="J317" s="7">
        <f t="shared" si="43"/>
        <v>0</v>
      </c>
      <c r="K317" s="7">
        <f t="shared" si="43"/>
        <v>0</v>
      </c>
      <c r="L317" s="7">
        <f t="shared" si="43"/>
        <v>0</v>
      </c>
      <c r="M317" s="123">
        <f t="shared" si="36"/>
        <v>0</v>
      </c>
      <c r="N317" s="149"/>
    </row>
    <row r="318" spans="1:14" ht="13.5" thickBot="1">
      <c r="A318" s="456"/>
      <c r="B318" s="207"/>
      <c r="C318" s="210"/>
      <c r="D318" s="363"/>
      <c r="E318" s="58"/>
      <c r="F318" s="216"/>
      <c r="G318" s="8">
        <v>1676198</v>
      </c>
      <c r="H318" s="17" t="s">
        <v>19</v>
      </c>
      <c r="I318" s="9">
        <f t="shared" si="43"/>
        <v>176198</v>
      </c>
      <c r="J318" s="10">
        <f t="shared" si="43"/>
        <v>1000000</v>
      </c>
      <c r="K318" s="10">
        <f t="shared" si="43"/>
        <v>0</v>
      </c>
      <c r="L318" s="10">
        <f t="shared" si="43"/>
        <v>1000000</v>
      </c>
      <c r="M318" s="124">
        <f t="shared" si="36"/>
        <v>176198</v>
      </c>
      <c r="N318" s="150">
        <f>M318/G315</f>
        <v>0.10511765316507954</v>
      </c>
    </row>
    <row r="319" spans="1:14" ht="12.75">
      <c r="A319" s="26"/>
      <c r="B319" s="27"/>
      <c r="C319" s="28"/>
      <c r="D319" s="29"/>
      <c r="E319" s="29"/>
      <c r="F319" s="30"/>
      <c r="G319" s="31"/>
      <c r="H319" s="47"/>
      <c r="I319" s="32"/>
      <c r="J319" s="32"/>
      <c r="K319" s="32"/>
      <c r="L319" s="32"/>
      <c r="M319" s="32"/>
      <c r="N319" s="32"/>
    </row>
    <row r="320" spans="1:14" ht="13.5" thickBot="1">
      <c r="A320" s="33"/>
      <c r="B320" s="34"/>
      <c r="C320" s="35"/>
      <c r="D320" s="36"/>
      <c r="E320" s="36"/>
      <c r="F320" s="37"/>
      <c r="G320" s="31"/>
      <c r="H320" s="47"/>
      <c r="I320" s="38"/>
      <c r="J320" s="39"/>
      <c r="K320" s="39"/>
      <c r="L320" s="39"/>
      <c r="M320" s="39"/>
      <c r="N320" s="39"/>
    </row>
    <row r="321" spans="1:14" s="13" customFormat="1" ht="12.75">
      <c r="A321" s="368" t="s">
        <v>45</v>
      </c>
      <c r="B321" s="369"/>
      <c r="C321" s="369"/>
      <c r="D321" s="369"/>
      <c r="E321" s="369"/>
      <c r="F321" s="370"/>
      <c r="G321" s="1" t="s">
        <v>9</v>
      </c>
      <c r="H321" s="73" t="s">
        <v>10</v>
      </c>
      <c r="I321" s="61">
        <f aca="true" t="shared" si="44" ref="I321:M326">SUM(I7,I15,I23,I31,I39,I47,I55,I63,I71,I79,I87,I95,I103,I111,I119,I127,I135,I143,I151,I159,I167,I175,I183)+SUM(I191,I199,I207,I215,I223,I231,I239,I247,I255,I263,I271,I279,I287,I295,I303,I311)</f>
        <v>350000</v>
      </c>
      <c r="J321" s="61">
        <f t="shared" si="44"/>
        <v>650000</v>
      </c>
      <c r="K321" s="61">
        <f>SUM(K7,K15,K23,K31,K39,K47,K55,K63,K71,K79,K87,K95,K103,K111,K119,K127,K135,K143,K151,K159,K167,K175,K183)+SUM(K191,K199,K207,K215,K223,K231,K239,K247,K255,K263,K271,K279,K287,K295,K303,K311)</f>
        <v>150962</v>
      </c>
      <c r="L321" s="61">
        <f t="shared" si="44"/>
        <v>360000</v>
      </c>
      <c r="M321" s="61">
        <f t="shared" si="44"/>
        <v>500962</v>
      </c>
      <c r="N321" s="138">
        <f aca="true" t="shared" si="45" ref="N321:N326">SUM(N7,N15,N23,N31,N39,N47,N55,N63,N71,N79,N87,N95,N103,N111,N119,N127,N135,N143,N151,N159,N167,N175,N183)+SUM(N191,N199,N207,N215,N223,N231,N239,N247,N255,N263,N271,N279,N287,N295,N303,N311)</f>
        <v>0</v>
      </c>
    </row>
    <row r="322" spans="1:14" s="13" customFormat="1" ht="12.75">
      <c r="A322" s="371"/>
      <c r="B322" s="372"/>
      <c r="C322" s="372"/>
      <c r="D322" s="372"/>
      <c r="E322" s="372"/>
      <c r="F322" s="373"/>
      <c r="G322" s="414">
        <v>1162885</v>
      </c>
      <c r="H322" s="74" t="s">
        <v>11</v>
      </c>
      <c r="I322" s="63">
        <f t="shared" si="44"/>
        <v>83042465</v>
      </c>
      <c r="J322" s="63">
        <f t="shared" si="44"/>
        <v>109746652</v>
      </c>
      <c r="K322" s="63">
        <f>SUM(K8,K16,K24,K32,K40,K48,K56,K64,K72,K80,K88,K96,K104,K112,K120,K128,K136,K144,K152,K160,K168,K176,K184)+SUM(K192,K200,K208,K216,K224,K232,K240,K248,K256,K264,K272,K280,K288,K296,K304,K312)</f>
        <v>35286197</v>
      </c>
      <c r="L322" s="63">
        <f t="shared" si="44"/>
        <v>102957246</v>
      </c>
      <c r="M322" s="63">
        <f t="shared" si="44"/>
        <v>118328662</v>
      </c>
      <c r="N322" s="72">
        <f t="shared" si="45"/>
        <v>0</v>
      </c>
    </row>
    <row r="323" spans="1:14" s="13" customFormat="1" ht="12.75">
      <c r="A323" s="371"/>
      <c r="B323" s="372"/>
      <c r="C323" s="372"/>
      <c r="D323" s="372"/>
      <c r="E323" s="372"/>
      <c r="F323" s="373"/>
      <c r="G323" s="462"/>
      <c r="H323" s="74" t="s">
        <v>12</v>
      </c>
      <c r="I323" s="63">
        <f t="shared" si="44"/>
        <v>0</v>
      </c>
      <c r="J323" s="63">
        <f t="shared" si="44"/>
        <v>0</v>
      </c>
      <c r="K323" s="63">
        <f t="shared" si="44"/>
        <v>0</v>
      </c>
      <c r="L323" s="63">
        <f t="shared" si="44"/>
        <v>0</v>
      </c>
      <c r="M323" s="63">
        <f t="shared" si="44"/>
        <v>0</v>
      </c>
      <c r="N323" s="72">
        <f t="shared" si="45"/>
        <v>0</v>
      </c>
    </row>
    <row r="324" spans="1:14" s="13" customFormat="1" ht="12.75">
      <c r="A324" s="371"/>
      <c r="B324" s="372"/>
      <c r="C324" s="372"/>
      <c r="D324" s="372"/>
      <c r="E324" s="372"/>
      <c r="F324" s="373"/>
      <c r="G324" s="5" t="s">
        <v>13</v>
      </c>
      <c r="H324" s="74" t="s">
        <v>14</v>
      </c>
      <c r="I324" s="63">
        <f t="shared" si="44"/>
        <v>0</v>
      </c>
      <c r="J324" s="63">
        <f t="shared" si="44"/>
        <v>0</v>
      </c>
      <c r="K324" s="63">
        <f t="shared" si="44"/>
        <v>0</v>
      </c>
      <c r="L324" s="63">
        <f t="shared" si="44"/>
        <v>0</v>
      </c>
      <c r="M324" s="63">
        <f t="shared" si="44"/>
        <v>0</v>
      </c>
      <c r="N324" s="72">
        <f t="shared" si="45"/>
        <v>0</v>
      </c>
    </row>
    <row r="325" spans="1:14" s="13" customFormat="1" ht="12.75">
      <c r="A325" s="371"/>
      <c r="B325" s="372"/>
      <c r="C325" s="372"/>
      <c r="D325" s="372"/>
      <c r="E325" s="372"/>
      <c r="F325" s="373"/>
      <c r="G325" s="414">
        <v>590663561</v>
      </c>
      <c r="H325" s="74" t="s">
        <v>15</v>
      </c>
      <c r="I325" s="63">
        <f t="shared" si="44"/>
        <v>0</v>
      </c>
      <c r="J325" s="63">
        <f t="shared" si="44"/>
        <v>0</v>
      </c>
      <c r="K325" s="63">
        <f t="shared" si="44"/>
        <v>0</v>
      </c>
      <c r="L325" s="63">
        <f t="shared" si="44"/>
        <v>0</v>
      </c>
      <c r="M325" s="63">
        <f t="shared" si="44"/>
        <v>0</v>
      </c>
      <c r="N325" s="72">
        <f t="shared" si="45"/>
        <v>0</v>
      </c>
    </row>
    <row r="326" spans="1:14" s="13" customFormat="1" ht="12.75">
      <c r="A326" s="371"/>
      <c r="B326" s="372"/>
      <c r="C326" s="372"/>
      <c r="D326" s="372"/>
      <c r="E326" s="372"/>
      <c r="F326" s="373"/>
      <c r="G326" s="462"/>
      <c r="H326" s="74" t="s">
        <v>16</v>
      </c>
      <c r="I326" s="63">
        <f t="shared" si="44"/>
        <v>0</v>
      </c>
      <c r="J326" s="63">
        <f t="shared" si="44"/>
        <v>17626337</v>
      </c>
      <c r="K326" s="63">
        <f t="shared" si="44"/>
        <v>0</v>
      </c>
      <c r="L326" s="63">
        <f t="shared" si="44"/>
        <v>0</v>
      </c>
      <c r="M326" s="63">
        <f t="shared" si="44"/>
        <v>0</v>
      </c>
      <c r="N326" s="72">
        <f t="shared" si="45"/>
        <v>0</v>
      </c>
    </row>
    <row r="327" spans="1:14" s="13" customFormat="1" ht="12.75">
      <c r="A327" s="371"/>
      <c r="B327" s="372"/>
      <c r="C327" s="372"/>
      <c r="D327" s="372"/>
      <c r="E327" s="372"/>
      <c r="F327" s="373"/>
      <c r="G327" s="5" t="s">
        <v>17</v>
      </c>
      <c r="H327" s="74" t="s">
        <v>18</v>
      </c>
      <c r="I327" s="3">
        <f aca="true" t="shared" si="46" ref="I327:M328">SUM(I321,I323,I325)</f>
        <v>350000</v>
      </c>
      <c r="J327" s="3">
        <f t="shared" si="46"/>
        <v>650000</v>
      </c>
      <c r="K327" s="3">
        <f t="shared" si="46"/>
        <v>150962</v>
      </c>
      <c r="L327" s="3">
        <f t="shared" si="46"/>
        <v>360000</v>
      </c>
      <c r="M327" s="3">
        <f t="shared" si="46"/>
        <v>500962</v>
      </c>
      <c r="N327" s="139">
        <f>M327/G322</f>
        <v>0.43079238273776</v>
      </c>
    </row>
    <row r="328" spans="1:14" s="13" customFormat="1" ht="13.5" thickBot="1">
      <c r="A328" s="374"/>
      <c r="B328" s="375"/>
      <c r="C328" s="375"/>
      <c r="D328" s="375"/>
      <c r="E328" s="375"/>
      <c r="F328" s="376"/>
      <c r="G328" s="8">
        <v>591826446</v>
      </c>
      <c r="H328" s="75" t="s">
        <v>19</v>
      </c>
      <c r="I328" s="76">
        <f t="shared" si="46"/>
        <v>83042465</v>
      </c>
      <c r="J328" s="76">
        <f t="shared" si="46"/>
        <v>127372989</v>
      </c>
      <c r="K328" s="76">
        <f t="shared" si="46"/>
        <v>35286197</v>
      </c>
      <c r="L328" s="76">
        <f t="shared" si="46"/>
        <v>102957246</v>
      </c>
      <c r="M328" s="76">
        <f t="shared" si="46"/>
        <v>118328662</v>
      </c>
      <c r="N328" s="151">
        <f>M328/G325</f>
        <v>0.2003317451980079</v>
      </c>
    </row>
    <row r="329" spans="1:14" ht="12.75" customHeight="1" hidden="1">
      <c r="A329" s="482"/>
      <c r="B329" s="483"/>
      <c r="C329" s="484"/>
      <c r="D329" s="481"/>
      <c r="E329" s="36"/>
      <c r="F329" s="486"/>
      <c r="G329" s="213"/>
      <c r="H329" s="47"/>
      <c r="I329" s="32"/>
      <c r="J329" s="32"/>
      <c r="K329" s="32"/>
      <c r="L329" s="32"/>
      <c r="M329" s="32"/>
      <c r="N329" s="32"/>
    </row>
    <row r="330" spans="1:14" ht="12.75" customHeight="1" hidden="1">
      <c r="A330" s="482"/>
      <c r="B330" s="483"/>
      <c r="C330" s="484"/>
      <c r="D330" s="481"/>
      <c r="E330" s="36"/>
      <c r="F330" s="486"/>
      <c r="G330" s="485"/>
      <c r="H330" s="47" t="s">
        <v>46</v>
      </c>
      <c r="I330" s="32"/>
      <c r="J330" s="39">
        <v>2012</v>
      </c>
      <c r="K330" s="39">
        <v>2013</v>
      </c>
      <c r="L330" s="39">
        <v>2014</v>
      </c>
      <c r="M330" s="39">
        <v>2015</v>
      </c>
      <c r="N330" s="39">
        <v>2015</v>
      </c>
    </row>
    <row r="331" spans="1:14" ht="12.75" customHeight="1" hidden="1">
      <c r="A331" s="482"/>
      <c r="B331" s="483"/>
      <c r="C331" s="484"/>
      <c r="D331" s="481"/>
      <c r="E331" s="36"/>
      <c r="F331" s="486"/>
      <c r="G331" s="31"/>
      <c r="H331" s="47" t="s">
        <v>47</v>
      </c>
      <c r="I331" s="38">
        <f>I327-'[1]zał. nr 2 do URM cz. 2 '!$H$350</f>
        <v>350000</v>
      </c>
      <c r="J331" s="38">
        <f>J327-'[1]zał. nr 2 do URM cz. 2 '!$I$350</f>
        <v>357500</v>
      </c>
      <c r="K331" s="38">
        <f>K327-'[1]zał. nr 2 do URM cz. 2 '!$J$350</f>
        <v>150962</v>
      </c>
      <c r="L331" s="38">
        <f>L327-'[1]zał. nr 2 do URM cz. 2 '!$K$350</f>
        <v>360000</v>
      </c>
      <c r="M331" s="38">
        <f>M327-'[1]zał. nr 2 do URM cz. 2 '!$L$350</f>
        <v>500962</v>
      </c>
      <c r="N331" s="38">
        <f>N327-'[1]zał. nr 2 do URM cz. 2 '!$L$350</f>
        <v>0.43079238273776</v>
      </c>
    </row>
    <row r="332" spans="1:14" ht="12.75" customHeight="1" hidden="1">
      <c r="A332" s="482"/>
      <c r="B332" s="483"/>
      <c r="C332" s="484"/>
      <c r="D332" s="481"/>
      <c r="E332" s="36"/>
      <c r="F332" s="486"/>
      <c r="G332" s="31">
        <v>96246328</v>
      </c>
      <c r="H332" s="47" t="s">
        <v>48</v>
      </c>
      <c r="I332" s="38">
        <f>I328-'[1]zał. nr 2 do URM cz. 2 '!$H$351</f>
        <v>-32860714</v>
      </c>
      <c r="J332" s="38">
        <f>J328-'[1]zał. nr 2 do URM cz. 2 '!$I$351</f>
        <v>13086772</v>
      </c>
      <c r="K332" s="38">
        <f>K328-'[1]zał. nr 2 do URM cz. 2 '!$J$351</f>
        <v>-121308808</v>
      </c>
      <c r="L332" s="38">
        <f>L328-'[1]zał. nr 2 do URM cz. 2 '!$K$351</f>
        <v>-43088471</v>
      </c>
      <c r="M332" s="38">
        <f>M328-'[1]zał. nr 2 do URM cz. 2 '!$L$351</f>
        <v>106928662</v>
      </c>
      <c r="N332" s="38">
        <f>N328-'[1]zał. nr 2 do URM cz. 2 '!$L$351</f>
        <v>-11399999.799668254</v>
      </c>
    </row>
    <row r="333" spans="1:14" ht="12.75" customHeight="1" hidden="1">
      <c r="A333" s="204"/>
      <c r="B333" s="34"/>
      <c r="C333" s="35"/>
      <c r="D333" s="36"/>
      <c r="E333" s="36"/>
      <c r="F333" s="37"/>
      <c r="G333" s="31"/>
      <c r="H333" s="47"/>
      <c r="I333" s="32"/>
      <c r="J333" s="32"/>
      <c r="K333" s="32"/>
      <c r="L333" s="32"/>
      <c r="M333" s="32"/>
      <c r="N333" s="32"/>
    </row>
    <row r="334" spans="1:14" ht="12.75">
      <c r="A334" s="204"/>
      <c r="B334" s="34"/>
      <c r="C334" s="35"/>
      <c r="D334" s="36"/>
      <c r="E334" s="36"/>
      <c r="F334" s="37"/>
      <c r="G334" s="213"/>
      <c r="H334" s="47"/>
      <c r="I334" s="32"/>
      <c r="J334" s="32"/>
      <c r="K334" s="32"/>
      <c r="L334" s="32"/>
      <c r="M334" s="32"/>
      <c r="N334" s="32"/>
    </row>
    <row r="335" spans="1:14" ht="12.75">
      <c r="A335" s="339" t="s">
        <v>227</v>
      </c>
      <c r="B335" s="34"/>
      <c r="C335" s="35"/>
      <c r="D335" s="36"/>
      <c r="E335" s="36"/>
      <c r="F335" s="37"/>
      <c r="G335" s="485"/>
      <c r="H335" s="47"/>
      <c r="I335" s="32"/>
      <c r="J335" s="32"/>
      <c r="K335" s="32"/>
      <c r="L335" s="32"/>
      <c r="M335" s="32"/>
      <c r="N335" s="32"/>
    </row>
    <row r="336" spans="1:14" ht="12.75">
      <c r="A336" s="204"/>
      <c r="B336" s="34"/>
      <c r="C336" s="35"/>
      <c r="D336" s="36"/>
      <c r="E336" s="36"/>
      <c r="F336" s="37"/>
      <c r="G336" s="31"/>
      <c r="H336" s="47"/>
      <c r="I336" s="38"/>
      <c r="J336" s="38"/>
      <c r="K336" s="38"/>
      <c r="L336" s="38"/>
      <c r="M336" s="38"/>
      <c r="N336" s="38"/>
    </row>
    <row r="337" spans="1:14" ht="12.75">
      <c r="A337" s="204"/>
      <c r="B337" s="34"/>
      <c r="C337" s="35"/>
      <c r="D337" s="36"/>
      <c r="E337" s="36"/>
      <c r="F337" s="37"/>
      <c r="G337" s="31"/>
      <c r="H337" s="47"/>
      <c r="I337" s="38"/>
      <c r="J337" s="38"/>
      <c r="K337" s="38"/>
      <c r="L337" s="38"/>
      <c r="M337" s="38"/>
      <c r="N337" s="38"/>
    </row>
    <row r="338" spans="1:14" ht="12.75">
      <c r="A338" s="482"/>
      <c r="B338" s="483"/>
      <c r="C338" s="484"/>
      <c r="D338" s="481"/>
      <c r="E338" s="36"/>
      <c r="F338" s="486"/>
      <c r="G338" s="31"/>
      <c r="H338" s="47"/>
      <c r="I338" s="32"/>
      <c r="J338" s="32"/>
      <c r="K338" s="32"/>
      <c r="L338" s="32"/>
      <c r="M338" s="32"/>
      <c r="N338" s="32"/>
    </row>
    <row r="339" spans="1:14" ht="12.75">
      <c r="A339" s="482"/>
      <c r="B339" s="483"/>
      <c r="C339" s="484"/>
      <c r="D339" s="481"/>
      <c r="E339" s="36"/>
      <c r="F339" s="486"/>
      <c r="G339" s="213"/>
      <c r="H339" s="47"/>
      <c r="I339" s="32"/>
      <c r="J339" s="32"/>
      <c r="K339" s="32"/>
      <c r="L339" s="32"/>
      <c r="M339" s="32"/>
      <c r="N339" s="32"/>
    </row>
    <row r="340" spans="1:14" ht="12.75">
      <c r="A340" s="482"/>
      <c r="B340" s="483"/>
      <c r="C340" s="484"/>
      <c r="D340" s="481"/>
      <c r="E340" s="36"/>
      <c r="F340" s="486"/>
      <c r="G340" s="485"/>
      <c r="H340" s="47"/>
      <c r="I340" s="32"/>
      <c r="J340" s="32"/>
      <c r="K340" s="32"/>
      <c r="L340" s="32"/>
      <c r="M340" s="32"/>
      <c r="N340" s="32"/>
    </row>
    <row r="341" spans="1:14" ht="12.75">
      <c r="A341" s="482"/>
      <c r="B341" s="483"/>
      <c r="C341" s="484"/>
      <c r="D341" s="481"/>
      <c r="E341" s="36"/>
      <c r="F341" s="486"/>
      <c r="G341" s="31"/>
      <c r="H341" s="47"/>
      <c r="I341" s="32"/>
      <c r="J341" s="32"/>
      <c r="K341" s="32"/>
      <c r="L341" s="32"/>
      <c r="M341" s="32"/>
      <c r="N341" s="32"/>
    </row>
    <row r="342" spans="1:14" ht="12.75">
      <c r="A342" s="482"/>
      <c r="B342" s="483"/>
      <c r="C342" s="484"/>
      <c r="D342" s="481"/>
      <c r="E342" s="36"/>
      <c r="F342" s="486"/>
      <c r="G342" s="213"/>
      <c r="H342" s="47"/>
      <c r="I342" s="32"/>
      <c r="J342" s="32"/>
      <c r="K342" s="32"/>
      <c r="L342" s="32"/>
      <c r="M342" s="32"/>
      <c r="N342" s="32"/>
    </row>
    <row r="343" spans="1:14" ht="12.75">
      <c r="A343" s="482"/>
      <c r="B343" s="483"/>
      <c r="C343" s="484"/>
      <c r="D343" s="481"/>
      <c r="E343" s="36"/>
      <c r="F343" s="486"/>
      <c r="G343" s="485"/>
      <c r="H343" s="47"/>
      <c r="I343" s="32"/>
      <c r="J343" s="32"/>
      <c r="K343" s="32"/>
      <c r="L343" s="32"/>
      <c r="M343" s="32"/>
      <c r="N343" s="32"/>
    </row>
    <row r="344" spans="1:14" ht="12.75">
      <c r="A344" s="482"/>
      <c r="B344" s="483"/>
      <c r="C344" s="484"/>
      <c r="D344" s="481"/>
      <c r="E344" s="36"/>
      <c r="F344" s="486"/>
      <c r="G344" s="31"/>
      <c r="H344" s="47"/>
      <c r="I344" s="38"/>
      <c r="J344" s="38"/>
      <c r="K344" s="38"/>
      <c r="L344" s="38"/>
      <c r="M344" s="38"/>
      <c r="N344" s="38"/>
    </row>
    <row r="345" spans="1:14" ht="12.75">
      <c r="A345" s="482"/>
      <c r="B345" s="483"/>
      <c r="C345" s="484"/>
      <c r="D345" s="481"/>
      <c r="E345" s="36"/>
      <c r="F345" s="486"/>
      <c r="G345" s="31"/>
      <c r="H345" s="47"/>
      <c r="I345" s="38"/>
      <c r="J345" s="38"/>
      <c r="K345" s="38"/>
      <c r="L345" s="38"/>
      <c r="M345" s="38"/>
      <c r="N345" s="38"/>
    </row>
    <row r="346" spans="1:14" ht="12.75">
      <c r="A346" s="482"/>
      <c r="B346" s="483"/>
      <c r="C346" s="484"/>
      <c r="D346" s="481"/>
      <c r="E346" s="36"/>
      <c r="F346" s="486"/>
      <c r="G346" s="31"/>
      <c r="H346" s="47"/>
      <c r="I346" s="32"/>
      <c r="J346" s="32"/>
      <c r="K346" s="32"/>
      <c r="L346" s="32"/>
      <c r="M346" s="32"/>
      <c r="N346" s="32"/>
    </row>
    <row r="347" spans="1:14" ht="12.75">
      <c r="A347" s="482"/>
      <c r="B347" s="483"/>
      <c r="C347" s="484"/>
      <c r="D347" s="481"/>
      <c r="E347" s="36"/>
      <c r="F347" s="486"/>
      <c r="G347" s="213"/>
      <c r="H347" s="47"/>
      <c r="I347" s="32"/>
      <c r="J347" s="32"/>
      <c r="K347" s="32"/>
      <c r="L347" s="32"/>
      <c r="M347" s="32"/>
      <c r="N347" s="32"/>
    </row>
    <row r="348" spans="1:14" ht="12.75">
      <c r="A348" s="482"/>
      <c r="B348" s="483"/>
      <c r="C348" s="484"/>
      <c r="D348" s="481"/>
      <c r="E348" s="36"/>
      <c r="F348" s="486"/>
      <c r="G348" s="485"/>
      <c r="H348" s="47"/>
      <c r="I348" s="32"/>
      <c r="J348" s="32"/>
      <c r="K348" s="32"/>
      <c r="L348" s="32"/>
      <c r="M348" s="32"/>
      <c r="N348" s="32"/>
    </row>
    <row r="349" spans="1:14" ht="12.75">
      <c r="A349" s="482"/>
      <c r="B349" s="483"/>
      <c r="C349" s="484"/>
      <c r="D349" s="481"/>
      <c r="E349" s="36"/>
      <c r="F349" s="486"/>
      <c r="G349" s="31"/>
      <c r="H349" s="47"/>
      <c r="I349" s="32"/>
      <c r="J349" s="32"/>
      <c r="K349" s="32"/>
      <c r="L349" s="32"/>
      <c r="M349" s="32"/>
      <c r="N349" s="32"/>
    </row>
    <row r="350" spans="1:14" ht="12.75">
      <c r="A350" s="482"/>
      <c r="B350" s="483"/>
      <c r="C350" s="484"/>
      <c r="D350" s="481"/>
      <c r="E350" s="36"/>
      <c r="F350" s="486"/>
      <c r="G350" s="213"/>
      <c r="H350" s="47"/>
      <c r="I350" s="32"/>
      <c r="J350" s="32"/>
      <c r="K350" s="32"/>
      <c r="L350" s="32"/>
      <c r="M350" s="32"/>
      <c r="N350" s="32"/>
    </row>
    <row r="351" spans="1:14" ht="12.75">
      <c r="A351" s="482"/>
      <c r="B351" s="483"/>
      <c r="C351" s="484"/>
      <c r="D351" s="481"/>
      <c r="E351" s="36"/>
      <c r="F351" s="486"/>
      <c r="G351" s="485"/>
      <c r="H351" s="47"/>
      <c r="I351" s="32"/>
      <c r="J351" s="32"/>
      <c r="K351" s="32"/>
      <c r="L351" s="32"/>
      <c r="M351" s="32"/>
      <c r="N351" s="32"/>
    </row>
    <row r="352" spans="1:14" ht="12.75">
      <c r="A352" s="482"/>
      <c r="B352" s="483"/>
      <c r="C352" s="484"/>
      <c r="D352" s="481"/>
      <c r="E352" s="36"/>
      <c r="F352" s="486"/>
      <c r="G352" s="31"/>
      <c r="H352" s="47"/>
      <c r="I352" s="38"/>
      <c r="J352" s="38"/>
      <c r="K352" s="38"/>
      <c r="L352" s="38"/>
      <c r="M352" s="38"/>
      <c r="N352" s="38"/>
    </row>
    <row r="353" spans="1:14" ht="12.75">
      <c r="A353" s="482"/>
      <c r="B353" s="483"/>
      <c r="C353" s="484"/>
      <c r="D353" s="481"/>
      <c r="E353" s="36"/>
      <c r="F353" s="486"/>
      <c r="G353" s="31"/>
      <c r="H353" s="47"/>
      <c r="I353" s="38"/>
      <c r="J353" s="38"/>
      <c r="K353" s="38"/>
      <c r="L353" s="38"/>
      <c r="M353" s="38"/>
      <c r="N353" s="38"/>
    </row>
    <row r="354" spans="1:14" ht="12.75">
      <c r="A354" s="482"/>
      <c r="B354" s="483"/>
      <c r="C354" s="484"/>
      <c r="D354" s="481"/>
      <c r="E354" s="36"/>
      <c r="F354" s="486"/>
      <c r="G354" s="31"/>
      <c r="H354" s="47"/>
      <c r="I354" s="32"/>
      <c r="J354" s="32"/>
      <c r="K354" s="32"/>
      <c r="L354" s="32"/>
      <c r="M354" s="32"/>
      <c r="N354" s="32"/>
    </row>
    <row r="355" spans="1:14" ht="12.75">
      <c r="A355" s="482"/>
      <c r="B355" s="483"/>
      <c r="C355" s="484"/>
      <c r="D355" s="481"/>
      <c r="E355" s="36"/>
      <c r="F355" s="486"/>
      <c r="G355" s="213"/>
      <c r="H355" s="47"/>
      <c r="I355" s="32"/>
      <c r="J355" s="32"/>
      <c r="K355" s="32"/>
      <c r="L355" s="32"/>
      <c r="M355" s="32"/>
      <c r="N355" s="32"/>
    </row>
    <row r="356" spans="1:14" ht="12.75">
      <c r="A356" s="482"/>
      <c r="B356" s="483"/>
      <c r="C356" s="484"/>
      <c r="D356" s="481"/>
      <c r="E356" s="36"/>
      <c r="F356" s="486"/>
      <c r="G356" s="485"/>
      <c r="H356" s="47"/>
      <c r="I356" s="32"/>
      <c r="J356" s="32"/>
      <c r="K356" s="32"/>
      <c r="L356" s="32"/>
      <c r="M356" s="32"/>
      <c r="N356" s="32"/>
    </row>
    <row r="357" spans="1:14" ht="12.75">
      <c r="A357" s="482"/>
      <c r="B357" s="483"/>
      <c r="C357" s="484"/>
      <c r="D357" s="481"/>
      <c r="E357" s="36"/>
      <c r="F357" s="486"/>
      <c r="G357" s="31"/>
      <c r="H357" s="47"/>
      <c r="I357" s="32"/>
      <c r="J357" s="32"/>
      <c r="K357" s="32"/>
      <c r="L357" s="32"/>
      <c r="M357" s="32"/>
      <c r="N357" s="32"/>
    </row>
    <row r="358" spans="1:14" ht="12.75">
      <c r="A358" s="482"/>
      <c r="B358" s="483"/>
      <c r="C358" s="484"/>
      <c r="D358" s="481"/>
      <c r="E358" s="36"/>
      <c r="F358" s="486"/>
      <c r="G358" s="213"/>
      <c r="H358" s="47"/>
      <c r="I358" s="32"/>
      <c r="J358" s="32"/>
      <c r="K358" s="32"/>
      <c r="L358" s="32"/>
      <c r="M358" s="32"/>
      <c r="N358" s="32"/>
    </row>
    <row r="359" spans="1:14" ht="12.75">
      <c r="A359" s="482"/>
      <c r="B359" s="483"/>
      <c r="C359" s="484"/>
      <c r="D359" s="481"/>
      <c r="E359" s="36"/>
      <c r="F359" s="486"/>
      <c r="G359" s="485"/>
      <c r="H359" s="47"/>
      <c r="I359" s="32"/>
      <c r="J359" s="32"/>
      <c r="K359" s="32"/>
      <c r="L359" s="32"/>
      <c r="M359" s="32"/>
      <c r="N359" s="32"/>
    </row>
    <row r="360" spans="1:14" ht="12.75">
      <c r="A360" s="482"/>
      <c r="B360" s="483"/>
      <c r="C360" s="484"/>
      <c r="D360" s="481"/>
      <c r="E360" s="36"/>
      <c r="F360" s="486"/>
      <c r="G360" s="31"/>
      <c r="H360" s="47"/>
      <c r="I360" s="38"/>
      <c r="J360" s="38"/>
      <c r="K360" s="38"/>
      <c r="L360" s="38"/>
      <c r="M360" s="38"/>
      <c r="N360" s="38"/>
    </row>
    <row r="361" spans="1:14" ht="12.75">
      <c r="A361" s="482"/>
      <c r="B361" s="483"/>
      <c r="C361" s="484"/>
      <c r="D361" s="481"/>
      <c r="E361" s="36"/>
      <c r="F361" s="486"/>
      <c r="G361" s="31"/>
      <c r="H361" s="47"/>
      <c r="I361" s="38"/>
      <c r="J361" s="38"/>
      <c r="K361" s="38"/>
      <c r="L361" s="38"/>
      <c r="M361" s="38"/>
      <c r="N361" s="38"/>
    </row>
    <row r="362" spans="1:14" ht="12.75">
      <c r="A362" s="482"/>
      <c r="B362" s="483"/>
      <c r="C362" s="484"/>
      <c r="D362" s="481"/>
      <c r="E362" s="36"/>
      <c r="F362" s="486"/>
      <c r="G362" s="31"/>
      <c r="H362" s="47"/>
      <c r="I362" s="32"/>
      <c r="J362" s="32"/>
      <c r="K362" s="32"/>
      <c r="L362" s="32"/>
      <c r="M362" s="32"/>
      <c r="N362" s="32"/>
    </row>
    <row r="363" spans="1:14" ht="12.75">
      <c r="A363" s="482"/>
      <c r="B363" s="483"/>
      <c r="C363" s="484"/>
      <c r="D363" s="481"/>
      <c r="E363" s="36"/>
      <c r="F363" s="486"/>
      <c r="G363" s="213"/>
      <c r="H363" s="47"/>
      <c r="I363" s="32"/>
      <c r="J363" s="32"/>
      <c r="K363" s="32"/>
      <c r="L363" s="32"/>
      <c r="M363" s="32"/>
      <c r="N363" s="32"/>
    </row>
    <row r="364" spans="1:14" ht="12.75">
      <c r="A364" s="482"/>
      <c r="B364" s="483"/>
      <c r="C364" s="484"/>
      <c r="D364" s="481"/>
      <c r="E364" s="36"/>
      <c r="F364" s="486"/>
      <c r="G364" s="485"/>
      <c r="H364" s="47"/>
      <c r="I364" s="32"/>
      <c r="J364" s="32"/>
      <c r="K364" s="32"/>
      <c r="L364" s="32"/>
      <c r="M364" s="32"/>
      <c r="N364" s="32"/>
    </row>
    <row r="365" spans="1:14" ht="12.75">
      <c r="A365" s="482"/>
      <c r="B365" s="483"/>
      <c r="C365" s="484"/>
      <c r="D365" s="481"/>
      <c r="E365" s="36"/>
      <c r="F365" s="486"/>
      <c r="G365" s="31"/>
      <c r="H365" s="47"/>
      <c r="I365" s="32"/>
      <c r="J365" s="32"/>
      <c r="K365" s="32"/>
      <c r="L365" s="32"/>
      <c r="M365" s="32"/>
      <c r="N365" s="32"/>
    </row>
    <row r="366" spans="1:14" ht="12.75">
      <c r="A366" s="482"/>
      <c r="B366" s="483"/>
      <c r="C366" s="484"/>
      <c r="D366" s="481"/>
      <c r="E366" s="36"/>
      <c r="F366" s="486"/>
      <c r="G366" s="213"/>
      <c r="H366" s="47"/>
      <c r="I366" s="32"/>
      <c r="J366" s="32"/>
      <c r="K366" s="32"/>
      <c r="L366" s="32"/>
      <c r="M366" s="32"/>
      <c r="N366" s="32"/>
    </row>
    <row r="367" spans="1:14" ht="12.75">
      <c r="A367" s="482"/>
      <c r="B367" s="483"/>
      <c r="C367" s="484"/>
      <c r="D367" s="481"/>
      <c r="E367" s="36"/>
      <c r="F367" s="486"/>
      <c r="G367" s="485"/>
      <c r="H367" s="47"/>
      <c r="I367" s="32"/>
      <c r="J367" s="32"/>
      <c r="K367" s="32"/>
      <c r="L367" s="32"/>
      <c r="M367" s="32"/>
      <c r="N367" s="32"/>
    </row>
    <row r="368" spans="1:14" ht="12.75">
      <c r="A368" s="482"/>
      <c r="B368" s="483"/>
      <c r="C368" s="484"/>
      <c r="D368" s="481"/>
      <c r="E368" s="36"/>
      <c r="F368" s="486"/>
      <c r="G368" s="31"/>
      <c r="H368" s="47"/>
      <c r="I368" s="38"/>
      <c r="J368" s="38"/>
      <c r="K368" s="38"/>
      <c r="L368" s="38"/>
      <c r="M368" s="38"/>
      <c r="N368" s="38"/>
    </row>
    <row r="369" spans="1:14" ht="12.75">
      <c r="A369" s="482"/>
      <c r="B369" s="483"/>
      <c r="C369" s="484"/>
      <c r="D369" s="481"/>
      <c r="E369" s="36"/>
      <c r="F369" s="486"/>
      <c r="G369" s="31"/>
      <c r="H369" s="47"/>
      <c r="I369" s="38"/>
      <c r="J369" s="38"/>
      <c r="K369" s="38"/>
      <c r="L369" s="38"/>
      <c r="M369" s="38"/>
      <c r="N369" s="38"/>
    </row>
    <row r="370" spans="1:14" ht="12.75">
      <c r="A370" s="482"/>
      <c r="B370" s="483"/>
      <c r="C370" s="484"/>
      <c r="D370" s="481"/>
      <c r="E370" s="36"/>
      <c r="F370" s="486"/>
      <c r="G370" s="31"/>
      <c r="H370" s="47"/>
      <c r="I370" s="32"/>
      <c r="J370" s="32"/>
      <c r="K370" s="32"/>
      <c r="L370" s="32"/>
      <c r="M370" s="32"/>
      <c r="N370" s="32"/>
    </row>
    <row r="371" spans="1:14" ht="12.75">
      <c r="A371" s="482"/>
      <c r="B371" s="483"/>
      <c r="C371" s="484"/>
      <c r="D371" s="481"/>
      <c r="E371" s="36"/>
      <c r="F371" s="486"/>
      <c r="G371" s="213"/>
      <c r="H371" s="47"/>
      <c r="I371" s="32"/>
      <c r="J371" s="32"/>
      <c r="K371" s="32"/>
      <c r="L371" s="32"/>
      <c r="M371" s="32"/>
      <c r="N371" s="32"/>
    </row>
    <row r="372" spans="1:14" ht="12.75">
      <c r="A372" s="482"/>
      <c r="B372" s="483"/>
      <c r="C372" s="484"/>
      <c r="D372" s="481"/>
      <c r="E372" s="36"/>
      <c r="F372" s="486"/>
      <c r="G372" s="485"/>
      <c r="H372" s="47"/>
      <c r="I372" s="32"/>
      <c r="J372" s="32"/>
      <c r="K372" s="32"/>
      <c r="L372" s="32"/>
      <c r="M372" s="32"/>
      <c r="N372" s="32"/>
    </row>
    <row r="373" spans="1:14" ht="12.75">
      <c r="A373" s="482"/>
      <c r="B373" s="483"/>
      <c r="C373" s="484"/>
      <c r="D373" s="481"/>
      <c r="E373" s="36"/>
      <c r="F373" s="486"/>
      <c r="G373" s="31"/>
      <c r="H373" s="47"/>
      <c r="I373" s="32"/>
      <c r="J373" s="32"/>
      <c r="K373" s="32"/>
      <c r="L373" s="32"/>
      <c r="M373" s="32"/>
      <c r="N373" s="32"/>
    </row>
    <row r="374" spans="1:14" ht="12.75">
      <c r="A374" s="482"/>
      <c r="B374" s="483"/>
      <c r="C374" s="484"/>
      <c r="D374" s="481"/>
      <c r="E374" s="36"/>
      <c r="F374" s="486"/>
      <c r="G374" s="213"/>
      <c r="H374" s="47"/>
      <c r="I374" s="32"/>
      <c r="J374" s="32"/>
      <c r="K374" s="32"/>
      <c r="L374" s="32"/>
      <c r="M374" s="32"/>
      <c r="N374" s="32"/>
    </row>
    <row r="375" spans="1:14" ht="12.75">
      <c r="A375" s="482"/>
      <c r="B375" s="483"/>
      <c r="C375" s="484"/>
      <c r="D375" s="481"/>
      <c r="E375" s="36"/>
      <c r="F375" s="486"/>
      <c r="G375" s="485"/>
      <c r="H375" s="47"/>
      <c r="I375" s="32"/>
      <c r="J375" s="32"/>
      <c r="K375" s="32"/>
      <c r="L375" s="32"/>
      <c r="M375" s="32"/>
      <c r="N375" s="32"/>
    </row>
    <row r="376" spans="1:14" ht="12.75">
      <c r="A376" s="482"/>
      <c r="B376" s="483"/>
      <c r="C376" s="484"/>
      <c r="D376" s="481"/>
      <c r="E376" s="36"/>
      <c r="F376" s="486"/>
      <c r="G376" s="31"/>
      <c r="H376" s="47"/>
      <c r="I376" s="38"/>
      <c r="J376" s="38"/>
      <c r="K376" s="38"/>
      <c r="L376" s="38"/>
      <c r="M376" s="38"/>
      <c r="N376" s="38"/>
    </row>
    <row r="377" spans="1:14" ht="12.75">
      <c r="A377" s="482"/>
      <c r="B377" s="483"/>
      <c r="C377" s="484"/>
      <c r="D377" s="481"/>
      <c r="E377" s="36"/>
      <c r="F377" s="486"/>
      <c r="G377" s="31"/>
      <c r="H377" s="47"/>
      <c r="I377" s="38"/>
      <c r="J377" s="38"/>
      <c r="K377" s="38"/>
      <c r="L377" s="38"/>
      <c r="M377" s="38"/>
      <c r="N377" s="38"/>
    </row>
    <row r="378" spans="1:14" ht="12.75">
      <c r="A378" s="482"/>
      <c r="B378" s="483"/>
      <c r="C378" s="484"/>
      <c r="D378" s="481"/>
      <c r="E378" s="36"/>
      <c r="F378" s="486"/>
      <c r="G378" s="31"/>
      <c r="H378" s="47"/>
      <c r="I378" s="32"/>
      <c r="J378" s="32"/>
      <c r="K378" s="32"/>
      <c r="L378" s="32"/>
      <c r="M378" s="32"/>
      <c r="N378" s="32"/>
    </row>
    <row r="379" spans="1:14" ht="12.75">
      <c r="A379" s="482"/>
      <c r="B379" s="483"/>
      <c r="C379" s="484"/>
      <c r="D379" s="481"/>
      <c r="E379" s="36"/>
      <c r="F379" s="486"/>
      <c r="G379" s="213"/>
      <c r="H379" s="47"/>
      <c r="I379" s="32"/>
      <c r="J379" s="32"/>
      <c r="K379" s="32"/>
      <c r="L379" s="32"/>
      <c r="M379" s="32"/>
      <c r="N379" s="32"/>
    </row>
    <row r="380" spans="1:14" ht="12.75">
      <c r="A380" s="482"/>
      <c r="B380" s="483"/>
      <c r="C380" s="484"/>
      <c r="D380" s="481"/>
      <c r="E380" s="36"/>
      <c r="F380" s="486"/>
      <c r="G380" s="485"/>
      <c r="H380" s="47"/>
      <c r="I380" s="32"/>
      <c r="J380" s="32"/>
      <c r="K380" s="32"/>
      <c r="L380" s="32"/>
      <c r="M380" s="32"/>
      <c r="N380" s="32"/>
    </row>
    <row r="381" spans="1:14" ht="12.75">
      <c r="A381" s="482"/>
      <c r="B381" s="483"/>
      <c r="C381" s="484"/>
      <c r="D381" s="481"/>
      <c r="E381" s="36"/>
      <c r="F381" s="486"/>
      <c r="G381" s="31"/>
      <c r="H381" s="47"/>
      <c r="I381" s="32"/>
      <c r="J381" s="32"/>
      <c r="K381" s="32"/>
      <c r="L381" s="32"/>
      <c r="M381" s="32"/>
      <c r="N381" s="32"/>
    </row>
    <row r="382" spans="1:14" ht="12.75">
      <c r="A382" s="482"/>
      <c r="B382" s="483"/>
      <c r="C382" s="484"/>
      <c r="D382" s="481"/>
      <c r="E382" s="36"/>
      <c r="F382" s="486"/>
      <c r="G382" s="213"/>
      <c r="H382" s="47"/>
      <c r="I382" s="32"/>
      <c r="J382" s="32"/>
      <c r="K382" s="32"/>
      <c r="L382" s="32"/>
      <c r="M382" s="32"/>
      <c r="N382" s="32"/>
    </row>
    <row r="383" spans="1:14" ht="12.75">
      <c r="A383" s="482"/>
      <c r="B383" s="483"/>
      <c r="C383" s="484"/>
      <c r="D383" s="481"/>
      <c r="E383" s="36"/>
      <c r="F383" s="486"/>
      <c r="G383" s="485"/>
      <c r="H383" s="47"/>
      <c r="I383" s="32"/>
      <c r="J383" s="32"/>
      <c r="K383" s="32"/>
      <c r="L383" s="32"/>
      <c r="M383" s="32"/>
      <c r="N383" s="32"/>
    </row>
    <row r="384" spans="1:14" ht="12.75">
      <c r="A384" s="482"/>
      <c r="B384" s="483"/>
      <c r="C384" s="484"/>
      <c r="D384" s="481"/>
      <c r="E384" s="36"/>
      <c r="F384" s="486"/>
      <c r="G384" s="31"/>
      <c r="H384" s="47"/>
      <c r="I384" s="38"/>
      <c r="J384" s="38"/>
      <c r="K384" s="38"/>
      <c r="L384" s="38"/>
      <c r="M384" s="38"/>
      <c r="N384" s="38"/>
    </row>
    <row r="385" spans="1:14" ht="12.75">
      <c r="A385" s="482"/>
      <c r="B385" s="483"/>
      <c r="C385" s="484"/>
      <c r="D385" s="481"/>
      <c r="E385" s="36"/>
      <c r="F385" s="486"/>
      <c r="G385" s="31"/>
      <c r="H385" s="47"/>
      <c r="I385" s="38"/>
      <c r="J385" s="38"/>
      <c r="K385" s="38"/>
      <c r="L385" s="38"/>
      <c r="M385" s="38"/>
      <c r="N385" s="38"/>
    </row>
    <row r="386" spans="1:14" ht="12.75">
      <c r="A386" s="482"/>
      <c r="B386" s="483"/>
      <c r="C386" s="484"/>
      <c r="D386" s="481"/>
      <c r="E386" s="36"/>
      <c r="F386" s="486"/>
      <c r="G386" s="31"/>
      <c r="H386" s="47"/>
      <c r="I386" s="32"/>
      <c r="J386" s="32"/>
      <c r="K386" s="32"/>
      <c r="L386" s="32"/>
      <c r="M386" s="32"/>
      <c r="N386" s="32"/>
    </row>
    <row r="387" spans="1:14" ht="12.75">
      <c r="A387" s="482"/>
      <c r="B387" s="483"/>
      <c r="C387" s="484"/>
      <c r="D387" s="481"/>
      <c r="E387" s="36"/>
      <c r="F387" s="486"/>
      <c r="G387" s="213"/>
      <c r="H387" s="47"/>
      <c r="I387" s="32"/>
      <c r="J387" s="32"/>
      <c r="K387" s="32"/>
      <c r="L387" s="32"/>
      <c r="M387" s="32"/>
      <c r="N387" s="32"/>
    </row>
    <row r="388" spans="1:14" ht="12.75">
      <c r="A388" s="482"/>
      <c r="B388" s="483"/>
      <c r="C388" s="484"/>
      <c r="D388" s="481"/>
      <c r="E388" s="36"/>
      <c r="F388" s="486"/>
      <c r="G388" s="485"/>
      <c r="H388" s="47"/>
      <c r="I388" s="32"/>
      <c r="J388" s="32"/>
      <c r="K388" s="32"/>
      <c r="L388" s="32"/>
      <c r="M388" s="32"/>
      <c r="N388" s="32"/>
    </row>
    <row r="389" spans="1:14" ht="12.75">
      <c r="A389" s="482"/>
      <c r="B389" s="483"/>
      <c r="C389" s="484"/>
      <c r="D389" s="481"/>
      <c r="E389" s="36"/>
      <c r="F389" s="486"/>
      <c r="G389" s="31"/>
      <c r="H389" s="47"/>
      <c r="I389" s="32"/>
      <c r="J389" s="32"/>
      <c r="K389" s="32"/>
      <c r="L389" s="32"/>
      <c r="M389" s="32"/>
      <c r="N389" s="32"/>
    </row>
    <row r="390" spans="1:14" ht="12.75">
      <c r="A390" s="482"/>
      <c r="B390" s="483"/>
      <c r="C390" s="484"/>
      <c r="D390" s="481"/>
      <c r="E390" s="36"/>
      <c r="F390" s="486"/>
      <c r="G390" s="213"/>
      <c r="H390" s="47"/>
      <c r="I390" s="32"/>
      <c r="J390" s="32"/>
      <c r="K390" s="32"/>
      <c r="L390" s="32"/>
      <c r="M390" s="32"/>
      <c r="N390" s="32"/>
    </row>
    <row r="391" spans="1:14" ht="12.75">
      <c r="A391" s="482"/>
      <c r="B391" s="483"/>
      <c r="C391" s="484"/>
      <c r="D391" s="481"/>
      <c r="E391" s="36"/>
      <c r="F391" s="486"/>
      <c r="G391" s="485"/>
      <c r="H391" s="47"/>
      <c r="I391" s="32"/>
      <c r="J391" s="32"/>
      <c r="K391" s="32"/>
      <c r="L391" s="32"/>
      <c r="M391" s="32"/>
      <c r="N391" s="32"/>
    </row>
    <row r="392" spans="1:14" ht="12.75">
      <c r="A392" s="482"/>
      <c r="B392" s="483"/>
      <c r="C392" s="484"/>
      <c r="D392" s="481"/>
      <c r="E392" s="36"/>
      <c r="F392" s="486"/>
      <c r="G392" s="31"/>
      <c r="H392" s="47"/>
      <c r="I392" s="38"/>
      <c r="J392" s="38"/>
      <c r="K392" s="38"/>
      <c r="L392" s="38"/>
      <c r="M392" s="38"/>
      <c r="N392" s="38"/>
    </row>
    <row r="393" spans="1:14" ht="12.75">
      <c r="A393" s="482"/>
      <c r="B393" s="483"/>
      <c r="C393" s="484"/>
      <c r="D393" s="481"/>
      <c r="E393" s="36"/>
      <c r="F393" s="486"/>
      <c r="G393" s="31"/>
      <c r="H393" s="47"/>
      <c r="I393" s="38"/>
      <c r="J393" s="38"/>
      <c r="K393" s="38"/>
      <c r="L393" s="38"/>
      <c r="M393" s="38"/>
      <c r="N393" s="38"/>
    </row>
    <row r="394" spans="1:14" ht="12.75">
      <c r="A394" s="482"/>
      <c r="B394" s="483"/>
      <c r="C394" s="484"/>
      <c r="D394" s="481"/>
      <c r="E394" s="36"/>
      <c r="F394" s="486"/>
      <c r="G394" s="31"/>
      <c r="H394" s="47"/>
      <c r="I394" s="32"/>
      <c r="J394" s="32"/>
      <c r="K394" s="32"/>
      <c r="L394" s="32"/>
      <c r="M394" s="32"/>
      <c r="N394" s="32"/>
    </row>
    <row r="395" spans="1:14" ht="12.75">
      <c r="A395" s="482"/>
      <c r="B395" s="483"/>
      <c r="C395" s="484"/>
      <c r="D395" s="481"/>
      <c r="E395" s="36"/>
      <c r="F395" s="486"/>
      <c r="G395" s="213"/>
      <c r="H395" s="47"/>
      <c r="I395" s="32"/>
      <c r="J395" s="32"/>
      <c r="K395" s="32"/>
      <c r="L395" s="32"/>
      <c r="M395" s="32"/>
      <c r="N395" s="32"/>
    </row>
    <row r="396" spans="1:14" ht="12.75">
      <c r="A396" s="482"/>
      <c r="B396" s="483"/>
      <c r="C396" s="484"/>
      <c r="D396" s="481"/>
      <c r="E396" s="36"/>
      <c r="F396" s="486"/>
      <c r="G396" s="485"/>
      <c r="H396" s="47"/>
      <c r="I396" s="32"/>
      <c r="J396" s="32"/>
      <c r="K396" s="32"/>
      <c r="L396" s="32"/>
      <c r="M396" s="32"/>
      <c r="N396" s="32"/>
    </row>
    <row r="397" spans="1:14" ht="12.75">
      <c r="A397" s="482"/>
      <c r="B397" s="483"/>
      <c r="C397" s="484"/>
      <c r="D397" s="481"/>
      <c r="E397" s="36"/>
      <c r="F397" s="486"/>
      <c r="G397" s="31"/>
      <c r="H397" s="47"/>
      <c r="I397" s="32"/>
      <c r="J397" s="32"/>
      <c r="K397" s="32"/>
      <c r="L397" s="32"/>
      <c r="M397" s="32"/>
      <c r="N397" s="32"/>
    </row>
    <row r="398" spans="1:14" ht="12.75">
      <c r="A398" s="482"/>
      <c r="B398" s="483"/>
      <c r="C398" s="484"/>
      <c r="D398" s="481"/>
      <c r="E398" s="36"/>
      <c r="F398" s="486"/>
      <c r="G398" s="213"/>
      <c r="H398" s="47"/>
      <c r="I398" s="32"/>
      <c r="J398" s="32"/>
      <c r="K398" s="32"/>
      <c r="L398" s="32"/>
      <c r="M398" s="32"/>
      <c r="N398" s="32"/>
    </row>
    <row r="399" spans="1:14" ht="12.75">
      <c r="A399" s="482"/>
      <c r="B399" s="483"/>
      <c r="C399" s="484"/>
      <c r="D399" s="481"/>
      <c r="E399" s="36"/>
      <c r="F399" s="486"/>
      <c r="G399" s="485"/>
      <c r="H399" s="47"/>
      <c r="I399" s="32"/>
      <c r="J399" s="32"/>
      <c r="K399" s="32"/>
      <c r="L399" s="32"/>
      <c r="M399" s="32"/>
      <c r="N399" s="32"/>
    </row>
    <row r="400" spans="1:14" ht="12.75">
      <c r="A400" s="482"/>
      <c r="B400" s="483"/>
      <c r="C400" s="484"/>
      <c r="D400" s="481"/>
      <c r="E400" s="36"/>
      <c r="F400" s="486"/>
      <c r="G400" s="31"/>
      <c r="H400" s="47"/>
      <c r="I400" s="38"/>
      <c r="J400" s="38"/>
      <c r="K400" s="38"/>
      <c r="L400" s="38"/>
      <c r="M400" s="38"/>
      <c r="N400" s="38"/>
    </row>
    <row r="401" spans="1:14" ht="12.75">
      <c r="A401" s="482"/>
      <c r="B401" s="483"/>
      <c r="C401" s="484"/>
      <c r="D401" s="481"/>
      <c r="E401" s="36"/>
      <c r="F401" s="486"/>
      <c r="G401" s="31"/>
      <c r="H401" s="47"/>
      <c r="I401" s="38"/>
      <c r="J401" s="38"/>
      <c r="K401" s="38"/>
      <c r="L401" s="38"/>
      <c r="M401" s="38"/>
      <c r="N401" s="38"/>
    </row>
    <row r="402" spans="1:14" ht="12.75">
      <c r="A402" s="482"/>
      <c r="B402" s="483"/>
      <c r="C402" s="484"/>
      <c r="D402" s="481"/>
      <c r="E402" s="36"/>
      <c r="F402" s="486"/>
      <c r="G402" s="31"/>
      <c r="H402" s="47"/>
      <c r="I402" s="32"/>
      <c r="J402" s="32"/>
      <c r="K402" s="32"/>
      <c r="L402" s="32"/>
      <c r="M402" s="32"/>
      <c r="N402" s="32"/>
    </row>
    <row r="403" spans="1:14" ht="12.75">
      <c r="A403" s="482"/>
      <c r="B403" s="483"/>
      <c r="C403" s="484"/>
      <c r="D403" s="481"/>
      <c r="E403" s="36"/>
      <c r="F403" s="486"/>
      <c r="G403" s="213"/>
      <c r="H403" s="47"/>
      <c r="I403" s="32"/>
      <c r="J403" s="32"/>
      <c r="K403" s="32"/>
      <c r="L403" s="32"/>
      <c r="M403" s="32"/>
      <c r="N403" s="32"/>
    </row>
    <row r="404" spans="1:14" ht="12.75">
      <c r="A404" s="482"/>
      <c r="B404" s="483"/>
      <c r="C404" s="484"/>
      <c r="D404" s="481"/>
      <c r="E404" s="36"/>
      <c r="F404" s="486"/>
      <c r="G404" s="485"/>
      <c r="H404" s="47"/>
      <c r="I404" s="32"/>
      <c r="J404" s="32"/>
      <c r="K404" s="32"/>
      <c r="L404" s="32"/>
      <c r="M404" s="32"/>
      <c r="N404" s="32"/>
    </row>
    <row r="405" spans="1:14" ht="12.75">
      <c r="A405" s="482"/>
      <c r="B405" s="483"/>
      <c r="C405" s="484"/>
      <c r="D405" s="481"/>
      <c r="E405" s="36"/>
      <c r="F405" s="486"/>
      <c r="G405" s="31"/>
      <c r="H405" s="47"/>
      <c r="I405" s="32"/>
      <c r="J405" s="32"/>
      <c r="K405" s="32"/>
      <c r="L405" s="32"/>
      <c r="M405" s="32"/>
      <c r="N405" s="32"/>
    </row>
    <row r="406" spans="1:14" ht="12.75">
      <c r="A406" s="482"/>
      <c r="B406" s="483"/>
      <c r="C406" s="484"/>
      <c r="D406" s="481"/>
      <c r="E406" s="36"/>
      <c r="F406" s="486"/>
      <c r="G406" s="213"/>
      <c r="H406" s="47"/>
      <c r="I406" s="32"/>
      <c r="J406" s="32"/>
      <c r="K406" s="32"/>
      <c r="L406" s="32"/>
      <c r="M406" s="32"/>
      <c r="N406" s="32"/>
    </row>
    <row r="407" spans="1:14" ht="12.75">
      <c r="A407" s="482"/>
      <c r="B407" s="483"/>
      <c r="C407" s="484"/>
      <c r="D407" s="481"/>
      <c r="E407" s="36"/>
      <c r="F407" s="486"/>
      <c r="G407" s="485"/>
      <c r="H407" s="47"/>
      <c r="I407" s="32"/>
      <c r="J407" s="32"/>
      <c r="K407" s="32"/>
      <c r="L407" s="32"/>
      <c r="M407" s="32"/>
      <c r="N407" s="32"/>
    </row>
    <row r="408" spans="1:14" ht="12.75">
      <c r="A408" s="482"/>
      <c r="B408" s="483"/>
      <c r="C408" s="484"/>
      <c r="D408" s="481"/>
      <c r="E408" s="36"/>
      <c r="F408" s="486"/>
      <c r="G408" s="31"/>
      <c r="H408" s="47"/>
      <c r="I408" s="38"/>
      <c r="J408" s="38"/>
      <c r="K408" s="38"/>
      <c r="L408" s="38"/>
      <c r="M408" s="38"/>
      <c r="N408" s="38"/>
    </row>
    <row r="409" spans="1:14" ht="12.75">
      <c r="A409" s="482"/>
      <c r="B409" s="483"/>
      <c r="C409" s="484"/>
      <c r="D409" s="481"/>
      <c r="E409" s="36"/>
      <c r="F409" s="486"/>
      <c r="G409" s="31"/>
      <c r="H409" s="47"/>
      <c r="I409" s="38"/>
      <c r="J409" s="38"/>
      <c r="K409" s="38"/>
      <c r="L409" s="38"/>
      <c r="M409" s="38"/>
      <c r="N409" s="38"/>
    </row>
    <row r="410" spans="1:14" ht="12.75">
      <c r="A410" s="482"/>
      <c r="B410" s="483"/>
      <c r="C410" s="484"/>
      <c r="D410" s="481"/>
      <c r="E410" s="36"/>
      <c r="F410" s="486"/>
      <c r="G410" s="31"/>
      <c r="H410" s="47"/>
      <c r="I410" s="32"/>
      <c r="J410" s="32"/>
      <c r="K410" s="32"/>
      <c r="L410" s="32"/>
      <c r="M410" s="32"/>
      <c r="N410" s="32"/>
    </row>
    <row r="411" spans="1:14" ht="12.75">
      <c r="A411" s="482"/>
      <c r="B411" s="483"/>
      <c r="C411" s="484"/>
      <c r="D411" s="481"/>
      <c r="E411" s="36"/>
      <c r="F411" s="486"/>
      <c r="G411" s="213"/>
      <c r="H411" s="47"/>
      <c r="I411" s="32"/>
      <c r="J411" s="32"/>
      <c r="K411" s="32"/>
      <c r="L411" s="32"/>
      <c r="M411" s="32"/>
      <c r="N411" s="32"/>
    </row>
    <row r="412" spans="1:14" ht="12.75">
      <c r="A412" s="482"/>
      <c r="B412" s="483"/>
      <c r="C412" s="484"/>
      <c r="D412" s="481"/>
      <c r="E412" s="36"/>
      <c r="F412" s="486"/>
      <c r="G412" s="485"/>
      <c r="H412" s="47"/>
      <c r="I412" s="32"/>
      <c r="J412" s="32"/>
      <c r="K412" s="32"/>
      <c r="L412" s="32"/>
      <c r="M412" s="32"/>
      <c r="N412" s="32"/>
    </row>
    <row r="413" spans="1:14" ht="12.75">
      <c r="A413" s="482"/>
      <c r="B413" s="483"/>
      <c r="C413" s="484"/>
      <c r="D413" s="481"/>
      <c r="E413" s="36"/>
      <c r="F413" s="486"/>
      <c r="G413" s="31"/>
      <c r="H413" s="47"/>
      <c r="I413" s="32"/>
      <c r="J413" s="32"/>
      <c r="K413" s="32"/>
      <c r="L413" s="32"/>
      <c r="M413" s="32"/>
      <c r="N413" s="32"/>
    </row>
    <row r="414" spans="1:14" ht="12.75">
      <c r="A414" s="482"/>
      <c r="B414" s="483"/>
      <c r="C414" s="484"/>
      <c r="D414" s="481"/>
      <c r="E414" s="36"/>
      <c r="F414" s="486"/>
      <c r="G414" s="213"/>
      <c r="H414" s="47"/>
      <c r="I414" s="32"/>
      <c r="J414" s="32"/>
      <c r="K414" s="32"/>
      <c r="L414" s="32"/>
      <c r="M414" s="32"/>
      <c r="N414" s="32"/>
    </row>
    <row r="415" spans="1:14" ht="12.75">
      <c r="A415" s="482"/>
      <c r="B415" s="483"/>
      <c r="C415" s="484"/>
      <c r="D415" s="481"/>
      <c r="E415" s="36"/>
      <c r="F415" s="486"/>
      <c r="G415" s="485"/>
      <c r="H415" s="47"/>
      <c r="I415" s="32"/>
      <c r="J415" s="32"/>
      <c r="K415" s="32"/>
      <c r="L415" s="32"/>
      <c r="M415" s="32"/>
      <c r="N415" s="32"/>
    </row>
    <row r="416" spans="1:14" ht="12.75">
      <c r="A416" s="482"/>
      <c r="B416" s="483"/>
      <c r="C416" s="484"/>
      <c r="D416" s="481"/>
      <c r="E416" s="36"/>
      <c r="F416" s="486"/>
      <c r="G416" s="31"/>
      <c r="H416" s="47"/>
      <c r="I416" s="38"/>
      <c r="J416" s="38"/>
      <c r="K416" s="38"/>
      <c r="L416" s="38"/>
      <c r="M416" s="38"/>
      <c r="N416" s="38"/>
    </row>
    <row r="417" spans="1:14" ht="12.75">
      <c r="A417" s="482"/>
      <c r="B417" s="483"/>
      <c r="C417" s="484"/>
      <c r="D417" s="481"/>
      <c r="E417" s="36"/>
      <c r="F417" s="486"/>
      <c r="G417" s="31"/>
      <c r="H417" s="47"/>
      <c r="I417" s="38"/>
      <c r="J417" s="38"/>
      <c r="K417" s="38"/>
      <c r="L417" s="38"/>
      <c r="M417" s="38"/>
      <c r="N417" s="38"/>
    </row>
  </sheetData>
  <sheetProtection/>
  <mergeCells count="448">
    <mergeCell ref="G296:G297"/>
    <mergeCell ref="F299:F302"/>
    <mergeCell ref="G299:G300"/>
    <mergeCell ref="A55:A62"/>
    <mergeCell ref="B55:B62"/>
    <mergeCell ref="C55:C62"/>
    <mergeCell ref="D55:D62"/>
    <mergeCell ref="B295:B302"/>
    <mergeCell ref="C295:C302"/>
    <mergeCell ref="D295:D302"/>
    <mergeCell ref="F295:F298"/>
    <mergeCell ref="F410:F413"/>
    <mergeCell ref="G411:G412"/>
    <mergeCell ref="F414:F417"/>
    <mergeCell ref="G414:G415"/>
    <mergeCell ref="F402:F405"/>
    <mergeCell ref="G403:G404"/>
    <mergeCell ref="F406:F409"/>
    <mergeCell ref="G406:G407"/>
    <mergeCell ref="F394:F397"/>
    <mergeCell ref="A410:A417"/>
    <mergeCell ref="B410:B417"/>
    <mergeCell ref="C410:C417"/>
    <mergeCell ref="D410:D417"/>
    <mergeCell ref="A402:A409"/>
    <mergeCell ref="B402:B409"/>
    <mergeCell ref="C402:C409"/>
    <mergeCell ref="D402:D409"/>
    <mergeCell ref="G395:G396"/>
    <mergeCell ref="F398:F401"/>
    <mergeCell ref="G398:G399"/>
    <mergeCell ref="A394:A401"/>
    <mergeCell ref="B394:B401"/>
    <mergeCell ref="C394:C401"/>
    <mergeCell ref="D394:D401"/>
    <mergeCell ref="F386:F389"/>
    <mergeCell ref="G387:G388"/>
    <mergeCell ref="F390:F393"/>
    <mergeCell ref="G390:G391"/>
    <mergeCell ref="A386:A393"/>
    <mergeCell ref="B386:B393"/>
    <mergeCell ref="C386:C393"/>
    <mergeCell ref="D386:D393"/>
    <mergeCell ref="F378:F381"/>
    <mergeCell ref="G379:G380"/>
    <mergeCell ref="F382:F385"/>
    <mergeCell ref="G382:G383"/>
    <mergeCell ref="A378:A385"/>
    <mergeCell ref="B378:B385"/>
    <mergeCell ref="C378:C385"/>
    <mergeCell ref="D378:D385"/>
    <mergeCell ref="F370:F373"/>
    <mergeCell ref="G371:G372"/>
    <mergeCell ref="F374:F377"/>
    <mergeCell ref="G374:G375"/>
    <mergeCell ref="A370:A377"/>
    <mergeCell ref="B370:B377"/>
    <mergeCell ref="C370:C377"/>
    <mergeCell ref="D370:D377"/>
    <mergeCell ref="F362:F365"/>
    <mergeCell ref="G363:G364"/>
    <mergeCell ref="F366:F369"/>
    <mergeCell ref="G366:G367"/>
    <mergeCell ref="A362:A369"/>
    <mergeCell ref="B362:B369"/>
    <mergeCell ref="C362:C369"/>
    <mergeCell ref="D362:D369"/>
    <mergeCell ref="F354:F357"/>
    <mergeCell ref="G355:G356"/>
    <mergeCell ref="F358:F361"/>
    <mergeCell ref="G358:G359"/>
    <mergeCell ref="A354:A361"/>
    <mergeCell ref="B354:B361"/>
    <mergeCell ref="C354:C361"/>
    <mergeCell ref="D354:D361"/>
    <mergeCell ref="G342:G343"/>
    <mergeCell ref="A346:A353"/>
    <mergeCell ref="B346:B353"/>
    <mergeCell ref="C346:C353"/>
    <mergeCell ref="D346:D353"/>
    <mergeCell ref="F346:F349"/>
    <mergeCell ref="G347:G348"/>
    <mergeCell ref="F350:F353"/>
    <mergeCell ref="G350:G351"/>
    <mergeCell ref="G334:G335"/>
    <mergeCell ref="F329:F332"/>
    <mergeCell ref="G329:G330"/>
    <mergeCell ref="A338:A345"/>
    <mergeCell ref="B338:B345"/>
    <mergeCell ref="C338:C345"/>
    <mergeCell ref="D338:D345"/>
    <mergeCell ref="F338:F341"/>
    <mergeCell ref="G339:G340"/>
    <mergeCell ref="F342:F345"/>
    <mergeCell ref="D329:D332"/>
    <mergeCell ref="G322:G323"/>
    <mergeCell ref="G325:G326"/>
    <mergeCell ref="A321:F328"/>
    <mergeCell ref="A329:A332"/>
    <mergeCell ref="B329:B332"/>
    <mergeCell ref="C329:C332"/>
    <mergeCell ref="A311:A318"/>
    <mergeCell ref="F287:F290"/>
    <mergeCell ref="G288:G289"/>
    <mergeCell ref="F291:F294"/>
    <mergeCell ref="G291:G292"/>
    <mergeCell ref="A287:A294"/>
    <mergeCell ref="B287:B294"/>
    <mergeCell ref="C287:C294"/>
    <mergeCell ref="D287:D294"/>
    <mergeCell ref="A295:A302"/>
    <mergeCell ref="F279:F282"/>
    <mergeCell ref="G280:G281"/>
    <mergeCell ref="F283:F286"/>
    <mergeCell ref="G283:G284"/>
    <mergeCell ref="A279:A286"/>
    <mergeCell ref="B279:B286"/>
    <mergeCell ref="C279:C286"/>
    <mergeCell ref="D279:D286"/>
    <mergeCell ref="F263:F266"/>
    <mergeCell ref="G264:G265"/>
    <mergeCell ref="F267:F270"/>
    <mergeCell ref="G267:G268"/>
    <mergeCell ref="A263:A270"/>
    <mergeCell ref="B263:B270"/>
    <mergeCell ref="C263:C270"/>
    <mergeCell ref="D263:D270"/>
    <mergeCell ref="G251:G252"/>
    <mergeCell ref="A255:A262"/>
    <mergeCell ref="B255:B262"/>
    <mergeCell ref="C255:C262"/>
    <mergeCell ref="D255:D262"/>
    <mergeCell ref="F255:F258"/>
    <mergeCell ref="G256:G257"/>
    <mergeCell ref="F259:F262"/>
    <mergeCell ref="G259:G260"/>
    <mergeCell ref="G240:G241"/>
    <mergeCell ref="F243:F246"/>
    <mergeCell ref="G243:G244"/>
    <mergeCell ref="A247:A254"/>
    <mergeCell ref="B247:B254"/>
    <mergeCell ref="C247:C254"/>
    <mergeCell ref="D247:D254"/>
    <mergeCell ref="F247:F250"/>
    <mergeCell ref="G248:G249"/>
    <mergeCell ref="F251:F254"/>
    <mergeCell ref="B239:B246"/>
    <mergeCell ref="C239:C246"/>
    <mergeCell ref="D239:D246"/>
    <mergeCell ref="F239:F242"/>
    <mergeCell ref="D223:D230"/>
    <mergeCell ref="G232:G233"/>
    <mergeCell ref="F235:F238"/>
    <mergeCell ref="G235:G236"/>
    <mergeCell ref="F231:F234"/>
    <mergeCell ref="G184:G185"/>
    <mergeCell ref="F187:F190"/>
    <mergeCell ref="G187:G188"/>
    <mergeCell ref="A231:A238"/>
    <mergeCell ref="B231:B238"/>
    <mergeCell ref="C231:C238"/>
    <mergeCell ref="D231:D238"/>
    <mergeCell ref="A223:A230"/>
    <mergeCell ref="B223:B230"/>
    <mergeCell ref="C223:C230"/>
    <mergeCell ref="C175:C182"/>
    <mergeCell ref="D175:D182"/>
    <mergeCell ref="G176:G177"/>
    <mergeCell ref="F179:F182"/>
    <mergeCell ref="G179:G180"/>
    <mergeCell ref="C167:C174"/>
    <mergeCell ref="D167:D174"/>
    <mergeCell ref="G168:G169"/>
    <mergeCell ref="F171:F174"/>
    <mergeCell ref="G171:G172"/>
    <mergeCell ref="G152:G153"/>
    <mergeCell ref="G160:G161"/>
    <mergeCell ref="G163:G164"/>
    <mergeCell ref="G155:G156"/>
    <mergeCell ref="D159:D166"/>
    <mergeCell ref="F159:F162"/>
    <mergeCell ref="F155:F158"/>
    <mergeCell ref="C151:C158"/>
    <mergeCell ref="D151:D158"/>
    <mergeCell ref="F151:F154"/>
    <mergeCell ref="E15:E22"/>
    <mergeCell ref="F39:F42"/>
    <mergeCell ref="G40:G41"/>
    <mergeCell ref="G35:G36"/>
    <mergeCell ref="F31:F34"/>
    <mergeCell ref="E31:E38"/>
    <mergeCell ref="G32:G33"/>
    <mergeCell ref="F35:F38"/>
    <mergeCell ref="G16:G17"/>
    <mergeCell ref="F19:F22"/>
    <mergeCell ref="D23:D30"/>
    <mergeCell ref="A7:A14"/>
    <mergeCell ref="B7:B14"/>
    <mergeCell ref="C7:C14"/>
    <mergeCell ref="D7:D14"/>
    <mergeCell ref="B311:B318"/>
    <mergeCell ref="C311:C318"/>
    <mergeCell ref="D311:D318"/>
    <mergeCell ref="B143:B150"/>
    <mergeCell ref="C143:C150"/>
    <mergeCell ref="C191:C198"/>
    <mergeCell ref="D191:D198"/>
    <mergeCell ref="D143:D150"/>
    <mergeCell ref="B183:B190"/>
    <mergeCell ref="C159:C166"/>
    <mergeCell ref="A111:A118"/>
    <mergeCell ref="B111:B118"/>
    <mergeCell ref="C111:C118"/>
    <mergeCell ref="B103:B110"/>
    <mergeCell ref="C103:C110"/>
    <mergeCell ref="F311:F314"/>
    <mergeCell ref="G312:G313"/>
    <mergeCell ref="F315:F318"/>
    <mergeCell ref="G315:G316"/>
    <mergeCell ref="G88:G89"/>
    <mergeCell ref="E87:E94"/>
    <mergeCell ref="F91:F94"/>
    <mergeCell ref="G91:G92"/>
    <mergeCell ref="G144:G145"/>
    <mergeCell ref="F147:F150"/>
    <mergeCell ref="G272:G273"/>
    <mergeCell ref="G219:G220"/>
    <mergeCell ref="F223:F226"/>
    <mergeCell ref="G224:G225"/>
    <mergeCell ref="F227:F230"/>
    <mergeCell ref="G216:G217"/>
    <mergeCell ref="G227:G228"/>
    <mergeCell ref="G147:G148"/>
    <mergeCell ref="C39:C46"/>
    <mergeCell ref="D39:D46"/>
    <mergeCell ref="E111:E118"/>
    <mergeCell ref="E79:E86"/>
    <mergeCell ref="D103:D110"/>
    <mergeCell ref="E95:E102"/>
    <mergeCell ref="D111:D118"/>
    <mergeCell ref="C79:C86"/>
    <mergeCell ref="D79:D86"/>
    <mergeCell ref="D87:D94"/>
    <mergeCell ref="A71:A78"/>
    <mergeCell ref="B71:B78"/>
    <mergeCell ref="A79:A86"/>
    <mergeCell ref="D135:D142"/>
    <mergeCell ref="C71:C78"/>
    <mergeCell ref="D71:D78"/>
    <mergeCell ref="B79:B86"/>
    <mergeCell ref="A87:A94"/>
    <mergeCell ref="B87:B94"/>
    <mergeCell ref="A103:A110"/>
    <mergeCell ref="A47:A54"/>
    <mergeCell ref="B47:B54"/>
    <mergeCell ref="A39:A46"/>
    <mergeCell ref="B39:B46"/>
    <mergeCell ref="H4:H5"/>
    <mergeCell ref="I4:I5"/>
    <mergeCell ref="A31:A38"/>
    <mergeCell ref="B31:B38"/>
    <mergeCell ref="C31:C38"/>
    <mergeCell ref="D31:D38"/>
    <mergeCell ref="A23:A30"/>
    <mergeCell ref="B23:B30"/>
    <mergeCell ref="E23:E30"/>
    <mergeCell ref="C23:C30"/>
    <mergeCell ref="C271:C278"/>
    <mergeCell ref="D271:D278"/>
    <mergeCell ref="N4:N5"/>
    <mergeCell ref="A3:N3"/>
    <mergeCell ref="A4:A5"/>
    <mergeCell ref="B4:B5"/>
    <mergeCell ref="C4:C5"/>
    <mergeCell ref="D4:D5"/>
    <mergeCell ref="F4:F5"/>
    <mergeCell ref="G4:G5"/>
    <mergeCell ref="A151:A158"/>
    <mergeCell ref="B151:B158"/>
    <mergeCell ref="A135:A142"/>
    <mergeCell ref="A271:A278"/>
    <mergeCell ref="B271:B278"/>
    <mergeCell ref="A167:A174"/>
    <mergeCell ref="B167:B174"/>
    <mergeCell ref="A175:A182"/>
    <mergeCell ref="B175:B182"/>
    <mergeCell ref="A239:A246"/>
    <mergeCell ref="E4:E5"/>
    <mergeCell ref="E7:E14"/>
    <mergeCell ref="F7:F10"/>
    <mergeCell ref="B135:B142"/>
    <mergeCell ref="F135:F138"/>
    <mergeCell ref="F127:F130"/>
    <mergeCell ref="D127:D134"/>
    <mergeCell ref="F131:F134"/>
    <mergeCell ref="C47:C54"/>
    <mergeCell ref="D47:D54"/>
    <mergeCell ref="G115:G116"/>
    <mergeCell ref="G8:G9"/>
    <mergeCell ref="F11:F14"/>
    <mergeCell ref="G11:G12"/>
    <mergeCell ref="G75:G76"/>
    <mergeCell ref="G72:G73"/>
    <mergeCell ref="F75:F78"/>
    <mergeCell ref="F71:F74"/>
    <mergeCell ref="G83:G84"/>
    <mergeCell ref="F87:F90"/>
    <mergeCell ref="A63:A70"/>
    <mergeCell ref="G304:G305"/>
    <mergeCell ref="G307:G308"/>
    <mergeCell ref="G67:G68"/>
    <mergeCell ref="G128:G129"/>
    <mergeCell ref="G131:G132"/>
    <mergeCell ref="G80:G81"/>
    <mergeCell ref="G136:G137"/>
    <mergeCell ref="G139:G140"/>
    <mergeCell ref="G192:G193"/>
    <mergeCell ref="G120:G121"/>
    <mergeCell ref="A303:A310"/>
    <mergeCell ref="B303:B310"/>
    <mergeCell ref="C303:C310"/>
    <mergeCell ref="D303:D310"/>
    <mergeCell ref="F303:F306"/>
    <mergeCell ref="F307:F310"/>
    <mergeCell ref="A143:A150"/>
    <mergeCell ref="A159:A166"/>
    <mergeCell ref="B159:B166"/>
    <mergeCell ref="B63:B70"/>
    <mergeCell ref="F271:F274"/>
    <mergeCell ref="F275:F278"/>
    <mergeCell ref="E255:E262"/>
    <mergeCell ref="E263:E270"/>
    <mergeCell ref="B127:B134"/>
    <mergeCell ref="C127:C134"/>
    <mergeCell ref="F83:F86"/>
    <mergeCell ref="F139:F142"/>
    <mergeCell ref="F79:F82"/>
    <mergeCell ref="A199:A206"/>
    <mergeCell ref="B199:B206"/>
    <mergeCell ref="E279:E286"/>
    <mergeCell ref="A15:A22"/>
    <mergeCell ref="B15:B22"/>
    <mergeCell ref="C15:C22"/>
    <mergeCell ref="D15:D22"/>
    <mergeCell ref="C63:C70"/>
    <mergeCell ref="D63:D70"/>
    <mergeCell ref="A127:A134"/>
    <mergeCell ref="F111:F114"/>
    <mergeCell ref="F103:F106"/>
    <mergeCell ref="F95:F98"/>
    <mergeCell ref="G104:G105"/>
    <mergeCell ref="G96:G97"/>
    <mergeCell ref="F99:F102"/>
    <mergeCell ref="G99:G100"/>
    <mergeCell ref="G107:G108"/>
    <mergeCell ref="F107:F110"/>
    <mergeCell ref="F215:F218"/>
    <mergeCell ref="G275:G276"/>
    <mergeCell ref="F123:F126"/>
    <mergeCell ref="G123:G124"/>
    <mergeCell ref="G200:G201"/>
    <mergeCell ref="F203:F206"/>
    <mergeCell ref="G203:G204"/>
    <mergeCell ref="F219:F222"/>
    <mergeCell ref="F183:F186"/>
    <mergeCell ref="F207:F210"/>
    <mergeCell ref="F115:F118"/>
    <mergeCell ref="F163:F166"/>
    <mergeCell ref="F167:F170"/>
    <mergeCell ref="F175:F178"/>
    <mergeCell ref="F119:F122"/>
    <mergeCell ref="F199:F202"/>
    <mergeCell ref="F143:F146"/>
    <mergeCell ref="E39:E46"/>
    <mergeCell ref="E271:E278"/>
    <mergeCell ref="E223:E230"/>
    <mergeCell ref="E231:E238"/>
    <mergeCell ref="E239:E246"/>
    <mergeCell ref="E247:E254"/>
    <mergeCell ref="E199:E206"/>
    <mergeCell ref="E215:E222"/>
    <mergeCell ref="E183:E190"/>
    <mergeCell ref="E47:E54"/>
    <mergeCell ref="C199:C206"/>
    <mergeCell ref="D199:D206"/>
    <mergeCell ref="E143:E150"/>
    <mergeCell ref="E151:E158"/>
    <mergeCell ref="E159:E166"/>
    <mergeCell ref="E175:E182"/>
    <mergeCell ref="C87:C94"/>
    <mergeCell ref="C135:C142"/>
    <mergeCell ref="A215:A222"/>
    <mergeCell ref="B215:B222"/>
    <mergeCell ref="C215:C222"/>
    <mergeCell ref="D215:D222"/>
    <mergeCell ref="A207:A214"/>
    <mergeCell ref="B207:B214"/>
    <mergeCell ref="C207:C214"/>
    <mergeCell ref="D207:D214"/>
    <mergeCell ref="F195:F198"/>
    <mergeCell ref="G195:G196"/>
    <mergeCell ref="F191:F194"/>
    <mergeCell ref="A191:A198"/>
    <mergeCell ref="B191:B198"/>
    <mergeCell ref="E191:E198"/>
    <mergeCell ref="A183:A190"/>
    <mergeCell ref="D183:D190"/>
    <mergeCell ref="C183:C190"/>
    <mergeCell ref="G51:G52"/>
    <mergeCell ref="G64:G65"/>
    <mergeCell ref="F67:F70"/>
    <mergeCell ref="E71:E78"/>
    <mergeCell ref="E63:E70"/>
    <mergeCell ref="F63:F66"/>
    <mergeCell ref="G112:G113"/>
    <mergeCell ref="G19:G20"/>
    <mergeCell ref="F15:F18"/>
    <mergeCell ref="F43:F46"/>
    <mergeCell ref="G24:G25"/>
    <mergeCell ref="F27:F30"/>
    <mergeCell ref="G27:G28"/>
    <mergeCell ref="F23:F26"/>
    <mergeCell ref="G43:G44"/>
    <mergeCell ref="G48:G49"/>
    <mergeCell ref="E55:E62"/>
    <mergeCell ref="F55:F58"/>
    <mergeCell ref="G56:G57"/>
    <mergeCell ref="F59:F62"/>
    <mergeCell ref="G59:G60"/>
    <mergeCell ref="F51:F54"/>
    <mergeCell ref="F47:F50"/>
    <mergeCell ref="A119:A126"/>
    <mergeCell ref="B119:B126"/>
    <mergeCell ref="C119:C126"/>
    <mergeCell ref="E119:E126"/>
    <mergeCell ref="D119:D126"/>
    <mergeCell ref="AM207:AM214"/>
    <mergeCell ref="G208:G209"/>
    <mergeCell ref="F211:F214"/>
    <mergeCell ref="G211:G212"/>
    <mergeCell ref="A95:A102"/>
    <mergeCell ref="B95:B102"/>
    <mergeCell ref="C95:C102"/>
    <mergeCell ref="D95:D102"/>
    <mergeCell ref="J4:J5"/>
    <mergeCell ref="K4:K5"/>
    <mergeCell ref="L4:L5"/>
    <mergeCell ref="M4:M5"/>
  </mergeCells>
  <printOptions/>
  <pageMargins left="0.49" right="0.17" top="0.48" bottom="0.41" header="0.17" footer="0.16"/>
  <pageSetup horizontalDpi="600" verticalDpi="600" orientation="landscape" paperSize="9" scale="95" r:id="rId1"/>
  <rowBreaks count="6" manualBreakCount="6">
    <brk id="94" max="255" man="1"/>
    <brk id="126" max="255" man="1"/>
    <brk id="174" max="255" man="1"/>
    <brk id="230" max="255" man="1"/>
    <brk id="270" max="255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kbaza</cp:lastModifiedBy>
  <cp:lastPrinted>2013-08-13T12:26:02Z</cp:lastPrinted>
  <dcterms:created xsi:type="dcterms:W3CDTF">2012-04-11T08:05:22Z</dcterms:created>
  <dcterms:modified xsi:type="dcterms:W3CDTF">2013-08-13T12:32:51Z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