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15" windowWidth="9435" windowHeight="4545" activeTab="1"/>
  </bookViews>
  <sheets>
    <sheet name="doch bieżące I - XII 2012" sheetId="1" r:id="rId1"/>
    <sheet name="doch majątk. I - XII 2012" sheetId="2" r:id="rId2"/>
  </sheets>
  <definedNames>
    <definedName name="_xlnm.Print_Titles" localSheetId="0">'doch bieżące I - XII 2012'!$2:$3</definedName>
  </definedNames>
  <calcPr fullCalcOnLoad="1"/>
</workbook>
</file>

<file path=xl/sharedStrings.xml><?xml version="1.0" encoding="utf-8"?>
<sst xmlns="http://schemas.openxmlformats.org/spreadsheetml/2006/main" count="271" uniqueCount="242">
  <si>
    <t>wpływy do budżetu nadwyżki środków obrotowych Hali Widowiskowo-Sportowej</t>
  </si>
  <si>
    <t>odsetki od należności podatkowych pobieranych przez US</t>
  </si>
  <si>
    <t>wpływy za pobyt dzieci w placówkach opiekuńczo - wychowawczych</t>
  </si>
  <si>
    <t>spis powszechny</t>
  </si>
  <si>
    <t>wpływy Gdyńskiego Centrum Innowacji</t>
  </si>
  <si>
    <t>wpływy Gdyńskiego Ośrodka Sportu i Rekreacji</t>
  </si>
  <si>
    <t>środki na realizację projektu w ramach Polsko - Litewskiego Funduszu Wymiany Młodzieży</t>
  </si>
  <si>
    <t>"Wdrożenie zintegrowanego systemu zarządzania ruchem TRISTAR w Gdańsku, Gdyni i Sopocie"</t>
  </si>
  <si>
    <t>"Rodzina bliżej siebie"</t>
  </si>
  <si>
    <t>Projekt "Jestem z Pomorza - Jestem eko"</t>
  </si>
  <si>
    <t>Projekt "Bałtycki Festiwal Nauki"</t>
  </si>
  <si>
    <t>projekt "Policyjna foczka"</t>
  </si>
  <si>
    <t>III.  SUBWENCJA OGÓLNA</t>
  </si>
  <si>
    <t>IV.  DOTACJE CELOWE Z BUDŻETU PAŃSTWA</t>
  </si>
  <si>
    <t>administracja państwowa</t>
  </si>
  <si>
    <t>Powiatowy Inspektorat Nadzoru Budowlanego</t>
  </si>
  <si>
    <t>refundacja kosztów projektu "Pomorski Park Naukowo-Technologiczny- Rozbudowa etap 3"</t>
  </si>
  <si>
    <t>podatek Vat przekazany przez Halę Widowiskowo - Sportową</t>
  </si>
  <si>
    <t xml:space="preserve">Plan </t>
  </si>
  <si>
    <t>II. ŚRODKI Z UE NA DOFINANSOWANIE REALIZACJI PROJEKTÓW</t>
  </si>
  <si>
    <t>II.   ŚRODKI Z UE NA DOFINANSOWANIE REALIZACJI PROJEKTÓW</t>
  </si>
  <si>
    <t>dochody związane z gromadzeniem środków z opłat i kar za korzystanie ze środowiska</t>
  </si>
  <si>
    <t xml:space="preserve">należna miastu część zwrotów zaliczek alimentacyjnych uzyskanych na rzecz budżetu państwa </t>
  </si>
  <si>
    <t>zwrot podatku akcyzowego zawartego w cenie oleju napędowego wykorzystywanego do produkcji rolnej</t>
  </si>
  <si>
    <t>z Funduszu Ochrony Środowiska na dofinansowanie realizacji zadania "Wsparcie działań propagujących ekologiczne formy transportu na trasie Gdynia - Półwysep Helski"</t>
  </si>
  <si>
    <t>środki od Samorządu Województwa Pomorskiego na dofinansowanie lokalnego transportu zbiorowego na liniach komunikacyjnych regularnego transportu wodnego po akwenie Ztoki Gdańskiej i Zatoki Puckiej</t>
  </si>
  <si>
    <t xml:space="preserve">wkład beneficjentów w realizację zadania: rozówj turystyki w rejonie Zatoki Gdańskiej </t>
  </si>
  <si>
    <t>refundacja kosztów projektu "Pomorski Park Naukowo-Technologiczny- Rozbudowa etap 4"</t>
  </si>
  <si>
    <t>z Ministerstwa Pracy i Polityki Społecznej na dofinansowanie realizacji zadania "Wspólnie przeciw przemocy - wsparcie systemu przeciwdziałania przemocy w Gdyni"</t>
  </si>
  <si>
    <t>sfinansowanie pobytu dzieci cudzoziemców w rodzinach zastępczych</t>
  </si>
  <si>
    <t>z Wojewódzkiego Funduszu Ochrony Środowiska i Gospodarki Wodnej środki na usuwanie wyrobów zawierających azbest z terenu miasta Gdyni</t>
  </si>
  <si>
    <t>"Bohnian Green Logistic Corridor"</t>
  </si>
  <si>
    <t xml:space="preserve">opłaty osób zobowiązanych alimentacyjnie za umieszczenie w DPS członków ich rodzin </t>
  </si>
  <si>
    <t>wybory do sejmu i senatu</t>
  </si>
  <si>
    <t>"Program wsparcia społecznego osób z zaburzeniami"</t>
  </si>
  <si>
    <t>środki z PZU na zakupy inwestycyjne</t>
  </si>
  <si>
    <t>budowa małej infrastruktury służącej ochronie przyrody na obszarze rezerwatu Kępa Redłowska w Gdyni</t>
  </si>
  <si>
    <t>darowizna na zakup komputera dla dzieci z Placówki Opiekuńczo - Wychowawczej Nr 5</t>
  </si>
  <si>
    <t>finansowanie warsztatów terapii zajęciowej</t>
  </si>
  <si>
    <t>opłaty za pobyt dzieci w placówkach opiekuńczo - wychowawczych</t>
  </si>
  <si>
    <t xml:space="preserve">środki na realizację projektu "Mój biznes II" </t>
  </si>
  <si>
    <t>środki na realizację projektu "Odkryj moje możliwości"</t>
  </si>
  <si>
    <t>środki na realizację projektu "Praktyka czyni mistrza - nowatorski program praktyk na studiach pedagogicznych PWSA"</t>
  </si>
  <si>
    <t>środki na realizację projektu " Dojrzała przedsiębiorczość 50+"</t>
  </si>
  <si>
    <t>środki na realizację projektu (Niepełno) Sprawni, Aktywni, Kreatywni</t>
  </si>
  <si>
    <t>środki na realizację projektu "SEGMENT"</t>
  </si>
  <si>
    <t>środki na realizację projektu "Leonardo da Vinci" - Program uczenie się przez całe życie</t>
  </si>
  <si>
    <t>środki na realizację projektu "Rozwój elektronicznych usług publicznych w Gdyni"</t>
  </si>
  <si>
    <t>środki na realizację projektu Good Governance and Cooperation - Response To Common Challenges In Public Finanse (Dobre zarządzanie i współpraca odpowiedzią na wyzwania w sferze finansów publicznych)</t>
  </si>
  <si>
    <t>środki na realizację projektu "Mój biznes II" Kapitał Ludzki 2007 - 2011</t>
  </si>
  <si>
    <t>refundacja kosztów projektu "EXPO 2010"</t>
  </si>
  <si>
    <t>środki na realizację projektu "TROLLEY"</t>
  </si>
  <si>
    <t>środki na realizację projektu "INTERFACE""</t>
  </si>
  <si>
    <t>środki na realizację projektu "South - NORth Axis"</t>
  </si>
  <si>
    <t xml:space="preserve">środki na realizację projektu "Urzędnik na plus 2012" </t>
  </si>
  <si>
    <t>refundacja kosztów projektu "Młodzież w działaniu"</t>
  </si>
  <si>
    <t>środki na realizację projektu "Rodzina bliżej siebie"</t>
  </si>
  <si>
    <t>środki na realizację projektu " Wzmocnienie współpracy między Akademią Medyczną w Gdańsku a PPNT i GPNT"</t>
  </si>
  <si>
    <t>środki na realizację projektu "eduPEOPLE" Program Współpracy Transgranicznej Południowy Bałtyk 2007-2013</t>
  </si>
  <si>
    <t>środki na udział w targach Let s EXPO</t>
  </si>
  <si>
    <t>środki na realizację projektu "Diske"</t>
  </si>
  <si>
    <t>środki na realizację projektu Baltic Fashion - Program Współpracy Transgranicznej Bałtyk</t>
  </si>
  <si>
    <t>środki na realizację projektu DesignShip - Program Współpracy Transgranicznej Południowy Bałtyk</t>
  </si>
  <si>
    <t xml:space="preserve">środki na realizację projektu „Dynamika morskiego rynku pracy i atrakcyjne otoczenie miast portowych Południowego Bałtyku”         </t>
  </si>
  <si>
    <t>środki na realizację projektu SMART CITIES</t>
  </si>
  <si>
    <t xml:space="preserve">środki na realizację projektu PYDOS </t>
  </si>
  <si>
    <t xml:space="preserve">środki na realizację projektu "Diske" Program Współpracy Transgranicznej Południowy Bałtyk 2007-2013 </t>
  </si>
  <si>
    <t>pokrycie kosztów wydawania decyzji w sprawie świadczeń zdrowotnych</t>
  </si>
  <si>
    <t>funkcjonowanie punktu katechetycznego</t>
  </si>
  <si>
    <t xml:space="preserve">opłaty za egzaminy i dokumenty wydawane w związku z wykonywaniem transportu drogowego oraz inne opłaty pobierane przez UM </t>
  </si>
  <si>
    <t>z WFOŚ "Sinice - mali mieszkańcy naszych wód""</t>
  </si>
  <si>
    <t xml:space="preserve">zadania wynikające z ustawy o wspieraniu rodziny </t>
  </si>
  <si>
    <t>dofinansowanie zadań wynikających z ustawy o opiece nad dziećmi w wieku do 3 lat</t>
  </si>
  <si>
    <t xml:space="preserve">dofinansowanie zadania w obszarze tworzenia gminnego systemu profilaktyki i opieki nad dzieckiem i rodziną pn. „Klub Maluszka Tup Tup – utworzenie w 2012r. 15 miejsc opieki nad dziećmi w wieku do lat 3 przy ul. Wiczlińskiej 91” </t>
  </si>
  <si>
    <t>refundacja 60% świadczenia wypłaconego na rzecz osób uczestniczących w systemie prac społecznie użytecznych ze środków Funduszu Pracy</t>
  </si>
  <si>
    <t>projekt "Segment" - Program "Inteligentna Energia - Europa"</t>
  </si>
  <si>
    <t>odsetki od zobowiązań Helu wobec Gdyni</t>
  </si>
  <si>
    <t>Rozbudowa przystani rybackiej w Gdyni - Obuże - etap I</t>
  </si>
  <si>
    <t>Rozbudowa przystani rybackiej w Gdyni - Obuże - etap II</t>
  </si>
  <si>
    <t>Rozbudowa przystani rybackiej w Gdyni - Oksywie - etap II</t>
  </si>
  <si>
    <t>Lp.</t>
  </si>
  <si>
    <t>Treść</t>
  </si>
  <si>
    <t>DOCHODY BIEŻĄCE OGÓŁEM</t>
  </si>
  <si>
    <r>
      <t xml:space="preserve">I. </t>
    </r>
    <r>
      <rPr>
        <b/>
        <sz val="10"/>
        <rFont val="Arial CE"/>
        <family val="2"/>
      </rPr>
      <t xml:space="preserve"> DOCHODY WŁASNE, w tym:</t>
    </r>
  </si>
  <si>
    <t>Podatki i opłaty pobierane przez miasto</t>
  </si>
  <si>
    <t xml:space="preserve">podatek od nieruchomości </t>
  </si>
  <si>
    <t xml:space="preserve">podatek od środków transportowych </t>
  </si>
  <si>
    <t>podatek rolny</t>
  </si>
  <si>
    <t xml:space="preserve">podatek leśny </t>
  </si>
  <si>
    <t>zaległości z podatków zniesionych</t>
  </si>
  <si>
    <t xml:space="preserve">rekompensata utraconych dochodów (z PFRON - u) z tytułu zwolnień w podatkach </t>
  </si>
  <si>
    <t>opłata skarbowa</t>
  </si>
  <si>
    <t>dochody z tyt. ustawy o przeciwdziałaniu alkoholizmowi</t>
  </si>
  <si>
    <t>opłaty komunikacyjna</t>
  </si>
  <si>
    <t>opłaty lokalne (opłata targowa i miejscowa)</t>
  </si>
  <si>
    <t>opłaty za parkowanie, za zajęcie pasa drogowego, umieszczanie reklam i stoisk w pasie drogowym i in.</t>
  </si>
  <si>
    <t>opłata adiacencka i renta planistyczna</t>
  </si>
  <si>
    <t>odsetki i opłata prolongacyjna</t>
  </si>
  <si>
    <t>Podatki pobierane przez urzędy skarbowe</t>
  </si>
  <si>
    <t>karta podatkowa</t>
  </si>
  <si>
    <t>podatek od spadków i darowizn</t>
  </si>
  <si>
    <t>zwroty podatku Vat</t>
  </si>
  <si>
    <t>dotacje z Jastarni i Helu na dofinansowanie funkcjonowania "Tramwaju wodnego"</t>
  </si>
  <si>
    <t xml:space="preserve">podatek od czynności cywilnoprawnych </t>
  </si>
  <si>
    <t>Dochody z majątku miasta</t>
  </si>
  <si>
    <t>z Funduszu Pracy na finansowanie kosztów wynagrodzeń i składek na ubezpieczenie pracowników Powiatowego Urzędu Pracy</t>
  </si>
  <si>
    <t>dotacje z tytułu podpisanych porozumień z Powiatem Puckim i Gminą Kosakowo na wykonanie remontu skrzyżowania ulic: Płk. Dąbka - Kmdr. Czernickiego - Wiejskiej - Szkolnej</t>
  </si>
  <si>
    <t>„Narodowy program przebudowy dróg lokalnych – Etap II Bezpieczeństwo - Dostępność - Rozwój"</t>
  </si>
  <si>
    <t>wpływy z tytułu podpisania umowy z Narodowym Centrum Badań i Rozwoju na realizację projektu BioBusiness Laboratorium</t>
  </si>
  <si>
    <t>z WFOŚ na realizację projektu "Chrońmy środowisko, które znamy" - szkolenia terenowe z Centrum Nauki EXPERYMENT</t>
  </si>
  <si>
    <t>wynagrodzenia dla zawodowych rodzin zastępczych oraz osób prowadzących rodzinne domy dziecka</t>
  </si>
  <si>
    <t>zadania własne powiatu wynikające z ustawy o wspieraniu rodziny i systemie pieczy zastępczej</t>
  </si>
  <si>
    <t>wyposażenie placów zabaw w Gdyni w autonomiczne wyposażenie ledowe - etap I (umowa z WFOŚ)</t>
  </si>
  <si>
    <t>środki z Gminy Szemud w związku z przejęciem zadań w zakresie gospodarki odpadami komunalnymi</t>
  </si>
  <si>
    <t>Wykonanie dochodów bieżących budżetu miasta Gdyni według źródła za okres I - XII 2012r.</t>
  </si>
  <si>
    <t>Wykonanie dochodów majątkowych budżetu miasta Gdyni według źródła za okres I - XII 2012r.</t>
  </si>
  <si>
    <t>prace komisji kwalifikacyjnych i egzaminacyjnych powołanych w 2012r.do spraw awansu zawodowego nauczycieli</t>
  </si>
  <si>
    <t>dofinansowanie robót budowlanych w obiekcie służącym rehabilitacji ze środków PFRON</t>
  </si>
  <si>
    <t>wykonanie zadań powierzonych przez Wojewódzkiego Konserwatora Zabytków w Gdańsku</t>
  </si>
  <si>
    <t>Projekt "Budowa małej infrastruktury służącej ochronie przyrody na obszarze rezerwatu Kępa Redłowska w Gdyni"</t>
  </si>
  <si>
    <t>z WFOŚ na realizację imprezy popularno - naukowej "Pan Kulka w świecie czystej energii"</t>
  </si>
  <si>
    <t>zwrot podatku Vat za 2011r. dotyczy PPNT - ETAP 3</t>
  </si>
  <si>
    <t>zwrot podatku Vat za 2011r. dotyczy PPNT - ETAP 4</t>
  </si>
  <si>
    <t>opłaty za działalność w zakresie poszukiwania i rozpoznawania złóż kopalin</t>
  </si>
  <si>
    <t>wpływy Domu Dziecka - zwrot kosztów zużycia energii za budynek przekazany ABK 4</t>
  </si>
  <si>
    <t>Rządowy program rozwijania kompetencji uczniów i nauczycieli - "Cyfrowa szkoła"</t>
  </si>
  <si>
    <t>"Wspólnie przeciw przemocy - kontynuacja wsparcia systemu przeciwdziałania przemocy w Gdyni"</t>
  </si>
  <si>
    <t>Program wspierania rodziny i systemu pieczy zastępczej w ramach podpisanego porozumienia z Ministerstwem Pracy i Polityki Społecznej</t>
  </si>
  <si>
    <t xml:space="preserve">                                                                                                                </t>
  </si>
  <si>
    <t>dochody z dzierżawy</t>
  </si>
  <si>
    <t>wpływy z lokali użytkowych</t>
  </si>
  <si>
    <t>użytkowanie wieczyste</t>
  </si>
  <si>
    <t>pozostałe</t>
  </si>
  <si>
    <t>dochody z najmu i dzierżawy skł. majątkowych gminy oddanych w użytkowanie jednostkom i zakł. budżetowym</t>
  </si>
  <si>
    <t>wpływy z czynszów za mieszkania służbowe</t>
  </si>
  <si>
    <t>z WFOŚ "Sinice - wróg czy przyjaciel"</t>
  </si>
  <si>
    <t>Z WFOŚ-u na na realizację projektu "Czynna ochrona gatunkowa roślin z rodzaju Drosera (rosiczki) oraz Sphagnum (torfowce) występujących na terenie województwa pomorskiego"</t>
  </si>
  <si>
    <t>z WFOŚ "Badanie jakości wody i sporządzenie profilu wody w kąpieliskach morskich w Gdyni"</t>
  </si>
  <si>
    <t xml:space="preserve">Inne dochody własne </t>
  </si>
  <si>
    <t>wpływy Zarządu Komunikacji Miejskiej</t>
  </si>
  <si>
    <t>wpływy ze sprzedaży biletów na "tramwaj wodny"</t>
  </si>
  <si>
    <t>wpływy Urzędu Miasta</t>
  </si>
  <si>
    <t>wpływy z opłat rodziców za pobyt dzieci w żłobku</t>
  </si>
  <si>
    <t>wpływy z opłat rodziców za pobyt dzieci w przedszkolu</t>
  </si>
  <si>
    <t>wpływy z usług opiekuńczych i opłaty za pobyt w ośrodkach wsparcia</t>
  </si>
  <si>
    <t>wpływy z opłat za korzystanie z basenów</t>
  </si>
  <si>
    <t>wpływy z usług Centrum Aktywności Seniora</t>
  </si>
  <si>
    <t xml:space="preserve">wpływy z opłat za pobyt w domu opieki społecznej </t>
  </si>
  <si>
    <t>rozliczenie mediów zużywanych przez Krytą Pływalnie przy ZS nr 10</t>
  </si>
  <si>
    <t>25% dochodów z nieruchom.Skarbu Państwa</t>
  </si>
  <si>
    <t xml:space="preserve">5% dochodów uzysk. na rzecz budżetu państwa w związku z real. zad. zleconych </t>
  </si>
  <si>
    <t>opłaty za usuwanie pojazdów z pasa drogowego</t>
  </si>
  <si>
    <t>odsetki od środków na rachunkach bankowych</t>
  </si>
  <si>
    <t>pozostałe dochody</t>
  </si>
  <si>
    <t>grzywny i kary - Straż Miejska</t>
  </si>
  <si>
    <t>różne dochody jednostek organizacyjnych miasta</t>
  </si>
  <si>
    <t>Dotacje od jednostek samorządu terytorialnego</t>
  </si>
  <si>
    <t xml:space="preserve">zadania oświatowe </t>
  </si>
  <si>
    <t>obsługa mieszkańców Sopotu przez Powiatowy Urząd Pracy w Gdyni</t>
  </si>
  <si>
    <t xml:space="preserve">rodziny zastępcze </t>
  </si>
  <si>
    <t>środki dla Powiatowego Zespołu ds.Orzekania o Niepełnosprawności zgodnie z zawartym porozumieniem pomiędzy Miastem Gdynia, a Miastem Sopot</t>
  </si>
  <si>
    <t>środki z gmin ościennych na organizację usług komunikacyjnych na ich terenie przez ZKM w Gdyni na podstawie porozumień</t>
  </si>
  <si>
    <t>środki z Sejmiku Województwa Pomorskiego na dofinansowanie lokalnego transportu zbiorowego na liniach komunikacyjnych regularnego transportu wodnego po akwenie Zatoki Gdańskiej i Zatoki Puckiej</t>
  </si>
  <si>
    <t>Dotacje i inne środki zewnętrzne na dofinansowanie zadań własnych</t>
  </si>
  <si>
    <t>wpływy ze sprzedaży map, danych z ewidencji gruntów i budynków oraz innych materiałów i informacji z zasobów powiatowych</t>
  </si>
  <si>
    <t>projekt "Ochrona wód Zatoki Gdańskiej" - refundacja poniesionych wydatków</t>
  </si>
  <si>
    <t>refundacja wydatków poniesionych na realizację projektu "Kompleksowa termomodernizacja dziewięciu budynków placówek oświatowych na terenie Gdyni"</t>
  </si>
  <si>
    <t xml:space="preserve">środki na realizację projektu "Dobry zawód gwarancją sukcesu" </t>
  </si>
  <si>
    <t>środki z Funduszu Rozwoju Systemu Edukacji na realizację zadania "Wymiana młodzieży"</t>
  </si>
  <si>
    <t>dotacja od Fundacji Współpracy Polsko - Niemieckiej na realizację projektu "Razem dla europejskiego dialogu - 25 - lecie partnerstwa miast Gdyni i Kilonii"</t>
  </si>
  <si>
    <t>dofinansowanie projektu "Efektywny samorząd - kompetentna kadra w Urzędzie Miasta Gdyni i Gminy Kosakowo"</t>
  </si>
  <si>
    <t>Projekt "Kreator innowacyjności - Laboratorium biotechnologiczne w praktyce"</t>
  </si>
  <si>
    <t>dotacja z Narodowego Centrum Kultury na realizację Ogólnopolskiego programu rozwoju chórów szkolnych Ministra Kultury i Dziedzictwa Narodowego "Śpiewająca Polska"</t>
  </si>
  <si>
    <t>Projekt "Eksperyment na plaży"</t>
  </si>
  <si>
    <t>% wykonania</t>
  </si>
  <si>
    <t>realizacja rządowego programu wspierania niektórych osób pobieracących świadczenie pielęgnacyjne</t>
  </si>
  <si>
    <t>z Narodowego Funduszu Ochrony Środowiska na dofinansowanie realizacji zadania "Zbieranie pojazdów wycofanych z eksploatacji"</t>
  </si>
  <si>
    <t>Projekt " Świadomość ekologiczna młodzieży - nauczanie przez doświadczenie"</t>
  </si>
  <si>
    <t>Projekt "TROLLEY"</t>
  </si>
  <si>
    <t>dotacja dla Ochotniczej Straży Pożarnej Wiczlino</t>
  </si>
  <si>
    <t>środki z Funduszu Rozwoju Kultury Fizycznej na dofinansowanie programu szkolenia młodzieży uzdolnionej sportowo</t>
  </si>
  <si>
    <t>grant dla ZPS na realizacje projektu "Realizacja warsztatów aktywności twórczej"</t>
  </si>
  <si>
    <t>środki na dofinansowanie programu "Uczenie się przez całe życie" Projekt Partnerski COMENIUS</t>
  </si>
  <si>
    <t>"Rozwój elektronicznych usług publicznych w Gdyni"</t>
  </si>
  <si>
    <t>projekt "Doświadczenia ponad granicami gdyńsko - helsinborskie partnerstwo na rzecz osób niepełnosprawnych"</t>
  </si>
  <si>
    <t>projekt "INTERFACE""</t>
  </si>
  <si>
    <t>środki z budżetu Polsko – Litewskiego Funduszu Wymiany Młodzieży na realizację projektu „Poznajemy się przez sztukę”</t>
  </si>
  <si>
    <t>projekt TQS REVES</t>
  </si>
  <si>
    <t>dofinansowanie projektu "Rozwój proekologicznego transportu publicznego na Obszarze Metropolitarnym Trójmiasta"</t>
  </si>
  <si>
    <t>projekt "Przyroda - eksperyment o nieograniczonych możliwościach"</t>
  </si>
  <si>
    <t>Udziały we wpływach z podatków dochodowych</t>
  </si>
  <si>
    <t xml:space="preserve">udziały w podatku dochodowym od osób fizycznych </t>
  </si>
  <si>
    <t>udziały w podatku dochodowym od osób prawnych</t>
  </si>
  <si>
    <t>część oświatowa</t>
  </si>
  <si>
    <t>część równoważąca</t>
  </si>
  <si>
    <t>III.  DOTACJE CELOWE Z BUDŻETU PAŃSTWA</t>
  </si>
  <si>
    <t>NA ZADANIA ZLECONE</t>
  </si>
  <si>
    <t>Komenda Powiatowa Państwowej Straży Pożarnej (na zadania bieżące)</t>
  </si>
  <si>
    <r>
      <t xml:space="preserve">opieka społeczna, </t>
    </r>
    <r>
      <rPr>
        <i/>
        <sz val="8"/>
        <rFont val="Arial CE"/>
        <family val="2"/>
      </rPr>
      <t>w tym:</t>
    </r>
  </si>
  <si>
    <t xml:space="preserve"> ośrodki wsparcia</t>
  </si>
  <si>
    <t>ośrodki pomocy społecznej</t>
  </si>
  <si>
    <t>realizacja programu korekcyjno - edukacyjnego dla sprawców przemocy w rodzinie</t>
  </si>
  <si>
    <t xml:space="preserve"> składki na ubezp. zdrowotne</t>
  </si>
  <si>
    <t>świadczenia rodzinne</t>
  </si>
  <si>
    <t xml:space="preserve"> usługi opiekuńcze, specjalistyczne usługi opiekuńcze</t>
  </si>
  <si>
    <t>zespół ds. orzekania o stopniu niepełnosprawn.</t>
  </si>
  <si>
    <t xml:space="preserve">składki na ubezpieczenia zdrowotne </t>
  </si>
  <si>
    <t>wybory Prezydenta Rzeczypospolitej Polskiej</t>
  </si>
  <si>
    <t>wybory do rad gmin, rad powiatów i sejmików województw oraz wyborów wójtów, burmistrzów i prezydentów miast</t>
  </si>
  <si>
    <t>aktualizacja spisu wyborców</t>
  </si>
  <si>
    <t xml:space="preserve">spis rolny </t>
  </si>
  <si>
    <t xml:space="preserve">prace geodezyjne i kartograficzne </t>
  </si>
  <si>
    <t>opracowania geodezyjne i kartograficzne</t>
  </si>
  <si>
    <t>gospodarka gruntami i nieruchomościami</t>
  </si>
  <si>
    <t>kwalifikacja wojskowa</t>
  </si>
  <si>
    <t>NA ZADANIA REALIZOWANE NA MOCY POROZUMIEŃ Z ORGANAMI ADMINISTRACJI RZĄDOWEJ</t>
  </si>
  <si>
    <t>utrzymanie grobów wojennych</t>
  </si>
  <si>
    <t>uruchomienie punktu konsultacyjno - diagnostycznego dla rodzin i dzieci z FAS</t>
  </si>
  <si>
    <t>NA FINANSOWANIE LUB DOFINANSOWANIE ZADAŃ WŁASNYCH</t>
  </si>
  <si>
    <t>program "Radosna szkoła"</t>
  </si>
  <si>
    <t>stypendia oraz inne formy pomocy dla uczniów</t>
  </si>
  <si>
    <t>zadania z zakresu opieki społecznej:</t>
  </si>
  <si>
    <t>Pomoc państwa w zakresie dożywiania</t>
  </si>
  <si>
    <t>Dom Pomocy Społecznej</t>
  </si>
  <si>
    <t>opieka w domach o zasięgu ponadgminnym</t>
  </si>
  <si>
    <t>składki na ubezpieczenia zdrowotne</t>
  </si>
  <si>
    <t>zasiłki i pomoc w naturze</t>
  </si>
  <si>
    <t>zasiłki stałe</t>
  </si>
  <si>
    <t>DOCHODY MAJĄTKOWE OGÓŁEM</t>
  </si>
  <si>
    <t>wpływy ze sprzedaży mienia komunalnego</t>
  </si>
  <si>
    <t>przekształcenie prawa użytkowania wieczystego w prawo własności</t>
  </si>
  <si>
    <t xml:space="preserve">sprzedaż składników majątkowych </t>
  </si>
  <si>
    <t>uzupełnienie subwencji ogólnej (środki na uzupełnienie dochodów gminy i dochodów powiatu)</t>
  </si>
  <si>
    <t>środki otrzymane z Gmin, Powiatów i z Samorządu Województwa Pomorskiego na budowę Obwodnicy Północnej Aglomeracji Trójmiejskiej</t>
  </si>
  <si>
    <t>lokalne inicjatywy inwestycyjne</t>
  </si>
  <si>
    <t xml:space="preserve"> "Rozwój Komunikacji Rowerowej Aglomeracji Trójmiejskiej w latach 2007 - 2013""</t>
  </si>
  <si>
    <t>przebudowa układu drogowego węzła Św.Maksymiliana wraz z budową tunelu drogowego pod Drogą Gdyńską, torami SKM i PKP w Gdyni</t>
  </si>
  <si>
    <t>Komenda Powiatowa Państwowej Straży Pożarnej (na zadania inwestycyjne)</t>
  </si>
  <si>
    <t>rozliczenia z lat ubiegłych oraz zwroty dotacji wykorzystanych niezgodnie z przeznaczeniem lub pobranych w nadmiernej wysokości</t>
  </si>
  <si>
    <t>kształcenie uczniów w Wojewódzkim Ośrodku Doskonalenia Uczniów</t>
  </si>
  <si>
    <t xml:space="preserve">Wykonanie </t>
  </si>
  <si>
    <t>zwroty dotacji wykorzystanych niezgodnie z przeznaczeniem lub pobranych w nadmiernej wysokości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</si>
</sst>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[$-415]d\ mmmm\ yyyy"/>
    <numFmt numFmtId="174" formatCode="0.0"/>
    <numFmt numFmtId="175" formatCode="#,##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0"/>
  </numFmts>
  <fonts count="20">
    <font>
      <sz val="10"/>
      <name val="Arial CE"/>
      <family val="0"/>
    </font>
    <font>
      <b/>
      <sz val="13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MS Sans Serif"/>
      <family val="0"/>
    </font>
    <font>
      <sz val="8"/>
      <name val="Arial CE"/>
      <family val="0"/>
    </font>
    <font>
      <b/>
      <i/>
      <sz val="8"/>
      <name val="Arial CE"/>
      <family val="2"/>
    </font>
    <font>
      <sz val="8"/>
      <name val="MS Sans Serif"/>
      <family val="2"/>
    </font>
    <font>
      <i/>
      <sz val="8"/>
      <name val="Times New Roman"/>
      <family val="1"/>
    </font>
    <font>
      <i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i/>
      <sz val="8"/>
      <color indexed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2" fillId="0" borderId="1" xfId="19" applyNumberFormat="1" applyFont="1" applyFill="1" applyBorder="1" applyAlignment="1">
      <alignment horizontal="center" vertical="center" wrapText="1"/>
      <protection/>
    </xf>
    <xf numFmtId="1" fontId="2" fillId="0" borderId="1" xfId="19" applyNumberFormat="1" applyFont="1" applyFill="1" applyBorder="1" applyAlignment="1">
      <alignment horizontal="center" vertical="center"/>
      <protection/>
    </xf>
    <xf numFmtId="3" fontId="2" fillId="0" borderId="1" xfId="19" applyNumberFormat="1" applyFont="1" applyFill="1" applyBorder="1" applyAlignment="1">
      <alignment horizontal="center" vertical="center" wrapText="1"/>
      <protection/>
    </xf>
    <xf numFmtId="3" fontId="5" fillId="0" borderId="2" xfId="19" applyNumberFormat="1" applyFont="1" applyFill="1" applyBorder="1" applyAlignment="1">
      <alignment horizontal="right" vertical="center" wrapText="1"/>
      <protection/>
    </xf>
    <xf numFmtId="3" fontId="5" fillId="0" borderId="1" xfId="19" applyNumberFormat="1" applyFont="1" applyFill="1" applyBorder="1" applyAlignment="1">
      <alignment horizontal="right" vertical="center" wrapText="1"/>
      <protection/>
    </xf>
    <xf numFmtId="3" fontId="5" fillId="0" borderId="2" xfId="19" applyNumberFormat="1" applyFont="1" applyFill="1" applyBorder="1" applyAlignment="1">
      <alignment vertical="center"/>
      <protection/>
    </xf>
    <xf numFmtId="1" fontId="7" fillId="0" borderId="1" xfId="19" applyNumberFormat="1" applyFont="1" applyFill="1" applyBorder="1" applyAlignment="1">
      <alignment horizontal="center" vertical="center"/>
      <protection/>
    </xf>
    <xf numFmtId="4" fontId="7" fillId="0" borderId="1" xfId="19" applyNumberFormat="1" applyFont="1" applyFill="1" applyBorder="1" applyAlignment="1">
      <alignment vertical="center" wrapText="1"/>
      <protection/>
    </xf>
    <xf numFmtId="3" fontId="7" fillId="0" borderId="1" xfId="19" applyNumberFormat="1" applyFont="1" applyFill="1" applyBorder="1" applyAlignment="1">
      <alignment vertical="center"/>
      <protection/>
    </xf>
    <xf numFmtId="0" fontId="2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left" vertical="center" wrapText="1"/>
      <protection/>
    </xf>
    <xf numFmtId="3" fontId="9" fillId="0" borderId="1" xfId="19" applyNumberFormat="1" applyFont="1" applyFill="1" applyBorder="1" applyAlignment="1">
      <alignment horizontal="right" vertical="center" wrapText="1"/>
      <protection/>
    </xf>
    <xf numFmtId="3" fontId="2" fillId="0" borderId="1" xfId="19" applyNumberFormat="1" applyFont="1" applyFill="1" applyBorder="1" applyAlignment="1">
      <alignment horizontal="right" vertical="center" wrapText="1"/>
      <protection/>
    </xf>
    <xf numFmtId="0" fontId="9" fillId="0" borderId="1" xfId="18" applyFont="1" applyFill="1" applyBorder="1" applyAlignment="1">
      <alignment horizontal="left" vertical="center" wrapText="1"/>
      <protection/>
    </xf>
    <xf numFmtId="0" fontId="10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vertical="center" wrapText="1"/>
      <protection/>
    </xf>
    <xf numFmtId="3" fontId="3" fillId="0" borderId="1" xfId="19" applyNumberFormat="1" applyFont="1" applyFill="1" applyBorder="1" applyAlignment="1">
      <alignment horizontal="right" vertical="center" wrapText="1"/>
      <protection/>
    </xf>
    <xf numFmtId="0" fontId="2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/>
      <protection/>
    </xf>
    <xf numFmtId="4" fontId="9" fillId="0" borderId="1" xfId="19" applyNumberFormat="1" applyFont="1" applyFill="1" applyBorder="1" applyAlignment="1">
      <alignment horizontal="left" vertical="center" wrapText="1"/>
      <protection/>
    </xf>
    <xf numFmtId="1" fontId="9" fillId="0" borderId="1" xfId="19" applyNumberFormat="1" applyFont="1" applyFill="1" applyBorder="1" applyAlignment="1">
      <alignment horizontal="center" vertical="center"/>
      <protection/>
    </xf>
    <xf numFmtId="4" fontId="9" fillId="0" borderId="1" xfId="19" applyNumberFormat="1" applyFont="1" applyFill="1" applyBorder="1" applyAlignment="1">
      <alignment vertical="center" wrapText="1"/>
      <protection/>
    </xf>
    <xf numFmtId="1" fontId="9" fillId="0" borderId="1" xfId="19" applyNumberFormat="1" applyFont="1" applyFill="1" applyBorder="1" applyAlignment="1">
      <alignment horizontal="center" vertical="center"/>
      <protection/>
    </xf>
    <xf numFmtId="4" fontId="9" fillId="0" borderId="1" xfId="19" applyNumberFormat="1" applyFont="1" applyFill="1" applyBorder="1" applyAlignment="1">
      <alignment vertical="center" wrapText="1"/>
      <protection/>
    </xf>
    <xf numFmtId="4" fontId="7" fillId="0" borderId="1" xfId="19" applyNumberFormat="1" applyFont="1" applyFill="1" applyBorder="1" applyAlignment="1">
      <alignment horizontal="left" vertical="center" wrapText="1"/>
      <protection/>
    </xf>
    <xf numFmtId="0" fontId="9" fillId="0" borderId="1" xfId="18" applyFont="1" applyFill="1" applyBorder="1" applyAlignment="1">
      <alignment vertical="center" wrapText="1"/>
      <protection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vertical="center" wrapText="1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vertical="center" wrapText="1"/>
      <protection/>
    </xf>
    <xf numFmtId="9" fontId="9" fillId="0" borderId="1" xfId="18" applyNumberFormat="1" applyFont="1" applyFill="1" applyBorder="1" applyAlignment="1">
      <alignment vertical="center" wrapText="1"/>
      <protection/>
    </xf>
    <xf numFmtId="0" fontId="9" fillId="0" borderId="1" xfId="18" applyFont="1" applyFill="1" applyBorder="1" applyAlignment="1">
      <alignment horizontal="center" vertical="center"/>
      <protection/>
    </xf>
    <xf numFmtId="0" fontId="11" fillId="0" borderId="1" xfId="18" applyFont="1" applyFill="1" applyBorder="1" applyAlignment="1">
      <alignment horizontal="left" vertical="center" wrapText="1"/>
      <protection/>
    </xf>
    <xf numFmtId="4" fontId="9" fillId="0" borderId="1" xfId="19" applyNumberFormat="1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1" xfId="18" applyFont="1" applyFill="1" applyBorder="1" applyAlignment="1">
      <alignment vertical="center" wrapText="1"/>
      <protection/>
    </xf>
    <xf numFmtId="3" fontId="7" fillId="0" borderId="1" xfId="19" applyNumberFormat="1" applyFont="1" applyFill="1" applyBorder="1" applyAlignment="1">
      <alignment horizontal="center" vertical="center"/>
      <protection/>
    </xf>
    <xf numFmtId="3" fontId="7" fillId="0" borderId="1" xfId="19" applyNumberFormat="1" applyFont="1" applyFill="1" applyBorder="1" applyAlignment="1">
      <alignment horizontal="left" vertical="center" wrapText="1"/>
      <protection/>
    </xf>
    <xf numFmtId="1" fontId="9" fillId="0" borderId="1" xfId="19" applyNumberFormat="1" applyFont="1" applyFill="1" applyBorder="1" applyAlignment="1">
      <alignment vertical="center" wrapText="1"/>
      <protection/>
    </xf>
    <xf numFmtId="1" fontId="3" fillId="0" borderId="1" xfId="19" applyNumberFormat="1" applyFont="1" applyFill="1" applyBorder="1" applyAlignment="1">
      <alignment horizontal="center" vertical="center"/>
      <protection/>
    </xf>
    <xf numFmtId="1" fontId="3" fillId="0" borderId="1" xfId="19" applyNumberFormat="1" applyFont="1" applyFill="1" applyBorder="1" applyAlignment="1">
      <alignment horizontal="right" vertical="center" wrapText="1"/>
      <protection/>
    </xf>
    <xf numFmtId="4" fontId="9" fillId="0" borderId="1" xfId="19" applyNumberFormat="1" applyFont="1" applyFill="1" applyBorder="1" applyAlignment="1">
      <alignment horizontal="center" vertical="center"/>
      <protection/>
    </xf>
    <xf numFmtId="1" fontId="9" fillId="0" borderId="1" xfId="19" applyNumberFormat="1" applyFont="1" applyFill="1" applyBorder="1" applyAlignment="1">
      <alignment horizontal="left" vertical="center" wrapText="1"/>
      <protection/>
    </xf>
    <xf numFmtId="1" fontId="10" fillId="0" borderId="1" xfId="19" applyNumberFormat="1" applyFont="1" applyFill="1" applyBorder="1" applyAlignment="1">
      <alignment horizontal="center" vertical="center"/>
      <protection/>
    </xf>
    <xf numFmtId="0" fontId="12" fillId="0" borderId="1" xfId="18" applyFont="1" applyFill="1" applyBorder="1" applyAlignment="1">
      <alignment horizontal="right" vertical="center" wrapText="1"/>
      <protection/>
    </xf>
    <xf numFmtId="1" fontId="12" fillId="0" borderId="1" xfId="19" applyNumberFormat="1" applyFont="1" applyFill="1" applyBorder="1" applyAlignment="1">
      <alignment horizontal="right" vertical="center" wrapText="1"/>
      <protection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2" fontId="2" fillId="0" borderId="1" xfId="19" applyNumberFormat="1" applyFont="1" applyFill="1" applyBorder="1" applyAlignment="1">
      <alignment horizontal="center" vertical="center" wrapText="1"/>
      <protection/>
    </xf>
    <xf numFmtId="3" fontId="9" fillId="0" borderId="1" xfId="19" applyNumberFormat="1" applyFont="1" applyFill="1" applyBorder="1" applyAlignment="1">
      <alignment horizontal="right" vertical="center" wrapText="1"/>
      <protection/>
    </xf>
    <xf numFmtId="4" fontId="1" fillId="0" borderId="0" xfId="19" applyNumberFormat="1" applyFont="1" applyFill="1" applyBorder="1" applyAlignment="1">
      <alignment horizontal="center" vertical="center" wrapText="1"/>
      <protection/>
    </xf>
    <xf numFmtId="3" fontId="3" fillId="0" borderId="1" xfId="19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ont="1" applyFill="1" applyAlignment="1">
      <alignment/>
    </xf>
    <xf numFmtId="4" fontId="2" fillId="0" borderId="1" xfId="19" applyNumberFormat="1" applyFont="1" applyFill="1" applyBorder="1" applyAlignment="1">
      <alignment horizontal="center" vertical="center" wrapText="1"/>
      <protection/>
    </xf>
    <xf numFmtId="1" fontId="2" fillId="0" borderId="1" xfId="19" applyNumberFormat="1" applyFont="1" applyFill="1" applyBorder="1" applyAlignment="1">
      <alignment horizontal="center" vertical="center" wrapText="1"/>
      <protection/>
    </xf>
    <xf numFmtId="1" fontId="6" fillId="0" borderId="1" xfId="19" applyNumberFormat="1" applyFont="1" applyFill="1" applyBorder="1" applyAlignment="1">
      <alignment horizontal="left" vertical="center" wrapText="1"/>
      <protection/>
    </xf>
    <xf numFmtId="3" fontId="6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2" fillId="0" borderId="1" xfId="19" applyNumberFormat="1" applyFont="1" applyFill="1" applyBorder="1" applyAlignment="1">
      <alignment horizontal="center" vertical="center"/>
      <protection/>
    </xf>
    <xf numFmtId="172" fontId="9" fillId="0" borderId="1" xfId="19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4" fillId="0" borderId="0" xfId="0" applyFont="1" applyFill="1" applyAlignment="1">
      <alignment/>
    </xf>
    <xf numFmtId="1" fontId="2" fillId="0" borderId="1" xfId="19" applyNumberFormat="1" applyFont="1" applyFill="1" applyBorder="1" applyAlignment="1">
      <alignment horizontal="center" vertical="center" wrapText="1"/>
      <protection/>
    </xf>
    <xf numFmtId="4" fontId="2" fillId="0" borderId="1" xfId="19" applyNumberFormat="1" applyFont="1" applyFill="1" applyBorder="1" applyAlignment="1">
      <alignment horizontal="center" vertical="center" wrapText="1"/>
      <protection/>
    </xf>
    <xf numFmtId="3" fontId="17" fillId="0" borderId="1" xfId="19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" fontId="17" fillId="0" borderId="1" xfId="19" applyNumberFormat="1" applyFont="1" applyFill="1" applyBorder="1" applyAlignment="1">
      <alignment horizontal="center" vertical="center"/>
      <protection/>
    </xf>
    <xf numFmtId="3" fontId="17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1" xfId="19" applyNumberFormat="1" applyFont="1" applyFill="1" applyBorder="1" applyAlignment="1">
      <alignment horizontal="right" vertical="center" wrapText="1"/>
      <protection/>
    </xf>
    <xf numFmtId="0" fontId="9" fillId="0" borderId="3" xfId="18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right"/>
    </xf>
    <xf numFmtId="3" fontId="13" fillId="0" borderId="0" xfId="19" applyNumberFormat="1" applyFont="1" applyFill="1" applyBorder="1" applyAlignment="1">
      <alignment horizontal="right" vertical="center" wrapText="1"/>
      <protection/>
    </xf>
    <xf numFmtId="0" fontId="11" fillId="0" borderId="2" xfId="18" applyFont="1" applyFill="1" applyBorder="1" applyAlignment="1">
      <alignment vertical="center" wrapText="1"/>
      <protection/>
    </xf>
    <xf numFmtId="172" fontId="9" fillId="0" borderId="1" xfId="19" applyNumberFormat="1" applyFont="1" applyFill="1" applyBorder="1" applyAlignment="1">
      <alignment horizontal="center" vertical="center" wrapText="1"/>
      <protection/>
    </xf>
    <xf numFmtId="4" fontId="1" fillId="0" borderId="4" xfId="19" applyNumberFormat="1" applyFont="1" applyFill="1" applyBorder="1" applyAlignment="1">
      <alignment horizontal="center" vertical="center" wrapText="1"/>
      <protection/>
    </xf>
    <xf numFmtId="4" fontId="1" fillId="0" borderId="4" xfId="19" applyNumberFormat="1" applyFont="1" applyFill="1" applyBorder="1" applyAlignment="1">
      <alignment horizontal="center" vertical="center" wrapText="1"/>
      <protection/>
    </xf>
    <xf numFmtId="4" fontId="6" fillId="0" borderId="1" xfId="19" applyNumberFormat="1" applyFont="1" applyFill="1" applyBorder="1" applyAlignment="1">
      <alignment horizontal="left" vertical="center" wrapText="1"/>
      <protection/>
    </xf>
    <xf numFmtId="4" fontId="2" fillId="0" borderId="1" xfId="19" applyNumberFormat="1" applyFont="1" applyFill="1" applyBorder="1" applyAlignment="1">
      <alignment horizontal="left" vertical="center" wrapText="1"/>
      <protection/>
    </xf>
    <xf numFmtId="1" fontId="6" fillId="0" borderId="5" xfId="19" applyNumberFormat="1" applyFont="1" applyFill="1" applyBorder="1" applyAlignment="1">
      <alignment horizontal="left" vertical="center" wrapText="1"/>
      <protection/>
    </xf>
    <xf numFmtId="1" fontId="6" fillId="0" borderId="2" xfId="19" applyNumberFormat="1" applyFont="1" applyFill="1" applyBorder="1" applyAlignment="1">
      <alignment horizontal="left" vertical="center" wrapText="1"/>
      <protection/>
    </xf>
    <xf numFmtId="4" fontId="4" fillId="0" borderId="5" xfId="19" applyNumberFormat="1" applyFont="1" applyFill="1" applyBorder="1" applyAlignment="1">
      <alignment horizontal="center" vertical="center" wrapText="1"/>
      <protection/>
    </xf>
    <xf numFmtId="4" fontId="4" fillId="0" borderId="2" xfId="19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B_99" xfId="18"/>
    <cellStyle name="Normalny_d_stawkimax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7"/>
  <sheetViews>
    <sheetView workbookViewId="0" topLeftCell="A1">
      <pane ySplit="3" topLeftCell="BM4" activePane="bottomLeft" state="frozen"/>
      <selection pane="topLeft" activeCell="A1" sqref="A1:E1"/>
      <selection pane="bottomLeft" activeCell="D33" sqref="D33"/>
    </sheetView>
  </sheetViews>
  <sheetFormatPr defaultColWidth="9.00390625" defaultRowHeight="12.75"/>
  <cols>
    <col min="1" max="1" width="3.25390625" style="71" customWidth="1"/>
    <col min="2" max="2" width="55.125" style="71" customWidth="1"/>
    <col min="3" max="3" width="13.375" style="61" customWidth="1"/>
    <col min="4" max="4" width="14.00390625" style="76" customWidth="1"/>
    <col min="5" max="5" width="8.875" style="56" customWidth="1"/>
    <col min="6" max="16384" width="9.125" style="71" customWidth="1"/>
  </cols>
  <sheetData>
    <row r="1" spans="2:5" ht="33.75" customHeight="1">
      <c r="B1" s="84" t="s">
        <v>114</v>
      </c>
      <c r="C1" s="84"/>
      <c r="D1" s="84"/>
      <c r="E1" s="54"/>
    </row>
    <row r="2" spans="1:5" ht="31.5" customHeight="1">
      <c r="A2" s="58" t="s">
        <v>80</v>
      </c>
      <c r="B2" s="57" t="s">
        <v>81</v>
      </c>
      <c r="C2" s="1" t="s">
        <v>18</v>
      </c>
      <c r="D2" s="1" t="s">
        <v>240</v>
      </c>
      <c r="E2" s="1" t="s">
        <v>174</v>
      </c>
    </row>
    <row r="3" spans="1:5" ht="12.75">
      <c r="A3" s="2">
        <v>1</v>
      </c>
      <c r="B3" s="2">
        <v>2</v>
      </c>
      <c r="C3" s="1">
        <v>3</v>
      </c>
      <c r="D3" s="1">
        <v>4</v>
      </c>
      <c r="E3" s="3">
        <v>5</v>
      </c>
    </row>
    <row r="4" spans="1:5" ht="15.75" customHeight="1">
      <c r="A4" s="89" t="s">
        <v>82</v>
      </c>
      <c r="B4" s="90"/>
      <c r="C4" s="4">
        <f>SUM(C5,C124,C161,C165)</f>
        <v>996820982</v>
      </c>
      <c r="D4" s="4">
        <f>SUM(D5,D124,D161,D165)</f>
        <v>985224320.54</v>
      </c>
      <c r="E4" s="52">
        <f aca="true" t="shared" si="0" ref="E4:E18">D4/C4</f>
        <v>0.9883663549730537</v>
      </c>
    </row>
    <row r="5" spans="1:5" ht="15.75" customHeight="1">
      <c r="A5" s="85" t="s">
        <v>83</v>
      </c>
      <c r="B5" s="86"/>
      <c r="C5" s="6">
        <f>SUM(C6,C21,C26,C33,C68,C121,C86)</f>
        <v>674947293</v>
      </c>
      <c r="D5" s="6">
        <f>SUM(D6,D21,D26,D33,D68,D121,D86)</f>
        <v>668891614.92</v>
      </c>
      <c r="E5" s="52">
        <f t="shared" si="0"/>
        <v>0.9910279244871346</v>
      </c>
    </row>
    <row r="6" spans="1:5" ht="12.75">
      <c r="A6" s="7">
        <v>1</v>
      </c>
      <c r="B6" s="8" t="s">
        <v>84</v>
      </c>
      <c r="C6" s="9">
        <f>SUM(C7:C20)</f>
        <v>179036434</v>
      </c>
      <c r="D6" s="9">
        <f>SUM(D7:D20)</f>
        <v>177981162.39999995</v>
      </c>
      <c r="E6" s="52">
        <f t="shared" si="0"/>
        <v>0.9941058276439976</v>
      </c>
    </row>
    <row r="7" spans="1:5" ht="12.75">
      <c r="A7" s="10"/>
      <c r="B7" s="11" t="s">
        <v>85</v>
      </c>
      <c r="C7" s="12">
        <f>108326000+20350000+4000000+1000000+8000000</f>
        <v>141676000</v>
      </c>
      <c r="D7" s="12">
        <f>117861741.23+21760733.12</f>
        <v>139622474.35</v>
      </c>
      <c r="E7" s="63">
        <f t="shared" si="0"/>
        <v>0.9855054797566277</v>
      </c>
    </row>
    <row r="8" spans="1:5" ht="12.75">
      <c r="A8" s="10"/>
      <c r="B8" s="14" t="s">
        <v>86</v>
      </c>
      <c r="C8" s="12">
        <f>6000000+2190000</f>
        <v>8190000</v>
      </c>
      <c r="D8" s="12">
        <f>6224094.32+2089424.44</f>
        <v>8313518.76</v>
      </c>
      <c r="E8" s="63">
        <f t="shared" si="0"/>
        <v>1.0150816556776556</v>
      </c>
    </row>
    <row r="9" spans="1:5" ht="12.75">
      <c r="A9" s="15"/>
      <c r="B9" s="16" t="s">
        <v>87</v>
      </c>
      <c r="C9" s="12">
        <f>3200+42500</f>
        <v>45700</v>
      </c>
      <c r="D9" s="12">
        <f>9760+65003.12</f>
        <v>74763.12</v>
      </c>
      <c r="E9" s="63">
        <f t="shared" si="0"/>
        <v>1.6359544857768051</v>
      </c>
    </row>
    <row r="10" spans="1:5" ht="12.75">
      <c r="A10" s="18"/>
      <c r="B10" s="11" t="s">
        <v>88</v>
      </c>
      <c r="C10" s="12">
        <f>75000+4550</f>
        <v>79550</v>
      </c>
      <c r="D10" s="12">
        <f>112280+4918.62</f>
        <v>117198.62</v>
      </c>
      <c r="E10" s="63">
        <f t="shared" si="0"/>
        <v>1.473269893148963</v>
      </c>
    </row>
    <row r="11" spans="1:5" ht="12.75" hidden="1">
      <c r="A11" s="18"/>
      <c r="B11" s="16" t="s">
        <v>89</v>
      </c>
      <c r="C11" s="12"/>
      <c r="D11" s="70">
        <v>0</v>
      </c>
      <c r="E11" s="63" t="e">
        <f t="shared" si="0"/>
        <v>#DIV/0!</v>
      </c>
    </row>
    <row r="12" spans="1:5" ht="22.5">
      <c r="A12" s="19"/>
      <c r="B12" s="20" t="s">
        <v>90</v>
      </c>
      <c r="C12" s="12">
        <v>343368</v>
      </c>
      <c r="D12" s="12">
        <v>251108</v>
      </c>
      <c r="E12" s="63">
        <f t="shared" si="0"/>
        <v>0.7313086833950747</v>
      </c>
    </row>
    <row r="13" spans="1:5" ht="12.75">
      <c r="A13" s="10"/>
      <c r="B13" s="14" t="s">
        <v>91</v>
      </c>
      <c r="C13" s="12">
        <v>4100000</v>
      </c>
      <c r="D13" s="12">
        <v>3343420.26</v>
      </c>
      <c r="E13" s="63">
        <f t="shared" si="0"/>
        <v>0.815468356097561</v>
      </c>
    </row>
    <row r="14" spans="1:5" ht="12.75">
      <c r="A14" s="10"/>
      <c r="B14" s="14" t="s">
        <v>92</v>
      </c>
      <c r="C14" s="12">
        <f>4800000+300000</f>
        <v>5100000</v>
      </c>
      <c r="D14" s="12">
        <v>5039817.35</v>
      </c>
      <c r="E14" s="63">
        <f t="shared" si="0"/>
        <v>0.9881994803921568</v>
      </c>
    </row>
    <row r="15" spans="1:5" ht="12.75">
      <c r="A15" s="21"/>
      <c r="B15" s="22" t="s">
        <v>93</v>
      </c>
      <c r="C15" s="12">
        <v>5000000</v>
      </c>
      <c r="D15" s="12">
        <v>4963295.12</v>
      </c>
      <c r="E15" s="63">
        <f t="shared" si="0"/>
        <v>0.9926590240000001</v>
      </c>
    </row>
    <row r="16" spans="1:5" ht="12.75">
      <c r="A16" s="18"/>
      <c r="B16" s="16" t="s">
        <v>94</v>
      </c>
      <c r="C16" s="12">
        <f>575000+50000</f>
        <v>625000</v>
      </c>
      <c r="D16" s="12">
        <f>507671.7+88200.19</f>
        <v>595871.89</v>
      </c>
      <c r="E16" s="63">
        <f t="shared" si="0"/>
        <v>0.953395024</v>
      </c>
    </row>
    <row r="17" spans="1:5" ht="22.5" customHeight="1">
      <c r="A17" s="18"/>
      <c r="B17" s="16" t="s">
        <v>95</v>
      </c>
      <c r="C17" s="12">
        <f>45900+34200+12219900+620000-38300-33290-33894+9000+53300</f>
        <v>12876816</v>
      </c>
      <c r="D17" s="12">
        <f>5483.25+428647.8+10794595.42+22635.24+78030.29-2478.85-45436.34-752.4</f>
        <v>11280724.41</v>
      </c>
      <c r="E17" s="63">
        <f t="shared" si="0"/>
        <v>0.876049204244279</v>
      </c>
    </row>
    <row r="18" spans="1:5" ht="12.75">
      <c r="A18" s="19"/>
      <c r="B18" s="11" t="s">
        <v>96</v>
      </c>
      <c r="C18" s="12">
        <v>250000</v>
      </c>
      <c r="D18" s="12">
        <v>69965.13</v>
      </c>
      <c r="E18" s="63">
        <f t="shared" si="0"/>
        <v>0.27986052</v>
      </c>
    </row>
    <row r="19" spans="1:5" ht="22.5">
      <c r="A19" s="19"/>
      <c r="B19" s="11" t="s">
        <v>123</v>
      </c>
      <c r="C19" s="12"/>
      <c r="D19" s="12">
        <v>1602.39</v>
      </c>
      <c r="E19" s="63"/>
    </row>
    <row r="20" spans="1:5" ht="12.75">
      <c r="A20" s="23"/>
      <c r="B20" s="24" t="s">
        <v>97</v>
      </c>
      <c r="C20" s="12">
        <f>450000+300000</f>
        <v>750000</v>
      </c>
      <c r="D20" s="12">
        <f>3851615.14+455787.86</f>
        <v>4307403</v>
      </c>
      <c r="E20" s="63">
        <f>D20/C20</f>
        <v>5.743204</v>
      </c>
    </row>
    <row r="21" spans="1:5" ht="17.25" customHeight="1">
      <c r="A21" s="7">
        <v>2</v>
      </c>
      <c r="B21" s="25" t="s">
        <v>98</v>
      </c>
      <c r="C21" s="9">
        <f>SUM(C22:C25)</f>
        <v>34800000</v>
      </c>
      <c r="D21" s="9">
        <f>SUM(D22:D25)</f>
        <v>39815872.88</v>
      </c>
      <c r="E21" s="52">
        <f>D21/C21</f>
        <v>1.1441342781609196</v>
      </c>
    </row>
    <row r="22" spans="1:5" ht="12.75">
      <c r="A22" s="10"/>
      <c r="B22" s="26" t="s">
        <v>99</v>
      </c>
      <c r="C22" s="12">
        <v>700000</v>
      </c>
      <c r="D22" s="12">
        <v>805913.6</v>
      </c>
      <c r="E22" s="63">
        <f>D22/C22</f>
        <v>1.1513051428571428</v>
      </c>
    </row>
    <row r="23" spans="1:5" ht="12.75">
      <c r="A23" s="10"/>
      <c r="B23" s="26" t="s">
        <v>100</v>
      </c>
      <c r="C23" s="12">
        <v>4100000</v>
      </c>
      <c r="D23" s="12">
        <v>4081024.68</v>
      </c>
      <c r="E23" s="63">
        <f>D23/C23</f>
        <v>0.9953718731707317</v>
      </c>
    </row>
    <row r="24" spans="1:5" ht="12.75">
      <c r="A24" s="10"/>
      <c r="B24" s="26" t="s">
        <v>103</v>
      </c>
      <c r="C24" s="12">
        <v>30000000</v>
      </c>
      <c r="D24" s="12">
        <f>12949490.86+21956289.9</f>
        <v>34905780.76</v>
      </c>
      <c r="E24" s="63">
        <f>D24/C24</f>
        <v>1.1635260253333333</v>
      </c>
    </row>
    <row r="25" spans="1:5" ht="12.75">
      <c r="A25" s="10"/>
      <c r="B25" s="26" t="s">
        <v>1</v>
      </c>
      <c r="C25" s="12"/>
      <c r="D25" s="12">
        <v>23153.84</v>
      </c>
      <c r="E25" s="63"/>
    </row>
    <row r="26" spans="1:5" ht="12.75">
      <c r="A26" s="7">
        <v>3</v>
      </c>
      <c r="B26" s="8" t="s">
        <v>104</v>
      </c>
      <c r="C26" s="27">
        <f>SUM(C27:C30)</f>
        <v>24105695</v>
      </c>
      <c r="D26" s="27">
        <f>SUM(D27:D30)</f>
        <v>22430680.189999998</v>
      </c>
      <c r="E26" s="52">
        <f aca="true" t="shared" si="1" ref="E26:E48">D26/C26</f>
        <v>0.9305137308839259</v>
      </c>
    </row>
    <row r="27" spans="1:5" ht="12.75">
      <c r="A27" s="10" t="s">
        <v>128</v>
      </c>
      <c r="B27" s="26" t="s">
        <v>129</v>
      </c>
      <c r="C27" s="12">
        <v>10000000</v>
      </c>
      <c r="D27" s="12">
        <v>8554354.07</v>
      </c>
      <c r="E27" s="63">
        <f t="shared" si="1"/>
        <v>0.855435407</v>
      </c>
    </row>
    <row r="28" spans="1:5" ht="12.75">
      <c r="A28" s="10"/>
      <c r="B28" s="26" t="s">
        <v>130</v>
      </c>
      <c r="C28" s="12">
        <v>3000000</v>
      </c>
      <c r="D28" s="12">
        <v>3172451.61</v>
      </c>
      <c r="E28" s="63">
        <f t="shared" si="1"/>
        <v>1.05748387</v>
      </c>
    </row>
    <row r="29" spans="1:5" ht="12.75">
      <c r="A29" s="10"/>
      <c r="B29" s="26" t="s">
        <v>131</v>
      </c>
      <c r="C29" s="12">
        <v>8000000</v>
      </c>
      <c r="D29" s="12">
        <v>6396314.57</v>
      </c>
      <c r="E29" s="63">
        <f t="shared" si="1"/>
        <v>0.79953932125</v>
      </c>
    </row>
    <row r="30" spans="1:5" ht="12.75">
      <c r="A30" s="10"/>
      <c r="B30" s="26" t="s">
        <v>132</v>
      </c>
      <c r="C30" s="12">
        <f>SUM(C31:C32)</f>
        <v>3105695</v>
      </c>
      <c r="D30" s="12">
        <f>SUM(D31:D32)</f>
        <v>4307559.9399999995</v>
      </c>
      <c r="E30" s="63">
        <f t="shared" si="1"/>
        <v>1.3869874343745923</v>
      </c>
    </row>
    <row r="31" spans="1:5" ht="22.5" customHeight="1">
      <c r="A31" s="28"/>
      <c r="B31" s="29" t="s">
        <v>133</v>
      </c>
      <c r="C31" s="12">
        <f>250000+1243097+27600+25000+1325000+90000</f>
        <v>2960697</v>
      </c>
      <c r="D31" s="17">
        <f>14913.26+1363971.21+167319.48+2403.96+9318.88+2603723.15</f>
        <v>4161649.9399999995</v>
      </c>
      <c r="E31" s="63">
        <f t="shared" si="1"/>
        <v>1.4056318292618257</v>
      </c>
    </row>
    <row r="32" spans="1:5" ht="12.75">
      <c r="A32" s="30"/>
      <c r="B32" s="31" t="s">
        <v>134</v>
      </c>
      <c r="C32" s="12">
        <f>10100+5500+8440+23200+89039+7615+200+50+854</f>
        <v>144998</v>
      </c>
      <c r="D32" s="17">
        <f>83369.08+21630.15+7072.07+4097.6+9010.27+20730.83</f>
        <v>145910.00000000003</v>
      </c>
      <c r="E32" s="63">
        <f t="shared" si="1"/>
        <v>1.006289741927475</v>
      </c>
    </row>
    <row r="33" spans="1:5" ht="12.75">
      <c r="A33" s="7">
        <v>4</v>
      </c>
      <c r="B33" s="8" t="s">
        <v>138</v>
      </c>
      <c r="C33" s="27">
        <f>SUM(C34:C62)</f>
        <v>103278464</v>
      </c>
      <c r="D33" s="27">
        <f>SUM(D34:D62)</f>
        <v>107290463.40999998</v>
      </c>
      <c r="E33" s="52">
        <f t="shared" si="1"/>
        <v>1.0388464279445517</v>
      </c>
    </row>
    <row r="34" spans="1:5" ht="12.75">
      <c r="A34" s="10"/>
      <c r="B34" s="26" t="s">
        <v>139</v>
      </c>
      <c r="C34" s="12">
        <f>40000+2100000+60100000+5128000+600000</f>
        <v>67968000</v>
      </c>
      <c r="D34" s="12">
        <f>70117155.45+75242.76+391167.33-2502431.2</f>
        <v>68081134.34</v>
      </c>
      <c r="E34" s="63">
        <f t="shared" si="1"/>
        <v>1.0016645235993409</v>
      </c>
    </row>
    <row r="35" spans="1:5" ht="12.75">
      <c r="A35" s="10"/>
      <c r="B35" s="26" t="s">
        <v>140</v>
      </c>
      <c r="C35" s="12">
        <f>2791125+148019</f>
        <v>2939144</v>
      </c>
      <c r="D35" s="12">
        <v>2502431.2</v>
      </c>
      <c r="E35" s="63">
        <f t="shared" si="1"/>
        <v>0.8514149698007312</v>
      </c>
    </row>
    <row r="36" spans="1:5" ht="22.5">
      <c r="A36" s="10"/>
      <c r="B36" s="26" t="s">
        <v>21</v>
      </c>
      <c r="C36" s="12">
        <v>3796126</v>
      </c>
      <c r="D36" s="12">
        <f>1668382.83+2605482.58+18789.17</f>
        <v>4292654.58</v>
      </c>
      <c r="E36" s="63">
        <f t="shared" si="1"/>
        <v>1.1307987616849389</v>
      </c>
    </row>
    <row r="37" spans="1:5" ht="24.75" customHeight="1">
      <c r="A37" s="10"/>
      <c r="B37" s="26" t="s">
        <v>164</v>
      </c>
      <c r="C37" s="12">
        <f>950000+1000</f>
        <v>951000</v>
      </c>
      <c r="D37" s="12">
        <f>776325.86+116.56</f>
        <v>776442.42</v>
      </c>
      <c r="E37" s="63">
        <f t="shared" si="1"/>
        <v>0.8164483911671925</v>
      </c>
    </row>
    <row r="38" spans="1:5" s="61" customFormat="1" ht="18" customHeight="1">
      <c r="A38" s="10"/>
      <c r="B38" s="26" t="s">
        <v>121</v>
      </c>
      <c r="C38" s="12">
        <f>1319059+197084</f>
        <v>1516143</v>
      </c>
      <c r="D38" s="12">
        <v>1516143</v>
      </c>
      <c r="E38" s="63">
        <f t="shared" si="1"/>
        <v>1</v>
      </c>
    </row>
    <row r="39" spans="1:5" s="61" customFormat="1" ht="15" customHeight="1">
      <c r="A39" s="10"/>
      <c r="B39" s="26" t="s">
        <v>122</v>
      </c>
      <c r="C39" s="12">
        <f>722583+270417</f>
        <v>993000</v>
      </c>
      <c r="D39" s="12">
        <v>993000</v>
      </c>
      <c r="E39" s="63">
        <f t="shared" si="1"/>
        <v>1</v>
      </c>
    </row>
    <row r="40" spans="1:5" ht="12.75">
      <c r="A40" s="10"/>
      <c r="B40" s="26" t="s">
        <v>141</v>
      </c>
      <c r="C40" s="12">
        <v>312000</v>
      </c>
      <c r="D40" s="12">
        <v>338784.31</v>
      </c>
      <c r="E40" s="63">
        <f t="shared" si="1"/>
        <v>1.0858471474358975</v>
      </c>
    </row>
    <row r="41" spans="1:5" ht="12.75">
      <c r="A41" s="10"/>
      <c r="B41" s="26" t="s">
        <v>101</v>
      </c>
      <c r="C41" s="12"/>
      <c r="D41" s="12">
        <v>191739.29</v>
      </c>
      <c r="E41" s="63"/>
    </row>
    <row r="42" spans="1:5" ht="12.75">
      <c r="A42" s="10"/>
      <c r="B42" s="26" t="s">
        <v>142</v>
      </c>
      <c r="C42" s="12">
        <f>470000+500+160000+100</f>
        <v>630600</v>
      </c>
      <c r="D42" s="12">
        <f>659510.9+600.17</f>
        <v>660111.0700000001</v>
      </c>
      <c r="E42" s="63">
        <f t="shared" si="1"/>
        <v>1.0467983983507771</v>
      </c>
    </row>
    <row r="43" spans="1:5" ht="12.75">
      <c r="A43" s="10"/>
      <c r="B43" s="26" t="s">
        <v>143</v>
      </c>
      <c r="C43" s="12">
        <v>9933620</v>
      </c>
      <c r="D43" s="12">
        <v>9860032.46</v>
      </c>
      <c r="E43" s="63">
        <f t="shared" si="1"/>
        <v>0.9925920721750984</v>
      </c>
    </row>
    <row r="44" spans="1:5" ht="22.5">
      <c r="A44" s="10"/>
      <c r="B44" s="26" t="s">
        <v>37</v>
      </c>
      <c r="C44" s="12">
        <v>2568</v>
      </c>
      <c r="D44" s="12">
        <v>2568</v>
      </c>
      <c r="E44" s="63">
        <f t="shared" si="1"/>
        <v>1</v>
      </c>
    </row>
    <row r="45" spans="1:5" ht="22.5" hidden="1">
      <c r="A45" s="10"/>
      <c r="B45" s="26" t="s">
        <v>124</v>
      </c>
      <c r="C45" s="12"/>
      <c r="D45" s="12"/>
      <c r="E45" s="63" t="e">
        <f t="shared" si="1"/>
        <v>#DIV/0!</v>
      </c>
    </row>
    <row r="46" spans="1:5" ht="15.75" customHeight="1">
      <c r="A46" s="10"/>
      <c r="B46" s="26" t="s">
        <v>144</v>
      </c>
      <c r="C46" s="12">
        <f>850000+950000</f>
        <v>1800000</v>
      </c>
      <c r="D46" s="12">
        <f>790670.69+805493</f>
        <v>1596163.69</v>
      </c>
      <c r="E46" s="63">
        <f t="shared" si="1"/>
        <v>0.8867576055555555</v>
      </c>
    </row>
    <row r="47" spans="1:5" ht="22.5">
      <c r="A47" s="10"/>
      <c r="B47" s="26" t="s">
        <v>32</v>
      </c>
      <c r="C47" s="12">
        <v>115800</v>
      </c>
      <c r="D47" s="12">
        <v>135694.46</v>
      </c>
      <c r="E47" s="63">
        <f t="shared" si="1"/>
        <v>1.1718001727115717</v>
      </c>
    </row>
    <row r="48" spans="1:5" ht="33.75">
      <c r="A48" s="10"/>
      <c r="B48" s="26" t="s">
        <v>74</v>
      </c>
      <c r="C48" s="12">
        <v>192720</v>
      </c>
      <c r="D48" s="12">
        <v>183195</v>
      </c>
      <c r="E48" s="63">
        <f t="shared" si="1"/>
        <v>0.9505759651307597</v>
      </c>
    </row>
    <row r="49" spans="1:5" ht="12.75">
      <c r="A49" s="10"/>
      <c r="B49" s="26" t="s">
        <v>2</v>
      </c>
      <c r="C49" s="12"/>
      <c r="D49" s="12">
        <v>17474.25</v>
      </c>
      <c r="E49" s="63"/>
    </row>
    <row r="50" spans="1:5" ht="12.75">
      <c r="A50" s="10"/>
      <c r="B50" s="26" t="s">
        <v>145</v>
      </c>
      <c r="C50" s="12">
        <v>2086205</v>
      </c>
      <c r="D50" s="12">
        <v>2060541.96</v>
      </c>
      <c r="E50" s="63">
        <f aca="true" t="shared" si="2" ref="E50:E59">D50/C50</f>
        <v>0.9876986969161707</v>
      </c>
    </row>
    <row r="51" spans="1:5" ht="12.75">
      <c r="A51" s="10"/>
      <c r="B51" s="26" t="s">
        <v>4</v>
      </c>
      <c r="C51" s="12">
        <f>1167151+44000+108000+75000</f>
        <v>1394151</v>
      </c>
      <c r="D51" s="12">
        <f>1193202.01+411342.12</f>
        <v>1604544.13</v>
      </c>
      <c r="E51" s="63">
        <f t="shared" si="2"/>
        <v>1.1509112929661134</v>
      </c>
    </row>
    <row r="52" spans="1:5" ht="12.75">
      <c r="A52" s="10"/>
      <c r="B52" s="26" t="s">
        <v>146</v>
      </c>
      <c r="C52" s="12">
        <v>213000</v>
      </c>
      <c r="D52" s="12">
        <v>261568</v>
      </c>
      <c r="E52" s="63">
        <f t="shared" si="2"/>
        <v>1.228018779342723</v>
      </c>
    </row>
    <row r="53" spans="1:5" ht="12.75">
      <c r="A53" s="10"/>
      <c r="B53" s="26" t="s">
        <v>5</v>
      </c>
      <c r="C53" s="12">
        <f>945000+265000</f>
        <v>1210000</v>
      </c>
      <c r="D53" s="12">
        <f>1486560.73+623196.55</f>
        <v>2109757.2800000003</v>
      </c>
      <c r="E53" s="63">
        <f t="shared" si="2"/>
        <v>1.74360105785124</v>
      </c>
    </row>
    <row r="54" spans="1:5" s="61" customFormat="1" ht="12.75">
      <c r="A54" s="10"/>
      <c r="B54" s="26" t="s">
        <v>147</v>
      </c>
      <c r="C54" s="12">
        <v>600000</v>
      </c>
      <c r="D54" s="12">
        <v>659331.64</v>
      </c>
      <c r="E54" s="63">
        <f t="shared" si="2"/>
        <v>1.0988860666666667</v>
      </c>
    </row>
    <row r="55" spans="1:5" ht="12.75" hidden="1">
      <c r="A55" s="10"/>
      <c r="B55" s="26" t="s">
        <v>148</v>
      </c>
      <c r="C55" s="12"/>
      <c r="D55" s="70"/>
      <c r="E55" s="63" t="e">
        <f t="shared" si="2"/>
        <v>#DIV/0!</v>
      </c>
    </row>
    <row r="56" spans="1:5" ht="22.5" customHeight="1">
      <c r="A56" s="10"/>
      <c r="B56" s="26" t="s">
        <v>69</v>
      </c>
      <c r="C56" s="12">
        <f>54000+35000</f>
        <v>89000</v>
      </c>
      <c r="D56" s="12">
        <f>73949.5+369407.59</f>
        <v>443357.09</v>
      </c>
      <c r="E56" s="63">
        <f t="shared" si="2"/>
        <v>4.981540337078652</v>
      </c>
    </row>
    <row r="57" spans="1:5" ht="22.5">
      <c r="A57" s="10"/>
      <c r="B57" s="32" t="s">
        <v>22</v>
      </c>
      <c r="C57" s="12">
        <v>390000</v>
      </c>
      <c r="D57" s="12">
        <v>504418.81</v>
      </c>
      <c r="E57" s="63">
        <f t="shared" si="2"/>
        <v>1.293381564102564</v>
      </c>
    </row>
    <row r="58" spans="1:5" ht="12.75">
      <c r="A58" s="33"/>
      <c r="B58" s="14" t="s">
        <v>149</v>
      </c>
      <c r="C58" s="12">
        <v>2121325</v>
      </c>
      <c r="D58" s="12">
        <v>3829908.07</v>
      </c>
      <c r="E58" s="63">
        <f t="shared" si="2"/>
        <v>1.8054320153677537</v>
      </c>
    </row>
    <row r="59" spans="1:5" ht="22.5">
      <c r="A59" s="33"/>
      <c r="B59" s="26" t="s">
        <v>150</v>
      </c>
      <c r="C59" s="12">
        <f>1806+800+1821+3864</f>
        <v>8291</v>
      </c>
      <c r="D59" s="12">
        <f>17.41+2272.3+976.26+2432.15+5867.4</f>
        <v>11565.52</v>
      </c>
      <c r="E59" s="63">
        <f t="shared" si="2"/>
        <v>1.3949487395971536</v>
      </c>
    </row>
    <row r="60" spans="1:5" ht="12.75">
      <c r="A60" s="10"/>
      <c r="B60" s="26" t="s">
        <v>151</v>
      </c>
      <c r="C60" s="12"/>
      <c r="D60" s="12">
        <v>76884.14</v>
      </c>
      <c r="E60" s="63"/>
    </row>
    <row r="61" spans="1:5" ht="12.75">
      <c r="A61" s="21"/>
      <c r="B61" s="22" t="s">
        <v>152</v>
      </c>
      <c r="C61" s="12">
        <f>2000000+1500000</f>
        <v>3500000</v>
      </c>
      <c r="D61" s="12">
        <f>1823507.99</f>
        <v>1823507.99</v>
      </c>
      <c r="E61" s="63">
        <f aca="true" t="shared" si="3" ref="E61:E66">D61/C61</f>
        <v>0.5210022828571429</v>
      </c>
    </row>
    <row r="62" spans="1:5" ht="12.75">
      <c r="A62" s="10"/>
      <c r="B62" s="26" t="s">
        <v>153</v>
      </c>
      <c r="C62" s="12">
        <f>SUM(C63:C67)</f>
        <v>515771</v>
      </c>
      <c r="D62" s="12">
        <f>SUM(D63:D67)</f>
        <v>2757510.71</v>
      </c>
      <c r="E62" s="63">
        <f t="shared" si="3"/>
        <v>5.346385721570232</v>
      </c>
    </row>
    <row r="63" spans="1:5" ht="12.75">
      <c r="A63" s="30"/>
      <c r="B63" s="31" t="s">
        <v>154</v>
      </c>
      <c r="C63" s="12">
        <v>250000</v>
      </c>
      <c r="D63" s="17">
        <v>144785.33</v>
      </c>
      <c r="E63" s="63">
        <f t="shared" si="3"/>
        <v>0.57914132</v>
      </c>
    </row>
    <row r="64" spans="1:5" ht="15.75" customHeight="1">
      <c r="A64" s="15"/>
      <c r="B64" s="31" t="s">
        <v>155</v>
      </c>
      <c r="C64" s="12">
        <f>215187+13000+8239+13026+264-220+8875+7400</f>
        <v>265771</v>
      </c>
      <c r="D64" s="17">
        <f>74542.87+3597.75+223622.95+200.44+1294.99+67978.04+234606.21+19103.09+496+718.37+29931.62+8495.32+85106.49+391.02+23438.23+16301.98+15366.32+10830.4+3004.89+3640+161.1+8973.04+12327.85+6513.37+57.71+203.38+853.35+82.04+1169.31+121738.1+26.94+7582.84+7486.81+4270.27+43.35+5979.12+32.88+47319.4+571.12+3350+5605.35+94.4+3216.14+44+718.17+150+11.36+605.6+2896.44+114.77+400+87.91+2.3+3275.8+22401.47+3433.97+9249.71+0.46+10862.75+26.4+13.04+4932+0.57+899.7+117.89+20300+7490.38+49361.17+11.36+469.92+28.38+301+16700.56+68947.71+76834.86+27.92+15.19+37183+32706.37+5620.15+71180.51+8237.28+4055+108.1+13045.47+15.45+10666.61+510+151767.33+1019.98+1439.39+20966.4+3453.8+47154.26+20623.47+55997.51+2478.85+45436.34+752.4+113+46+29027</f>
        <v>1924661.2799999996</v>
      </c>
      <c r="E64" s="63">
        <f t="shared" si="3"/>
        <v>7.241803206519897</v>
      </c>
    </row>
    <row r="65" spans="1:5" ht="25.5" customHeight="1" hidden="1">
      <c r="A65" s="15"/>
      <c r="B65" s="31" t="s">
        <v>0</v>
      </c>
      <c r="C65" s="12"/>
      <c r="D65" s="77"/>
      <c r="E65" s="63" t="e">
        <f t="shared" si="3"/>
        <v>#DIV/0!</v>
      </c>
    </row>
    <row r="66" spans="1:5" ht="24.75" customHeight="1" hidden="1">
      <c r="A66" s="15"/>
      <c r="B66" s="31" t="s">
        <v>17</v>
      </c>
      <c r="C66" s="12"/>
      <c r="D66" s="77"/>
      <c r="E66" s="63" t="e">
        <f t="shared" si="3"/>
        <v>#DIV/0!</v>
      </c>
    </row>
    <row r="67" spans="1:5" ht="22.5">
      <c r="A67" s="15"/>
      <c r="B67" s="31" t="s">
        <v>238</v>
      </c>
      <c r="C67" s="12"/>
      <c r="D67" s="17">
        <f>7.03+268.82+5539.45+23443.08+17881.91+153759.42+13.5+43439.4+9304.94+12812.8+160.82+35151.56+15725.96+46.34+993.89+150+5443.2+1163.25+28125.78+308.44+69+230468.52+521+18873+9.42+942.28+628.03+5036.58+46+612.78+0.81+21+48399.22+16+28680.87</f>
        <v>688064.1000000002</v>
      </c>
      <c r="E67" s="63"/>
    </row>
    <row r="68" spans="1:5" ht="12.75">
      <c r="A68" s="7">
        <v>5</v>
      </c>
      <c r="B68" s="8" t="s">
        <v>156</v>
      </c>
      <c r="C68" s="27">
        <f>SUM(C69:C85)</f>
        <v>10694627</v>
      </c>
      <c r="D68" s="27">
        <f>SUM(D69:D85)</f>
        <v>10987014.889999999</v>
      </c>
      <c r="E68" s="52">
        <f>D68/C68</f>
        <v>1.0273396996454387</v>
      </c>
    </row>
    <row r="69" spans="1:5" ht="14.25" customHeight="1">
      <c r="A69" s="21"/>
      <c r="B69" s="34" t="s">
        <v>157</v>
      </c>
      <c r="C69" s="12">
        <f>60600+251130+74448</f>
        <v>386178</v>
      </c>
      <c r="D69" s="12">
        <f>48567.54+377015.7+14250</f>
        <v>439833.24</v>
      </c>
      <c r="E69" s="63">
        <f>D69/C69</f>
        <v>1.1389391420536643</v>
      </c>
    </row>
    <row r="70" spans="1:5" ht="12.75">
      <c r="A70" s="21"/>
      <c r="B70" s="35" t="s">
        <v>158</v>
      </c>
      <c r="C70" s="12">
        <v>403800</v>
      </c>
      <c r="D70" s="12">
        <v>470000</v>
      </c>
      <c r="E70" s="63">
        <f>D70/C70</f>
        <v>1.1639425458147599</v>
      </c>
    </row>
    <row r="71" spans="1:5" ht="14.25" customHeight="1">
      <c r="A71" s="21"/>
      <c r="B71" s="35" t="s">
        <v>159</v>
      </c>
      <c r="C71" s="12">
        <v>350000</v>
      </c>
      <c r="D71" s="12">
        <v>459693.72</v>
      </c>
      <c r="E71" s="63">
        <f>D71/C71</f>
        <v>1.3134106285714284</v>
      </c>
    </row>
    <row r="72" spans="1:5" ht="12.75">
      <c r="A72" s="21"/>
      <c r="B72" s="35" t="s">
        <v>68</v>
      </c>
      <c r="C72" s="12"/>
      <c r="D72" s="12">
        <f>2608.43+99.49</f>
        <v>2707.9199999999996</v>
      </c>
      <c r="E72" s="63"/>
    </row>
    <row r="73" spans="1:5" ht="26.25" customHeight="1" hidden="1">
      <c r="A73" s="21"/>
      <c r="B73" s="35" t="s">
        <v>239</v>
      </c>
      <c r="C73" s="12"/>
      <c r="D73" s="70"/>
      <c r="E73" s="63" t="e">
        <f aca="true" t="shared" si="4" ref="E73:E83">D73/C73</f>
        <v>#DIV/0!</v>
      </c>
    </row>
    <row r="74" spans="1:5" ht="26.25" customHeight="1" hidden="1">
      <c r="A74" s="21"/>
      <c r="B74" s="35" t="s">
        <v>26</v>
      </c>
      <c r="C74" s="12"/>
      <c r="D74" s="70"/>
      <c r="E74" s="63" t="e">
        <f t="shared" si="4"/>
        <v>#DIV/0!</v>
      </c>
    </row>
    <row r="75" spans="1:5" ht="33.75">
      <c r="A75" s="21"/>
      <c r="B75" s="35" t="s">
        <v>160</v>
      </c>
      <c r="C75" s="12">
        <f>62000-14652</f>
        <v>47348</v>
      </c>
      <c r="D75" s="12">
        <v>47348</v>
      </c>
      <c r="E75" s="63">
        <f t="shared" si="4"/>
        <v>1</v>
      </c>
    </row>
    <row r="76" spans="1:5" ht="15" customHeight="1">
      <c r="A76" s="21"/>
      <c r="B76" s="35" t="s">
        <v>38</v>
      </c>
      <c r="C76" s="12">
        <v>4932</v>
      </c>
      <c r="D76" s="12">
        <v>1644</v>
      </c>
      <c r="E76" s="63">
        <f t="shared" si="4"/>
        <v>0.3333333333333333</v>
      </c>
    </row>
    <row r="77" spans="1:5" ht="12.75">
      <c r="A77" s="21"/>
      <c r="B77" s="35" t="s">
        <v>39</v>
      </c>
      <c r="C77" s="12">
        <v>50000</v>
      </c>
      <c r="D77" s="12">
        <v>46023.42</v>
      </c>
      <c r="E77" s="63">
        <f t="shared" si="4"/>
        <v>0.9204684</v>
      </c>
    </row>
    <row r="78" spans="1:5" ht="22.5">
      <c r="A78" s="33"/>
      <c r="B78" s="14" t="s">
        <v>161</v>
      </c>
      <c r="C78" s="12">
        <f>8412438+420055</f>
        <v>8832493</v>
      </c>
      <c r="D78" s="12">
        <v>8718423.37</v>
      </c>
      <c r="E78" s="63">
        <f t="shared" si="4"/>
        <v>0.9870852283721028</v>
      </c>
    </row>
    <row r="79" spans="1:5" ht="33.75" hidden="1">
      <c r="A79" s="21"/>
      <c r="B79" s="35" t="s">
        <v>162</v>
      </c>
      <c r="C79" s="12"/>
      <c r="D79" s="12"/>
      <c r="E79" s="63" t="e">
        <f t="shared" si="4"/>
        <v>#DIV/0!</v>
      </c>
    </row>
    <row r="80" spans="1:5" ht="15" customHeight="1">
      <c r="A80" s="33"/>
      <c r="B80" s="14" t="s">
        <v>102</v>
      </c>
      <c r="C80" s="12">
        <f>329876+494814+90000-494814</f>
        <v>419876</v>
      </c>
      <c r="D80" s="12">
        <v>546154.93</v>
      </c>
      <c r="E80" s="63">
        <f t="shared" si="4"/>
        <v>1.300752912764721</v>
      </c>
    </row>
    <row r="81" spans="1:5" ht="38.25" customHeight="1" hidden="1">
      <c r="A81" s="33"/>
      <c r="B81" s="35" t="s">
        <v>233</v>
      </c>
      <c r="C81" s="12"/>
      <c r="D81" s="70"/>
      <c r="E81" s="63" t="e">
        <f t="shared" si="4"/>
        <v>#DIV/0!</v>
      </c>
    </row>
    <row r="82" spans="1:5" ht="12.75">
      <c r="A82" s="33"/>
      <c r="B82" s="16" t="s">
        <v>76</v>
      </c>
      <c r="C82" s="53"/>
      <c r="D82" s="53">
        <v>50015.7</v>
      </c>
      <c r="E82" s="82"/>
    </row>
    <row r="83" spans="1:5" ht="33.75">
      <c r="A83" s="33"/>
      <c r="B83" s="35" t="s">
        <v>106</v>
      </c>
      <c r="C83" s="12">
        <f>100000+100000</f>
        <v>200000</v>
      </c>
      <c r="D83" s="12">
        <f>100000+84380.88</f>
        <v>184380.88</v>
      </c>
      <c r="E83" s="63">
        <f t="shared" si="4"/>
        <v>0.9219044000000001</v>
      </c>
    </row>
    <row r="84" spans="1:5" ht="33.75" hidden="1">
      <c r="A84" s="33"/>
      <c r="B84" s="14" t="s">
        <v>25</v>
      </c>
      <c r="C84" s="12"/>
      <c r="D84" s="70"/>
      <c r="E84" s="63"/>
    </row>
    <row r="85" spans="1:5" ht="22.5">
      <c r="A85" s="33"/>
      <c r="B85" s="14" t="s">
        <v>241</v>
      </c>
      <c r="C85" s="12"/>
      <c r="D85" s="12">
        <f>18159.75+2629.96</f>
        <v>20789.71</v>
      </c>
      <c r="E85" s="63"/>
    </row>
    <row r="86" spans="1:5" ht="18.75" customHeight="1">
      <c r="A86" s="7">
        <v>6</v>
      </c>
      <c r="B86" s="8" t="s">
        <v>163</v>
      </c>
      <c r="C86" s="27">
        <f>SUM(C87:C120)</f>
        <v>1572211</v>
      </c>
      <c r="D86" s="27">
        <f>SUM(D87:D120)</f>
        <v>1572708.68</v>
      </c>
      <c r="E86" s="63">
        <f>D86/C86</f>
        <v>1.000316547842497</v>
      </c>
    </row>
    <row r="87" spans="1:5" ht="22.5">
      <c r="A87" s="21"/>
      <c r="B87" s="35" t="s">
        <v>105</v>
      </c>
      <c r="C87" s="12">
        <f>281400-2900</f>
        <v>278500</v>
      </c>
      <c r="D87" s="12">
        <v>278500</v>
      </c>
      <c r="E87" s="63">
        <f>D87/C87</f>
        <v>1</v>
      </c>
    </row>
    <row r="88" spans="1:5" ht="12.75">
      <c r="A88" s="21"/>
      <c r="B88" s="14" t="s">
        <v>167</v>
      </c>
      <c r="C88" s="12"/>
      <c r="D88" s="70"/>
      <c r="E88" s="63"/>
    </row>
    <row r="89" spans="1:5" ht="12.75">
      <c r="A89" s="21"/>
      <c r="B89" s="14" t="s">
        <v>40</v>
      </c>
      <c r="C89" s="12">
        <f>288502-39691</f>
        <v>248811</v>
      </c>
      <c r="D89" s="12">
        <v>245223.73</v>
      </c>
      <c r="E89" s="63">
        <f>D89/C89</f>
        <v>0.9855823496549591</v>
      </c>
    </row>
    <row r="90" spans="1:5" ht="22.5" hidden="1">
      <c r="A90" s="21"/>
      <c r="B90" s="14" t="s">
        <v>168</v>
      </c>
      <c r="C90" s="12"/>
      <c r="D90" s="70"/>
      <c r="E90" s="63"/>
    </row>
    <row r="91" spans="1:5" ht="33.75" hidden="1">
      <c r="A91" s="21"/>
      <c r="B91" s="14" t="s">
        <v>169</v>
      </c>
      <c r="C91" s="12"/>
      <c r="D91" s="70"/>
      <c r="E91" s="63"/>
    </row>
    <row r="92" spans="1:5" ht="22.5" hidden="1">
      <c r="A92" s="21"/>
      <c r="B92" s="35" t="s">
        <v>170</v>
      </c>
      <c r="C92" s="12"/>
      <c r="D92" s="70"/>
      <c r="E92" s="63"/>
    </row>
    <row r="93" spans="1:5" ht="22.5" hidden="1">
      <c r="A93" s="36"/>
      <c r="B93" s="14" t="s">
        <v>171</v>
      </c>
      <c r="C93" s="12"/>
      <c r="D93" s="70"/>
      <c r="E93" s="63"/>
    </row>
    <row r="94" spans="1:5" ht="12.75" hidden="1">
      <c r="A94" s="36"/>
      <c r="B94" s="14" t="s">
        <v>9</v>
      </c>
      <c r="C94" s="12"/>
      <c r="D94" s="70"/>
      <c r="E94" s="63"/>
    </row>
    <row r="95" spans="1:5" ht="12.75" hidden="1">
      <c r="A95" s="36"/>
      <c r="B95" s="14" t="s">
        <v>10</v>
      </c>
      <c r="C95" s="12"/>
      <c r="D95" s="70"/>
      <c r="E95" s="63"/>
    </row>
    <row r="96" spans="1:5" ht="33.75">
      <c r="A96" s="36"/>
      <c r="B96" s="14" t="s">
        <v>136</v>
      </c>
      <c r="C96" s="12">
        <v>52000</v>
      </c>
      <c r="D96" s="12"/>
      <c r="E96" s="63">
        <f aca="true" t="shared" si="5" ref="E96:E103">D96/C96</f>
        <v>0</v>
      </c>
    </row>
    <row r="97" spans="1:5" ht="22.5">
      <c r="A97" s="36"/>
      <c r="B97" s="14" t="s">
        <v>108</v>
      </c>
      <c r="C97" s="12">
        <v>188712</v>
      </c>
      <c r="D97" s="12">
        <v>243408.26</v>
      </c>
      <c r="E97" s="63">
        <f t="shared" si="5"/>
        <v>1.2898398617999915</v>
      </c>
    </row>
    <row r="98" spans="1:5" ht="22.5">
      <c r="A98" s="36"/>
      <c r="B98" s="14" t="s">
        <v>109</v>
      </c>
      <c r="C98" s="12">
        <v>20000</v>
      </c>
      <c r="D98" s="12"/>
      <c r="E98" s="63">
        <f t="shared" si="5"/>
        <v>0</v>
      </c>
    </row>
    <row r="99" spans="1:5" ht="16.5" customHeight="1">
      <c r="A99" s="36"/>
      <c r="B99" s="14" t="s">
        <v>135</v>
      </c>
      <c r="C99" s="12">
        <v>5008</v>
      </c>
      <c r="D99" s="12">
        <v>18992</v>
      </c>
      <c r="E99" s="63">
        <f t="shared" si="5"/>
        <v>3.792332268370607</v>
      </c>
    </row>
    <row r="100" spans="1:5" ht="16.5" customHeight="1">
      <c r="A100" s="36"/>
      <c r="B100" s="14" t="s">
        <v>70</v>
      </c>
      <c r="C100" s="12">
        <v>13010</v>
      </c>
      <c r="D100" s="12"/>
      <c r="E100" s="63">
        <f t="shared" si="5"/>
        <v>0</v>
      </c>
    </row>
    <row r="101" spans="1:5" ht="22.5">
      <c r="A101" s="36"/>
      <c r="B101" s="14" t="s">
        <v>120</v>
      </c>
      <c r="C101" s="12">
        <v>6500</v>
      </c>
      <c r="D101" s="12">
        <v>6500</v>
      </c>
      <c r="E101" s="63">
        <f t="shared" si="5"/>
        <v>1</v>
      </c>
    </row>
    <row r="102" spans="1:5" ht="22.5">
      <c r="A102" s="36"/>
      <c r="B102" s="14" t="s">
        <v>30</v>
      </c>
      <c r="C102" s="12">
        <f>4042+40+100000+5000</f>
        <v>109082</v>
      </c>
      <c r="D102" s="12">
        <v>109082</v>
      </c>
      <c r="E102" s="63">
        <f t="shared" si="5"/>
        <v>1</v>
      </c>
    </row>
    <row r="103" spans="1:5" ht="33.75">
      <c r="A103" s="36"/>
      <c r="B103" s="14" t="s">
        <v>24</v>
      </c>
      <c r="C103" s="12">
        <v>230000</v>
      </c>
      <c r="D103" s="12">
        <v>230000</v>
      </c>
      <c r="E103" s="63">
        <f t="shared" si="5"/>
        <v>1</v>
      </c>
    </row>
    <row r="104" spans="1:5" ht="22.5">
      <c r="A104" s="36"/>
      <c r="B104" s="14" t="s">
        <v>176</v>
      </c>
      <c r="C104" s="12"/>
      <c r="D104" s="12">
        <v>100000</v>
      </c>
      <c r="E104" s="63"/>
    </row>
    <row r="105" spans="1:5" ht="22.5" hidden="1">
      <c r="A105" s="36"/>
      <c r="B105" s="14" t="s">
        <v>137</v>
      </c>
      <c r="C105" s="12"/>
      <c r="D105" s="70"/>
      <c r="E105" s="63"/>
    </row>
    <row r="106" spans="1:5" ht="33.75" hidden="1">
      <c r="A106" s="36"/>
      <c r="B106" s="14" t="s">
        <v>28</v>
      </c>
      <c r="C106" s="12"/>
      <c r="D106" s="70"/>
      <c r="E106" s="63"/>
    </row>
    <row r="107" spans="1:5" ht="22.5" hidden="1">
      <c r="A107" s="36"/>
      <c r="B107" s="14" t="s">
        <v>6</v>
      </c>
      <c r="C107" s="12"/>
      <c r="D107" s="70"/>
      <c r="E107" s="63"/>
    </row>
    <row r="108" spans="1:5" ht="12.75" hidden="1">
      <c r="A108" s="36"/>
      <c r="B108" s="35" t="s">
        <v>8</v>
      </c>
      <c r="C108" s="12">
        <f>217897-217897</f>
        <v>0</v>
      </c>
      <c r="D108" s="12"/>
      <c r="E108" s="63"/>
    </row>
    <row r="109" spans="1:5" ht="15" customHeight="1">
      <c r="A109" s="36"/>
      <c r="B109" s="35" t="s">
        <v>41</v>
      </c>
      <c r="C109" s="12">
        <f>180136+77609</f>
        <v>257745</v>
      </c>
      <c r="D109" s="12">
        <f>176484.34+2098.6</f>
        <v>178582.94</v>
      </c>
      <c r="E109" s="63">
        <f>D109/C109</f>
        <v>0.692866748142544</v>
      </c>
    </row>
    <row r="110" spans="1:5" ht="22.5">
      <c r="A110" s="36"/>
      <c r="B110" s="35" t="s">
        <v>42</v>
      </c>
      <c r="C110" s="12">
        <f>1326-1326+498</f>
        <v>498</v>
      </c>
      <c r="D110" s="12">
        <f>450+3.78</f>
        <v>453.78</v>
      </c>
      <c r="E110" s="63">
        <f>D110/C110</f>
        <v>0.9112048192771084</v>
      </c>
    </row>
    <row r="111" spans="1:5" ht="12.75">
      <c r="A111" s="36"/>
      <c r="B111" s="35" t="s">
        <v>43</v>
      </c>
      <c r="C111" s="12">
        <v>3934</v>
      </c>
      <c r="D111" s="12">
        <f>1877.08+703.24+1353.62-217.45</f>
        <v>3716.49</v>
      </c>
      <c r="E111" s="63">
        <f>D111/C111</f>
        <v>0.9447102186070157</v>
      </c>
    </row>
    <row r="112" spans="1:5" ht="12.75">
      <c r="A112" s="36"/>
      <c r="B112" s="35" t="s">
        <v>44</v>
      </c>
      <c r="C112" s="12">
        <v>1313</v>
      </c>
      <c r="D112" s="12">
        <f>1313.02-192.81</f>
        <v>1120.21</v>
      </c>
      <c r="E112" s="63">
        <f>D112/C112</f>
        <v>0.8531683168316831</v>
      </c>
    </row>
    <row r="113" spans="1:5" s="73" customFormat="1" ht="16.5" customHeight="1">
      <c r="A113" s="74"/>
      <c r="B113" s="14" t="s">
        <v>45</v>
      </c>
      <c r="C113" s="12"/>
      <c r="D113" s="12">
        <v>30.87</v>
      </c>
      <c r="E113" s="63"/>
    </row>
    <row r="114" spans="1:5" ht="33.75" hidden="1">
      <c r="A114" s="21"/>
      <c r="B114" s="14" t="s">
        <v>172</v>
      </c>
      <c r="C114" s="12"/>
      <c r="D114" s="70"/>
      <c r="E114" s="63"/>
    </row>
    <row r="115" spans="1:5" ht="12.75" hidden="1">
      <c r="A115" s="21"/>
      <c r="B115" s="14" t="s">
        <v>173</v>
      </c>
      <c r="C115" s="12"/>
      <c r="D115" s="70"/>
      <c r="E115" s="63"/>
    </row>
    <row r="116" spans="1:5" ht="17.25" customHeight="1" hidden="1">
      <c r="A116" s="21"/>
      <c r="B116" s="14" t="s">
        <v>177</v>
      </c>
      <c r="C116" s="12"/>
      <c r="D116" s="70"/>
      <c r="E116" s="63"/>
    </row>
    <row r="117" spans="1:5" ht="12.75" hidden="1">
      <c r="A117" s="21"/>
      <c r="B117" s="14" t="s">
        <v>178</v>
      </c>
      <c r="C117" s="12"/>
      <c r="D117" s="70"/>
      <c r="E117" s="63"/>
    </row>
    <row r="118" spans="1:5" ht="12.75" hidden="1">
      <c r="A118" s="21"/>
      <c r="B118" s="14" t="s">
        <v>179</v>
      </c>
      <c r="C118" s="12"/>
      <c r="D118" s="70"/>
      <c r="E118" s="63"/>
    </row>
    <row r="119" spans="1:5" ht="22.5">
      <c r="A119" s="21"/>
      <c r="B119" s="35" t="s">
        <v>180</v>
      </c>
      <c r="C119" s="12">
        <f>52640+52700+52700-942</f>
        <v>157098</v>
      </c>
      <c r="D119" s="12">
        <f>52640.4+51758+52700</f>
        <v>157098.4</v>
      </c>
      <c r="E119" s="63">
        <f>D119/C119</f>
        <v>1.0000025461813644</v>
      </c>
    </row>
    <row r="120" spans="1:5" ht="22.5" hidden="1">
      <c r="A120" s="21"/>
      <c r="B120" s="35" t="s">
        <v>181</v>
      </c>
      <c r="C120" s="12"/>
      <c r="D120" s="70"/>
      <c r="E120" s="63" t="e">
        <f aca="true" t="shared" si="6" ref="E120:E147">D120/C120</f>
        <v>#DIV/0!</v>
      </c>
    </row>
    <row r="121" spans="1:5" ht="12.75">
      <c r="A121" s="7">
        <v>7</v>
      </c>
      <c r="B121" s="8" t="s">
        <v>190</v>
      </c>
      <c r="C121" s="27">
        <f>SUM(C122:C123)</f>
        <v>321459862</v>
      </c>
      <c r="D121" s="27">
        <f>SUM(D122:D123)</f>
        <v>308813712.47</v>
      </c>
      <c r="E121" s="63">
        <f t="shared" si="6"/>
        <v>0.960660253347586</v>
      </c>
    </row>
    <row r="122" spans="1:5" ht="12.75">
      <c r="A122" s="21"/>
      <c r="B122" s="22" t="s">
        <v>191</v>
      </c>
      <c r="C122" s="12">
        <f>66680665+242392349-9107650-2505502</f>
        <v>297459862</v>
      </c>
      <c r="D122" s="12">
        <f>226237317+62236503</f>
        <v>288473820</v>
      </c>
      <c r="E122" s="63">
        <f t="shared" si="6"/>
        <v>0.9697907410445851</v>
      </c>
    </row>
    <row r="123" spans="1:5" ht="12.75">
      <c r="A123" s="21"/>
      <c r="B123" s="22" t="s">
        <v>192</v>
      </c>
      <c r="C123" s="12">
        <f>24000000</f>
        <v>24000000</v>
      </c>
      <c r="D123" s="12">
        <f>16834776.88+3505115.59</f>
        <v>20339892.47</v>
      </c>
      <c r="E123" s="63">
        <f t="shared" si="6"/>
        <v>0.8474955195833332</v>
      </c>
    </row>
    <row r="124" spans="1:5" ht="30.75" customHeight="1">
      <c r="A124" s="85" t="s">
        <v>19</v>
      </c>
      <c r="B124" s="85"/>
      <c r="C124" s="27">
        <f>SUM(C125:C160)</f>
        <v>13863027</v>
      </c>
      <c r="D124" s="27">
        <f>SUM(D125:D160)</f>
        <v>8825220.25</v>
      </c>
      <c r="E124" s="63">
        <f t="shared" si="6"/>
        <v>0.6366012451681728</v>
      </c>
    </row>
    <row r="125" spans="1:5" ht="12.75" hidden="1">
      <c r="A125" s="21"/>
      <c r="B125" s="14" t="s">
        <v>167</v>
      </c>
      <c r="C125" s="12"/>
      <c r="D125" s="70"/>
      <c r="E125" s="63" t="e">
        <f t="shared" si="6"/>
        <v>#DIV/0!</v>
      </c>
    </row>
    <row r="126" spans="1:5" ht="22.5">
      <c r="A126" s="33"/>
      <c r="B126" s="14" t="s">
        <v>182</v>
      </c>
      <c r="C126" s="12">
        <f>553246-4752-1092</f>
        <v>547402</v>
      </c>
      <c r="D126" s="12">
        <f>20762.58+195.8+63370.16+2159.27+428339.23+7249.35+64122</f>
        <v>586198.3899999999</v>
      </c>
      <c r="E126" s="63">
        <f t="shared" si="6"/>
        <v>1.070873672365099</v>
      </c>
    </row>
    <row r="127" spans="1:5" ht="22.5">
      <c r="A127" s="21"/>
      <c r="B127" s="22" t="s">
        <v>46</v>
      </c>
      <c r="C127" s="12">
        <v>240739</v>
      </c>
      <c r="D127" s="12">
        <v>150693</v>
      </c>
      <c r="E127" s="63">
        <f t="shared" si="6"/>
        <v>0.6259600646343135</v>
      </c>
    </row>
    <row r="128" spans="1:5" ht="22.5">
      <c r="A128" s="21"/>
      <c r="B128" s="14" t="s">
        <v>47</v>
      </c>
      <c r="C128" s="12">
        <f>6229641-351472</f>
        <v>5878169</v>
      </c>
      <c r="D128" s="12">
        <f>1172443.36+429014.23</f>
        <v>1601457.59</v>
      </c>
      <c r="E128" s="63">
        <f t="shared" si="6"/>
        <v>0.2724415698153626</v>
      </c>
    </row>
    <row r="129" spans="1:5" ht="22.5" hidden="1">
      <c r="A129" s="21"/>
      <c r="B129" s="14" t="s">
        <v>184</v>
      </c>
      <c r="C129" s="12"/>
      <c r="D129" s="12"/>
      <c r="E129" s="63" t="e">
        <f t="shared" si="6"/>
        <v>#DIV/0!</v>
      </c>
    </row>
    <row r="130" spans="1:5" ht="12.75" hidden="1">
      <c r="A130" s="21"/>
      <c r="B130" s="14" t="s">
        <v>75</v>
      </c>
      <c r="C130" s="12">
        <v>0</v>
      </c>
      <c r="D130" s="12"/>
      <c r="E130" s="63" t="e">
        <f t="shared" si="6"/>
        <v>#DIV/0!</v>
      </c>
    </row>
    <row r="131" spans="1:5" ht="33.75">
      <c r="A131" s="21"/>
      <c r="B131" s="14" t="s">
        <v>48</v>
      </c>
      <c r="C131" s="12">
        <v>67780</v>
      </c>
      <c r="D131" s="12"/>
      <c r="E131" s="63">
        <f t="shared" si="6"/>
        <v>0</v>
      </c>
    </row>
    <row r="132" spans="1:5" ht="12.75">
      <c r="A132" s="21"/>
      <c r="B132" s="14" t="s">
        <v>49</v>
      </c>
      <c r="C132" s="12">
        <f>1634840-224915</f>
        <v>1409925</v>
      </c>
      <c r="D132" s="12">
        <v>1404201.91</v>
      </c>
      <c r="E132" s="63">
        <f t="shared" si="6"/>
        <v>0.9959408550100182</v>
      </c>
    </row>
    <row r="133" spans="1:5" ht="12.75">
      <c r="A133" s="21"/>
      <c r="B133" s="14" t="s">
        <v>50</v>
      </c>
      <c r="C133" s="12"/>
      <c r="D133" s="12">
        <v>115086.79</v>
      </c>
      <c r="E133" s="63"/>
    </row>
    <row r="134" spans="1:5" ht="12.75">
      <c r="A134" s="21"/>
      <c r="B134" s="14" t="s">
        <v>51</v>
      </c>
      <c r="C134" s="12">
        <v>75408</v>
      </c>
      <c r="D134" s="12">
        <v>66472.88</v>
      </c>
      <c r="E134" s="63">
        <f t="shared" si="6"/>
        <v>0.881509654148101</v>
      </c>
    </row>
    <row r="135" spans="1:5" ht="12.75">
      <c r="A135" s="21"/>
      <c r="B135" s="14" t="s">
        <v>52</v>
      </c>
      <c r="C135" s="12">
        <v>309570</v>
      </c>
      <c r="D135" s="12">
        <v>128590.78</v>
      </c>
      <c r="E135" s="63">
        <f t="shared" si="6"/>
        <v>0.4153851471395807</v>
      </c>
    </row>
    <row r="136" spans="1:5" ht="12.75">
      <c r="A136" s="21"/>
      <c r="B136" s="14" t="s">
        <v>53</v>
      </c>
      <c r="C136" s="12">
        <v>221000</v>
      </c>
      <c r="D136" s="12">
        <v>67192.1</v>
      </c>
      <c r="E136" s="63">
        <f t="shared" si="6"/>
        <v>0.30403665158371046</v>
      </c>
    </row>
    <row r="137" spans="1:5" ht="22.5" hidden="1">
      <c r="A137" s="21"/>
      <c r="B137" s="14" t="s">
        <v>186</v>
      </c>
      <c r="C137" s="12"/>
      <c r="D137" s="12"/>
      <c r="E137" s="63" t="e">
        <f t="shared" si="6"/>
        <v>#DIV/0!</v>
      </c>
    </row>
    <row r="138" spans="1:5" ht="12.75" hidden="1">
      <c r="A138" s="21"/>
      <c r="B138" s="14" t="s">
        <v>187</v>
      </c>
      <c r="C138" s="12"/>
      <c r="D138" s="12"/>
      <c r="E138" s="63" t="e">
        <f t="shared" si="6"/>
        <v>#DIV/0!</v>
      </c>
    </row>
    <row r="139" spans="1:5" ht="12.75">
      <c r="A139" s="21"/>
      <c r="B139" s="35" t="s">
        <v>54</v>
      </c>
      <c r="C139" s="12">
        <f>128521+156</f>
        <v>128677</v>
      </c>
      <c r="D139" s="12">
        <v>128676.95</v>
      </c>
      <c r="E139" s="63">
        <f t="shared" si="6"/>
        <v>0.9999996114301701</v>
      </c>
    </row>
    <row r="140" spans="1:5" ht="12.75">
      <c r="A140" s="21"/>
      <c r="B140" s="35" t="s">
        <v>43</v>
      </c>
      <c r="C140" s="12">
        <v>22292</v>
      </c>
      <c r="D140" s="12">
        <f>10636.78+3985+7670.54</f>
        <v>22292.32</v>
      </c>
      <c r="E140" s="63">
        <f t="shared" si="6"/>
        <v>1.0000143549255338</v>
      </c>
    </row>
    <row r="141" spans="1:5" ht="12.75">
      <c r="A141" s="21"/>
      <c r="B141" s="35" t="s">
        <v>55</v>
      </c>
      <c r="C141" s="12"/>
      <c r="D141" s="12">
        <f>4337.98+10068.84</f>
        <v>14406.82</v>
      </c>
      <c r="E141" s="63"/>
    </row>
    <row r="142" spans="1:5" ht="12.75">
      <c r="A142" s="21"/>
      <c r="B142" s="35" t="s">
        <v>56</v>
      </c>
      <c r="C142" s="12">
        <f>3526034-973369</f>
        <v>2552665</v>
      </c>
      <c r="D142" s="12">
        <v>2552664.1</v>
      </c>
      <c r="E142" s="63">
        <f t="shared" si="6"/>
        <v>0.9999996474272966</v>
      </c>
    </row>
    <row r="143" spans="1:5" ht="12.75">
      <c r="A143" s="21"/>
      <c r="B143" s="35" t="s">
        <v>41</v>
      </c>
      <c r="C143" s="12">
        <v>1020768</v>
      </c>
      <c r="D143" s="12">
        <f>1104816.4+18546.03</f>
        <v>1123362.43</v>
      </c>
      <c r="E143" s="63">
        <f t="shared" si="6"/>
        <v>1.1005070985767578</v>
      </c>
    </row>
    <row r="144" spans="1:5" ht="12.75" hidden="1">
      <c r="A144" s="21"/>
      <c r="B144" s="35" t="s">
        <v>31</v>
      </c>
      <c r="C144" s="12">
        <v>0</v>
      </c>
      <c r="D144" s="12"/>
      <c r="E144" s="63" t="e">
        <f t="shared" si="6"/>
        <v>#DIV/0!</v>
      </c>
    </row>
    <row r="145" spans="1:5" ht="22.5">
      <c r="A145" s="21"/>
      <c r="B145" s="14" t="s">
        <v>188</v>
      </c>
      <c r="C145" s="12"/>
      <c r="D145" s="12">
        <v>60520.95</v>
      </c>
      <c r="E145" s="63"/>
    </row>
    <row r="146" spans="1:5" ht="22.5">
      <c r="A146" s="21"/>
      <c r="B146" s="14" t="s">
        <v>57</v>
      </c>
      <c r="C146" s="12"/>
      <c r="D146" s="12">
        <v>32544.12</v>
      </c>
      <c r="E146" s="63"/>
    </row>
    <row r="147" spans="1:5" ht="22.5">
      <c r="A147" s="21"/>
      <c r="B147" s="14" t="s">
        <v>58</v>
      </c>
      <c r="C147" s="12">
        <v>93106</v>
      </c>
      <c r="D147" s="12">
        <v>137442.08</v>
      </c>
      <c r="E147" s="63">
        <f t="shared" si="6"/>
        <v>1.4761892896268767</v>
      </c>
    </row>
    <row r="148" spans="1:5" ht="12.75">
      <c r="A148" s="21"/>
      <c r="B148" s="14" t="s">
        <v>59</v>
      </c>
      <c r="C148" s="12"/>
      <c r="D148" s="12">
        <v>94169.5</v>
      </c>
      <c r="E148" s="63"/>
    </row>
    <row r="149" spans="1:5" s="73" customFormat="1" ht="13.5" customHeight="1">
      <c r="A149" s="74"/>
      <c r="B149" s="14" t="s">
        <v>45</v>
      </c>
      <c r="C149" s="12">
        <v>138803</v>
      </c>
      <c r="D149" s="12">
        <v>742.9</v>
      </c>
      <c r="E149" s="63">
        <f aca="true" t="shared" si="7" ref="E149:E157">D149/C149</f>
        <v>0.005352189794168714</v>
      </c>
    </row>
    <row r="150" spans="1:5" s="73" customFormat="1" ht="14.25" customHeight="1">
      <c r="A150" s="74"/>
      <c r="B150" s="14" t="s">
        <v>60</v>
      </c>
      <c r="C150" s="12">
        <v>230836</v>
      </c>
      <c r="D150" s="12">
        <v>457052.59</v>
      </c>
      <c r="E150" s="63">
        <f t="shared" si="7"/>
        <v>1.97998834670502</v>
      </c>
    </row>
    <row r="151" spans="1:5" ht="22.5">
      <c r="A151" s="21"/>
      <c r="B151" s="14" t="s">
        <v>61</v>
      </c>
      <c r="C151" s="12">
        <v>264162</v>
      </c>
      <c r="D151" s="12"/>
      <c r="E151" s="63">
        <f t="shared" si="7"/>
        <v>0</v>
      </c>
    </row>
    <row r="152" spans="1:5" ht="22.5">
      <c r="A152" s="21"/>
      <c r="B152" s="14" t="s">
        <v>62</v>
      </c>
      <c r="C152" s="12">
        <v>62779</v>
      </c>
      <c r="D152" s="12">
        <v>62778.77</v>
      </c>
      <c r="E152" s="63">
        <f t="shared" si="7"/>
        <v>0.9999963363545133</v>
      </c>
    </row>
    <row r="153" spans="1:5" ht="22.5">
      <c r="A153" s="21"/>
      <c r="B153" s="14" t="s">
        <v>63</v>
      </c>
      <c r="C153" s="12">
        <v>73463</v>
      </c>
      <c r="D153" s="12"/>
      <c r="E153" s="63">
        <f t="shared" si="7"/>
        <v>0</v>
      </c>
    </row>
    <row r="154" spans="1:5" ht="14.25" customHeight="1">
      <c r="A154" s="21"/>
      <c r="B154" s="14" t="s">
        <v>64</v>
      </c>
      <c r="C154" s="12">
        <v>35976</v>
      </c>
      <c r="D154" s="12"/>
      <c r="E154" s="63">
        <f t="shared" si="7"/>
        <v>0</v>
      </c>
    </row>
    <row r="155" spans="1:5" ht="22.5">
      <c r="A155" s="21"/>
      <c r="B155" s="35" t="s">
        <v>42</v>
      </c>
      <c r="C155" s="12">
        <f>7514-4692</f>
        <v>2822</v>
      </c>
      <c r="D155" s="12">
        <f>2550+21.43</f>
        <v>2571.43</v>
      </c>
      <c r="E155" s="63">
        <f t="shared" si="7"/>
        <v>0.9112083628632175</v>
      </c>
    </row>
    <row r="156" spans="1:5" ht="12.75">
      <c r="A156" s="21"/>
      <c r="B156" s="78" t="s">
        <v>65</v>
      </c>
      <c r="C156" s="12">
        <v>19000</v>
      </c>
      <c r="D156" s="12">
        <v>8661.85</v>
      </c>
      <c r="E156" s="63">
        <f t="shared" si="7"/>
        <v>0.4558868421052632</v>
      </c>
    </row>
    <row r="157" spans="1:5" ht="12.75">
      <c r="A157" s="21"/>
      <c r="B157" s="35" t="s">
        <v>44</v>
      </c>
      <c r="C157" s="12">
        <v>7441</v>
      </c>
      <c r="D157" s="12">
        <v>7440</v>
      </c>
      <c r="E157" s="63">
        <f t="shared" si="7"/>
        <v>0.9998656094610939</v>
      </c>
    </row>
    <row r="158" spans="1:5" ht="22.5">
      <c r="A158" s="21"/>
      <c r="B158" s="14" t="s">
        <v>66</v>
      </c>
      <c r="C158" s="12">
        <v>460244</v>
      </c>
      <c r="D158" s="70"/>
      <c r="E158" s="63">
        <f aca="true" t="shared" si="8" ref="E158:E182">D158/C158</f>
        <v>0</v>
      </c>
    </row>
    <row r="159" spans="1:5" ht="12.75" hidden="1">
      <c r="A159" s="21"/>
      <c r="B159" s="14" t="s">
        <v>189</v>
      </c>
      <c r="C159" s="12"/>
      <c r="D159" s="70"/>
      <c r="E159" s="63" t="e">
        <f t="shared" si="8"/>
        <v>#DIV/0!</v>
      </c>
    </row>
    <row r="160" spans="1:5" ht="22.5" hidden="1">
      <c r="A160" s="21"/>
      <c r="B160" s="35" t="s">
        <v>170</v>
      </c>
      <c r="C160" s="12"/>
      <c r="D160" s="70"/>
      <c r="E160" s="63" t="e">
        <f t="shared" si="8"/>
        <v>#DIV/0!</v>
      </c>
    </row>
    <row r="161" spans="1:5" ht="20.25" customHeight="1">
      <c r="A161" s="85" t="s">
        <v>12</v>
      </c>
      <c r="B161" s="85"/>
      <c r="C161" s="5">
        <f>SUM(C162:C164)</f>
        <v>217589116</v>
      </c>
      <c r="D161" s="5">
        <f>SUM(D162:D164)</f>
        <v>218144028</v>
      </c>
      <c r="E161" s="52">
        <f t="shared" si="8"/>
        <v>1.0025502746194346</v>
      </c>
    </row>
    <row r="162" spans="1:5" ht="16.5" customHeight="1">
      <c r="A162" s="21">
        <v>1</v>
      </c>
      <c r="B162" s="22" t="s">
        <v>193</v>
      </c>
      <c r="C162" s="12">
        <f>118483187+91302915-256833+2973754+77042+99451</f>
        <v>212679516</v>
      </c>
      <c r="D162" s="12">
        <v>212679516</v>
      </c>
      <c r="E162" s="63">
        <f t="shared" si="8"/>
        <v>1</v>
      </c>
    </row>
    <row r="163" spans="1:5" ht="17.25" customHeight="1">
      <c r="A163" s="21">
        <v>2</v>
      </c>
      <c r="B163" s="39" t="s">
        <v>194</v>
      </c>
      <c r="C163" s="12">
        <f>4909583+17</f>
        <v>4909600</v>
      </c>
      <c r="D163" s="12">
        <v>4909600</v>
      </c>
      <c r="E163" s="63">
        <f t="shared" si="8"/>
        <v>1</v>
      </c>
    </row>
    <row r="164" spans="1:5" ht="24.75" customHeight="1">
      <c r="A164" s="21">
        <v>3</v>
      </c>
      <c r="B164" s="81" t="s">
        <v>232</v>
      </c>
      <c r="C164" s="12"/>
      <c r="D164" s="12">
        <f>508046+46866</f>
        <v>554912</v>
      </c>
      <c r="E164" s="63"/>
    </row>
    <row r="165" spans="1:5" ht="21" customHeight="1">
      <c r="A165" s="87" t="s">
        <v>13</v>
      </c>
      <c r="B165" s="88"/>
      <c r="C165" s="5">
        <f>SUM(C166,C193,C202)</f>
        <v>90421546</v>
      </c>
      <c r="D165" s="5">
        <f>SUM(D166,D193,D202)</f>
        <v>89363457.37</v>
      </c>
      <c r="E165" s="52">
        <f t="shared" si="8"/>
        <v>0.9882982687555464</v>
      </c>
    </row>
    <row r="166" spans="1:5" ht="12.75">
      <c r="A166" s="40">
        <v>1</v>
      </c>
      <c r="B166" s="41" t="s">
        <v>196</v>
      </c>
      <c r="C166" s="27">
        <f>SUM(C167:C169,C179:C192)</f>
        <v>78197762</v>
      </c>
      <c r="D166" s="27">
        <f>SUM(D167:D169,D179:D192)</f>
        <v>77407658.92</v>
      </c>
      <c r="E166" s="52">
        <f t="shared" si="8"/>
        <v>0.9898960908881255</v>
      </c>
    </row>
    <row r="167" spans="1:5" ht="16.5" customHeight="1">
      <c r="A167" s="21"/>
      <c r="B167" s="42" t="s">
        <v>15</v>
      </c>
      <c r="C167" s="12">
        <f>806800+5000+6000</f>
        <v>817800</v>
      </c>
      <c r="D167" s="12">
        <v>816562.15</v>
      </c>
      <c r="E167" s="63">
        <f t="shared" si="8"/>
        <v>0.9984863658596234</v>
      </c>
    </row>
    <row r="168" spans="1:5" ht="12.75">
      <c r="A168" s="21"/>
      <c r="B168" s="22" t="s">
        <v>197</v>
      </c>
      <c r="C168" s="12">
        <f>12182016+77893+613+178711</f>
        <v>12439233</v>
      </c>
      <c r="D168" s="12">
        <f>12432849.74+613</f>
        <v>12433462.74</v>
      </c>
      <c r="E168" s="63">
        <f t="shared" si="8"/>
        <v>0.9995361241324123</v>
      </c>
    </row>
    <row r="169" spans="1:5" ht="12.75">
      <c r="A169" s="21"/>
      <c r="B169" s="22" t="s">
        <v>198</v>
      </c>
      <c r="C169" s="12">
        <f>SUM(C170:C178)</f>
        <v>45136537</v>
      </c>
      <c r="D169" s="12">
        <f>SUM(D170:D178)</f>
        <v>44366597.419999994</v>
      </c>
      <c r="E169" s="63">
        <f t="shared" si="8"/>
        <v>0.9829419882167743</v>
      </c>
    </row>
    <row r="170" spans="1:5" ht="12.75">
      <c r="A170" s="43"/>
      <c r="B170" s="44" t="s">
        <v>199</v>
      </c>
      <c r="C170" s="55">
        <f>1769040+18960+228287+58100</f>
        <v>2074387</v>
      </c>
      <c r="D170" s="17">
        <v>2015782.27</v>
      </c>
      <c r="E170" s="63">
        <f t="shared" si="8"/>
        <v>0.971748410494281</v>
      </c>
    </row>
    <row r="171" spans="1:5" ht="12.75">
      <c r="A171" s="43"/>
      <c r="B171" s="44" t="s">
        <v>200</v>
      </c>
      <c r="C171" s="55">
        <f>41000-5500+8000+49120+8590</f>
        <v>101210</v>
      </c>
      <c r="D171" s="17">
        <v>89063.47</v>
      </c>
      <c r="E171" s="63">
        <f t="shared" si="8"/>
        <v>0.8799868590060271</v>
      </c>
    </row>
    <row r="172" spans="1:5" ht="25.5" customHeight="1">
      <c r="A172" s="43"/>
      <c r="B172" s="44" t="s">
        <v>201</v>
      </c>
      <c r="C172" s="55">
        <v>397500</v>
      </c>
      <c r="D172" s="17">
        <v>396375.15</v>
      </c>
      <c r="E172" s="63">
        <f t="shared" si="8"/>
        <v>0.9971701886792453</v>
      </c>
    </row>
    <row r="173" spans="1:5" ht="12.75">
      <c r="A173" s="43"/>
      <c r="B173" s="44" t="s">
        <v>202</v>
      </c>
      <c r="C173" s="55">
        <f>120000+8000+28000+2000</f>
        <v>158000</v>
      </c>
      <c r="D173" s="17">
        <v>157762.8</v>
      </c>
      <c r="E173" s="63">
        <f t="shared" si="8"/>
        <v>0.9984987341772151</v>
      </c>
    </row>
    <row r="174" spans="1:5" ht="12.75">
      <c r="A174" s="43"/>
      <c r="B174" s="44" t="s">
        <v>203</v>
      </c>
      <c r="C174" s="55">
        <f>40600000-600000+650000</f>
        <v>40650000</v>
      </c>
      <c r="D174" s="17">
        <v>39966152.21</v>
      </c>
      <c r="E174" s="63">
        <f t="shared" si="8"/>
        <v>0.9831771761377615</v>
      </c>
    </row>
    <row r="175" spans="1:5" ht="24" customHeight="1">
      <c r="A175" s="43"/>
      <c r="B175" s="44" t="s">
        <v>175</v>
      </c>
      <c r="C175" s="55">
        <f>55800-55800+99000+8300+121600+234000+42100</f>
        <v>505000</v>
      </c>
      <c r="D175" s="17">
        <v>491900</v>
      </c>
      <c r="E175" s="63">
        <f t="shared" si="8"/>
        <v>0.974059405940594</v>
      </c>
    </row>
    <row r="176" spans="1:5" ht="12.75">
      <c r="A176" s="43"/>
      <c r="B176" s="44" t="s">
        <v>29</v>
      </c>
      <c r="C176" s="55">
        <v>7920</v>
      </c>
      <c r="D176" s="17">
        <v>7920</v>
      </c>
      <c r="E176" s="63">
        <f t="shared" si="8"/>
        <v>1</v>
      </c>
    </row>
    <row r="177" spans="1:5" ht="12.75">
      <c r="A177" s="43"/>
      <c r="B177" s="44" t="s">
        <v>204</v>
      </c>
      <c r="C177" s="55">
        <f>813000+68320</f>
        <v>881320</v>
      </c>
      <c r="D177" s="17">
        <v>881230.61</v>
      </c>
      <c r="E177" s="63">
        <f t="shared" si="8"/>
        <v>0.999898572595652</v>
      </c>
    </row>
    <row r="178" spans="1:5" ht="12.75">
      <c r="A178" s="43"/>
      <c r="B178" s="44" t="s">
        <v>205</v>
      </c>
      <c r="C178" s="55">
        <f>294000+31600+35600</f>
        <v>361200</v>
      </c>
      <c r="D178" s="17">
        <v>360410.91</v>
      </c>
      <c r="E178" s="63">
        <f t="shared" si="8"/>
        <v>0.9978153654485049</v>
      </c>
    </row>
    <row r="179" spans="1:5" ht="12.75">
      <c r="A179" s="21"/>
      <c r="B179" s="22" t="s">
        <v>206</v>
      </c>
      <c r="C179" s="12">
        <f>4030740-5500+29015</f>
        <v>4054255</v>
      </c>
      <c r="D179" s="12">
        <v>4046590.4</v>
      </c>
      <c r="E179" s="63">
        <f t="shared" si="8"/>
        <v>0.998109492372828</v>
      </c>
    </row>
    <row r="180" spans="1:5" ht="12.75">
      <c r="A180" s="21"/>
      <c r="B180" s="22" t="s">
        <v>67</v>
      </c>
      <c r="C180" s="12">
        <v>19100</v>
      </c>
      <c r="D180" s="12">
        <v>18835.28</v>
      </c>
      <c r="E180" s="63">
        <f t="shared" si="8"/>
        <v>0.9861403141361256</v>
      </c>
    </row>
    <row r="181" spans="1:5" ht="22.5">
      <c r="A181" s="21"/>
      <c r="B181" s="22" t="s">
        <v>23</v>
      </c>
      <c r="C181" s="12">
        <v>5629</v>
      </c>
      <c r="D181" s="12">
        <v>5521.79</v>
      </c>
      <c r="E181" s="63">
        <f t="shared" si="8"/>
        <v>0.9809539882750045</v>
      </c>
    </row>
    <row r="182" spans="1:5" ht="12.75">
      <c r="A182" s="21"/>
      <c r="B182" s="22" t="s">
        <v>14</v>
      </c>
      <c r="C182" s="12">
        <f>1386000+603000-5000-7000</f>
        <v>1977000</v>
      </c>
      <c r="D182" s="12">
        <f>596000+1381000</f>
        <v>1977000</v>
      </c>
      <c r="E182" s="63">
        <f t="shared" si="8"/>
        <v>1</v>
      </c>
    </row>
    <row r="183" spans="1:5" ht="12.75" hidden="1">
      <c r="A183" s="21"/>
      <c r="B183" s="22" t="s">
        <v>207</v>
      </c>
      <c r="C183" s="12"/>
      <c r="D183" s="70"/>
      <c r="E183" s="63"/>
    </row>
    <row r="184" spans="1:5" ht="22.5" hidden="1">
      <c r="A184" s="21"/>
      <c r="B184" s="22" t="s">
        <v>208</v>
      </c>
      <c r="C184" s="12"/>
      <c r="D184" s="70"/>
      <c r="E184" s="63"/>
    </row>
    <row r="185" spans="1:5" ht="12.75">
      <c r="A185" s="21"/>
      <c r="B185" s="22" t="s">
        <v>209</v>
      </c>
      <c r="C185" s="12">
        <v>42050</v>
      </c>
      <c r="D185" s="12">
        <v>41703.66</v>
      </c>
      <c r="E185" s="63">
        <f>D185/C185</f>
        <v>0.991763614744352</v>
      </c>
    </row>
    <row r="186" spans="1:5" ht="12.75" hidden="1">
      <c r="A186" s="21"/>
      <c r="B186" s="22" t="s">
        <v>210</v>
      </c>
      <c r="C186" s="12"/>
      <c r="D186" s="70"/>
      <c r="E186" s="63"/>
    </row>
    <row r="187" spans="1:5" ht="12.75" hidden="1">
      <c r="A187" s="21"/>
      <c r="B187" s="22" t="s">
        <v>3</v>
      </c>
      <c r="C187" s="12"/>
      <c r="D187" s="70"/>
      <c r="E187" s="63"/>
    </row>
    <row r="188" spans="1:5" ht="12.75" hidden="1">
      <c r="A188" s="21"/>
      <c r="B188" s="22" t="s">
        <v>33</v>
      </c>
      <c r="C188" s="12"/>
      <c r="D188" s="70"/>
      <c r="E188" s="63"/>
    </row>
    <row r="189" spans="1:5" ht="12.75">
      <c r="A189" s="45"/>
      <c r="B189" s="46" t="s">
        <v>211</v>
      </c>
      <c r="C189" s="12">
        <v>99000</v>
      </c>
      <c r="D189" s="12">
        <v>99000</v>
      </c>
      <c r="E189" s="63">
        <f aca="true" t="shared" si="9" ref="E189:E219">D189/C189</f>
        <v>1</v>
      </c>
    </row>
    <row r="190" spans="1:5" ht="12.75">
      <c r="A190" s="45"/>
      <c r="B190" s="46" t="s">
        <v>212</v>
      </c>
      <c r="C190" s="12">
        <v>38000</v>
      </c>
      <c r="D190" s="12">
        <v>38000</v>
      </c>
      <c r="E190" s="63">
        <f t="shared" si="9"/>
        <v>1</v>
      </c>
    </row>
    <row r="191" spans="1:5" ht="12.75">
      <c r="A191" s="45"/>
      <c r="B191" s="46" t="s">
        <v>213</v>
      </c>
      <c r="C191" s="12">
        <f>10792940+10000+2728594</f>
        <v>13531534</v>
      </c>
      <c r="D191" s="12">
        <v>13526762.25</v>
      </c>
      <c r="E191" s="63">
        <f t="shared" si="9"/>
        <v>0.999647360750082</v>
      </c>
    </row>
    <row r="192" spans="1:5" ht="12.75">
      <c r="A192" s="47"/>
      <c r="B192" s="35" t="s">
        <v>214</v>
      </c>
      <c r="C192" s="12">
        <v>37624</v>
      </c>
      <c r="D192" s="12">
        <v>37623.23</v>
      </c>
      <c r="E192" s="63">
        <f t="shared" si="9"/>
        <v>0.9999795343397831</v>
      </c>
    </row>
    <row r="193" spans="1:5" ht="24">
      <c r="A193" s="7">
        <v>2</v>
      </c>
      <c r="B193" s="8" t="s">
        <v>215</v>
      </c>
      <c r="C193" s="27">
        <f>SUM(C194:C201)</f>
        <v>263255</v>
      </c>
      <c r="D193" s="27">
        <f>SUM(D194:D201)</f>
        <v>238024.88999999998</v>
      </c>
      <c r="E193" s="52">
        <f t="shared" si="9"/>
        <v>0.9041609466107006</v>
      </c>
    </row>
    <row r="194" spans="1:5" ht="12.75">
      <c r="A194" s="21"/>
      <c r="B194" s="35" t="s">
        <v>216</v>
      </c>
      <c r="C194" s="12">
        <f>40000-2000</f>
        <v>38000</v>
      </c>
      <c r="D194" s="12">
        <v>37718.56</v>
      </c>
      <c r="E194" s="63">
        <f t="shared" si="9"/>
        <v>0.9925936842105263</v>
      </c>
    </row>
    <row r="195" spans="1:5" ht="12.75">
      <c r="A195" s="21"/>
      <c r="B195" s="35" t="s">
        <v>214</v>
      </c>
      <c r="C195" s="12">
        <v>17698</v>
      </c>
      <c r="D195" s="12">
        <v>17698</v>
      </c>
      <c r="E195" s="63">
        <f t="shared" si="9"/>
        <v>1</v>
      </c>
    </row>
    <row r="196" spans="1:5" ht="22.5">
      <c r="A196" s="21"/>
      <c r="B196" s="35" t="s">
        <v>118</v>
      </c>
      <c r="C196" s="12">
        <v>5000</v>
      </c>
      <c r="D196" s="12">
        <v>4965.13</v>
      </c>
      <c r="E196" s="63">
        <f t="shared" si="9"/>
        <v>0.9930260000000001</v>
      </c>
    </row>
    <row r="197" spans="1:5" ht="22.5">
      <c r="A197" s="21"/>
      <c r="B197" s="35" t="s">
        <v>126</v>
      </c>
      <c r="C197" s="12">
        <v>112500</v>
      </c>
      <c r="D197" s="12">
        <v>87586.8</v>
      </c>
      <c r="E197" s="63">
        <f t="shared" si="9"/>
        <v>0.7785493333333333</v>
      </c>
    </row>
    <row r="198" spans="1:5" ht="22.5">
      <c r="A198" s="21"/>
      <c r="B198" s="35" t="s">
        <v>127</v>
      </c>
      <c r="C198" s="12">
        <v>90057</v>
      </c>
      <c r="D198" s="12">
        <v>90056.4</v>
      </c>
      <c r="E198" s="63">
        <f t="shared" si="9"/>
        <v>0.9999933375528831</v>
      </c>
    </row>
    <row r="199" spans="1:5" ht="12.75" hidden="1">
      <c r="A199" s="21"/>
      <c r="B199" s="35" t="s">
        <v>34</v>
      </c>
      <c r="C199" s="12"/>
      <c r="D199" s="70"/>
      <c r="E199" s="63" t="e">
        <f t="shared" si="9"/>
        <v>#DIV/0!</v>
      </c>
    </row>
    <row r="200" spans="1:5" ht="12.75" hidden="1">
      <c r="A200" s="21"/>
      <c r="B200" s="35" t="s">
        <v>11</v>
      </c>
      <c r="C200" s="12"/>
      <c r="D200" s="70"/>
      <c r="E200" s="63" t="e">
        <f t="shared" si="9"/>
        <v>#DIV/0!</v>
      </c>
    </row>
    <row r="201" spans="1:5" ht="22.5" hidden="1">
      <c r="A201" s="21"/>
      <c r="B201" s="35" t="s">
        <v>217</v>
      </c>
      <c r="C201" s="12"/>
      <c r="D201" s="70"/>
      <c r="E201" s="63" t="e">
        <f t="shared" si="9"/>
        <v>#DIV/0!</v>
      </c>
    </row>
    <row r="202" spans="1:5" ht="12.75">
      <c r="A202" s="7">
        <v>3</v>
      </c>
      <c r="B202" s="8" t="s">
        <v>218</v>
      </c>
      <c r="C202" s="27">
        <f>SUM(C203:C209)</f>
        <v>11960529</v>
      </c>
      <c r="D202" s="27">
        <f>SUM(D203:D209)</f>
        <v>11717773.56</v>
      </c>
      <c r="E202" s="52">
        <f t="shared" si="9"/>
        <v>0.979703620132521</v>
      </c>
    </row>
    <row r="203" spans="1:5" ht="12.75">
      <c r="A203" s="21"/>
      <c r="B203" s="46" t="s">
        <v>219</v>
      </c>
      <c r="C203" s="12">
        <v>29996</v>
      </c>
      <c r="D203" s="12">
        <v>29791.59</v>
      </c>
      <c r="E203" s="63">
        <f t="shared" si="9"/>
        <v>0.9931854247232964</v>
      </c>
    </row>
    <row r="204" spans="1:5" ht="12" customHeight="1">
      <c r="A204" s="21"/>
      <c r="B204" s="14" t="s">
        <v>220</v>
      </c>
      <c r="C204" s="12">
        <v>335142</v>
      </c>
      <c r="D204" s="12">
        <v>317661.9</v>
      </c>
      <c r="E204" s="63">
        <f t="shared" si="9"/>
        <v>0.9478427054800652</v>
      </c>
    </row>
    <row r="205" spans="1:5" ht="23.25" customHeight="1">
      <c r="A205" s="21"/>
      <c r="B205" s="14" t="s">
        <v>116</v>
      </c>
      <c r="C205" s="12">
        <v>11322</v>
      </c>
      <c r="D205" s="12">
        <f>6620+3450</f>
        <v>10070</v>
      </c>
      <c r="E205" s="63">
        <f t="shared" si="9"/>
        <v>0.8894188305953011</v>
      </c>
    </row>
    <row r="206" spans="1:5" ht="23.25" customHeight="1">
      <c r="A206" s="21"/>
      <c r="B206" s="14" t="s">
        <v>72</v>
      </c>
      <c r="C206" s="12">
        <v>281190</v>
      </c>
      <c r="D206" s="12">
        <v>281190</v>
      </c>
      <c r="E206" s="63">
        <f t="shared" si="9"/>
        <v>1</v>
      </c>
    </row>
    <row r="207" spans="1:5" ht="45">
      <c r="A207" s="21"/>
      <c r="B207" s="14" t="s">
        <v>73</v>
      </c>
      <c r="C207" s="12">
        <v>27000</v>
      </c>
      <c r="D207" s="12">
        <v>27000</v>
      </c>
      <c r="E207" s="63">
        <f t="shared" si="9"/>
        <v>1</v>
      </c>
    </row>
    <row r="208" spans="1:5" ht="22.5">
      <c r="A208" s="21"/>
      <c r="B208" s="14" t="s">
        <v>125</v>
      </c>
      <c r="C208" s="12">
        <v>199510</v>
      </c>
      <c r="D208" s="12">
        <v>199510</v>
      </c>
      <c r="E208" s="63">
        <f t="shared" si="9"/>
        <v>1</v>
      </c>
    </row>
    <row r="209" spans="1:5" ht="15" customHeight="1">
      <c r="A209" s="21"/>
      <c r="B209" s="46" t="s">
        <v>221</v>
      </c>
      <c r="C209" s="12">
        <f>SUM(C210:C219)</f>
        <v>11076369</v>
      </c>
      <c r="D209" s="12">
        <f>SUM(D210:D219)</f>
        <v>10852550.07</v>
      </c>
      <c r="E209" s="63">
        <f t="shared" si="9"/>
        <v>0.9797931136097037</v>
      </c>
    </row>
    <row r="210" spans="1:5" ht="17.25" customHeight="1">
      <c r="A210" s="15"/>
      <c r="B210" s="48" t="s">
        <v>222</v>
      </c>
      <c r="C210" s="55">
        <f>950000+130000+511000</f>
        <v>1591000</v>
      </c>
      <c r="D210" s="17">
        <v>1591000</v>
      </c>
      <c r="E210" s="63">
        <f t="shared" si="9"/>
        <v>1</v>
      </c>
    </row>
    <row r="211" spans="1:5" ht="12.75">
      <c r="A211" s="47"/>
      <c r="B211" s="48" t="s">
        <v>223</v>
      </c>
      <c r="C211" s="55">
        <v>572188</v>
      </c>
      <c r="D211" s="17">
        <v>572188</v>
      </c>
      <c r="E211" s="63">
        <f t="shared" si="9"/>
        <v>1</v>
      </c>
    </row>
    <row r="212" spans="1:5" ht="15.75" customHeight="1">
      <c r="A212" s="47"/>
      <c r="B212" s="48" t="s">
        <v>224</v>
      </c>
      <c r="C212" s="55">
        <v>38163</v>
      </c>
      <c r="D212" s="17">
        <f>38163-3328.68</f>
        <v>34834.32</v>
      </c>
      <c r="E212" s="63">
        <f t="shared" si="9"/>
        <v>0.9127772973822813</v>
      </c>
    </row>
    <row r="213" spans="1:5" ht="15.75" customHeight="1" hidden="1">
      <c r="A213" s="47"/>
      <c r="B213" s="48" t="s">
        <v>71</v>
      </c>
      <c r="C213" s="55"/>
      <c r="D213" s="77"/>
      <c r="E213" s="63" t="e">
        <f t="shared" si="9"/>
        <v>#DIV/0!</v>
      </c>
    </row>
    <row r="214" spans="1:5" ht="26.25" customHeight="1">
      <c r="A214" s="47"/>
      <c r="B214" s="48" t="s">
        <v>111</v>
      </c>
      <c r="C214" s="12">
        <f>87882+15000+170426</f>
        <v>273308</v>
      </c>
      <c r="D214" s="17">
        <f>250470.69+14998.15</f>
        <v>265468.84</v>
      </c>
      <c r="E214" s="63">
        <f t="shared" si="9"/>
        <v>0.971317487962299</v>
      </c>
    </row>
    <row r="215" spans="1:5" ht="30.75" customHeight="1" hidden="1">
      <c r="A215" s="47"/>
      <c r="B215" s="48" t="s">
        <v>110</v>
      </c>
      <c r="C215" s="12"/>
      <c r="D215" s="77"/>
      <c r="E215" s="63" t="e">
        <f t="shared" si="9"/>
        <v>#DIV/0!</v>
      </c>
    </row>
    <row r="216" spans="1:5" ht="12.75">
      <c r="A216" s="47"/>
      <c r="B216" s="49" t="s">
        <v>225</v>
      </c>
      <c r="C216" s="55">
        <f>386550+38450+101830</f>
        <v>526830</v>
      </c>
      <c r="D216" s="17">
        <v>525908.4</v>
      </c>
      <c r="E216" s="63">
        <f t="shared" si="9"/>
        <v>0.998250669096293</v>
      </c>
    </row>
    <row r="217" spans="1:5" ht="12.75">
      <c r="A217" s="43"/>
      <c r="B217" s="49" t="s">
        <v>226</v>
      </c>
      <c r="C217" s="55">
        <f>123000+18000</f>
        <v>141000</v>
      </c>
      <c r="D217" s="17">
        <v>129675.96</v>
      </c>
      <c r="E217" s="63">
        <f t="shared" si="9"/>
        <v>0.9196876595744682</v>
      </c>
    </row>
    <row r="218" spans="1:5" ht="12.75">
      <c r="A218" s="43"/>
      <c r="B218" s="49" t="s">
        <v>227</v>
      </c>
      <c r="C218" s="55">
        <f>4460000+190000+841800+727640</f>
        <v>6219440</v>
      </c>
      <c r="D218" s="17">
        <v>6019034.55</v>
      </c>
      <c r="E218" s="63">
        <f t="shared" si="9"/>
        <v>0.9677775732220264</v>
      </c>
    </row>
    <row r="219" spans="1:5" ht="12.75">
      <c r="A219" s="43"/>
      <c r="B219" s="49" t="s">
        <v>200</v>
      </c>
      <c r="C219" s="55">
        <v>1714440</v>
      </c>
      <c r="D219" s="17">
        <v>1714440</v>
      </c>
      <c r="E219" s="63">
        <f t="shared" si="9"/>
        <v>1</v>
      </c>
    </row>
    <row r="220" spans="1:5" ht="12.75">
      <c r="A220" s="38"/>
      <c r="B220" s="38"/>
      <c r="C220" s="51"/>
      <c r="D220" s="75"/>
      <c r="E220" s="50"/>
    </row>
    <row r="221" spans="1:5" ht="12.75">
      <c r="A221" s="38"/>
      <c r="B221" s="38"/>
      <c r="C221" s="51"/>
      <c r="D221" s="75"/>
      <c r="E221" s="50"/>
    </row>
    <row r="224" ht="12.75">
      <c r="D224" s="56"/>
    </row>
    <row r="225" spans="2:5" ht="12.75">
      <c r="B225" s="79"/>
      <c r="C225" s="80"/>
      <c r="D225" s="80"/>
      <c r="E225" s="80"/>
    </row>
    <row r="226" spans="2:5" ht="12.75">
      <c r="B226" s="79"/>
      <c r="C226" s="80"/>
      <c r="D226" s="80"/>
      <c r="E226" s="80"/>
    </row>
    <row r="227" spans="2:5" ht="12.75">
      <c r="B227" s="72"/>
      <c r="C227" s="80"/>
      <c r="D227" s="80"/>
      <c r="E227" s="65"/>
    </row>
  </sheetData>
  <mergeCells count="6">
    <mergeCell ref="B1:D1"/>
    <mergeCell ref="A5:B5"/>
    <mergeCell ref="A161:B161"/>
    <mergeCell ref="A165:B165"/>
    <mergeCell ref="A4:B4"/>
    <mergeCell ref="A124:B124"/>
  </mergeCells>
  <printOptions/>
  <pageMargins left="0.6" right="0.18" top="0.44" bottom="0.48" header="0.31496062992125984" footer="0.1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pane ySplit="2" topLeftCell="BM18" activePane="bottomLeft" state="frozen"/>
      <selection pane="topLeft" activeCell="A1" sqref="A1:E1"/>
      <selection pane="bottomLeft" activeCell="H22" sqref="H22"/>
    </sheetView>
  </sheetViews>
  <sheetFormatPr defaultColWidth="9.00390625" defaultRowHeight="12.75"/>
  <cols>
    <col min="1" max="1" width="3.875" style="61" customWidth="1"/>
    <col min="2" max="2" width="52.375" style="61" customWidth="1"/>
    <col min="3" max="3" width="13.875" style="61" customWidth="1"/>
    <col min="4" max="4" width="13.875" style="56" customWidth="1"/>
    <col min="5" max="16384" width="9.125" style="61" customWidth="1"/>
  </cols>
  <sheetData>
    <row r="1" spans="2:5" ht="49.5" customHeight="1">
      <c r="B1" s="84" t="s">
        <v>115</v>
      </c>
      <c r="C1" s="84"/>
      <c r="D1" s="84"/>
      <c r="E1" s="83"/>
    </row>
    <row r="2" spans="1:5" ht="24.75" customHeight="1">
      <c r="A2" s="68" t="s">
        <v>80</v>
      </c>
      <c r="B2" s="69" t="s">
        <v>81</v>
      </c>
      <c r="C2" s="1" t="s">
        <v>18</v>
      </c>
      <c r="D2" s="1" t="s">
        <v>240</v>
      </c>
      <c r="E2" s="1" t="s">
        <v>174</v>
      </c>
    </row>
    <row r="3" spans="1:5" s="51" customFormat="1" ht="11.25">
      <c r="A3" s="62">
        <v>1</v>
      </c>
      <c r="B3" s="62">
        <v>2</v>
      </c>
      <c r="C3" s="1">
        <v>3</v>
      </c>
      <c r="D3" s="1">
        <v>4</v>
      </c>
      <c r="E3" s="1">
        <v>5</v>
      </c>
    </row>
    <row r="4" spans="1:5" ht="18" customHeight="1">
      <c r="A4" s="89" t="s">
        <v>228</v>
      </c>
      <c r="B4" s="90"/>
      <c r="C4" s="4">
        <f>SUM(C5,C25,C39)</f>
        <v>186019000</v>
      </c>
      <c r="D4" s="4">
        <f>SUM(D5,D25,D39)</f>
        <v>155661701.64999998</v>
      </c>
      <c r="E4" s="63">
        <f aca="true" t="shared" si="0" ref="E4:E27">D4/C4</f>
        <v>0.8368053889656432</v>
      </c>
    </row>
    <row r="5" spans="1:5" ht="17.25" customHeight="1">
      <c r="A5" s="85" t="s">
        <v>83</v>
      </c>
      <c r="B5" s="85"/>
      <c r="C5" s="4">
        <f>SUM(C6,C10,C21)</f>
        <v>71865324</v>
      </c>
      <c r="D5" s="4">
        <f>SUM(D6,D10,D21)</f>
        <v>47232703.48</v>
      </c>
      <c r="E5" s="63">
        <f t="shared" si="0"/>
        <v>0.6572391363601171</v>
      </c>
    </row>
    <row r="6" spans="1:5" ht="19.5" customHeight="1">
      <c r="A6" s="7">
        <v>1</v>
      </c>
      <c r="B6" s="8" t="s">
        <v>104</v>
      </c>
      <c r="C6" s="27">
        <f>SUM(C7:C9)</f>
        <v>63091081</v>
      </c>
      <c r="D6" s="27">
        <f>SUM(D7:D9)</f>
        <v>38756122.7</v>
      </c>
      <c r="E6" s="63">
        <f t="shared" si="0"/>
        <v>0.6142884554474507</v>
      </c>
    </row>
    <row r="7" spans="1:5" ht="12.75">
      <c r="A7" s="10"/>
      <c r="B7" s="26" t="s">
        <v>229</v>
      </c>
      <c r="C7" s="12">
        <v>60000000</v>
      </c>
      <c r="D7" s="12">
        <v>34516450.39</v>
      </c>
      <c r="E7" s="63">
        <f t="shared" si="0"/>
        <v>0.5752741731666666</v>
      </c>
    </row>
    <row r="8" spans="1:5" ht="17.25" customHeight="1">
      <c r="A8" s="10"/>
      <c r="B8" s="26" t="s">
        <v>230</v>
      </c>
      <c r="C8" s="12">
        <v>3000000</v>
      </c>
      <c r="D8" s="12">
        <v>4148521.31</v>
      </c>
      <c r="E8" s="63">
        <f t="shared" si="0"/>
        <v>1.3828404366666667</v>
      </c>
    </row>
    <row r="9" spans="1:5" ht="15.75" customHeight="1">
      <c r="A9" s="10"/>
      <c r="B9" s="26" t="s">
        <v>231</v>
      </c>
      <c r="C9" s="12">
        <f>36369+854+47111+6747</f>
        <v>91081</v>
      </c>
      <c r="D9" s="12">
        <f>70+37223+47111+6747</f>
        <v>91151</v>
      </c>
      <c r="E9" s="63">
        <f t="shared" si="0"/>
        <v>1.0007685466782315</v>
      </c>
    </row>
    <row r="10" spans="1:5" ht="24">
      <c r="A10" s="7">
        <v>2</v>
      </c>
      <c r="B10" s="8" t="s">
        <v>163</v>
      </c>
      <c r="C10" s="27">
        <f>SUM(C11:C20)</f>
        <v>8518861</v>
      </c>
      <c r="D10" s="27">
        <f>SUM(D11:D20)</f>
        <v>8214292.55</v>
      </c>
      <c r="E10" s="63">
        <f t="shared" si="0"/>
        <v>0.9642477497872074</v>
      </c>
    </row>
    <row r="11" spans="1:5" ht="22.5">
      <c r="A11" s="21"/>
      <c r="B11" s="14" t="s">
        <v>16</v>
      </c>
      <c r="C11" s="12">
        <f>8007375+324141</f>
        <v>8331516</v>
      </c>
      <c r="D11" s="12">
        <v>8054057.04</v>
      </c>
      <c r="E11" s="63">
        <f t="shared" si="0"/>
        <v>0.9666976622261783</v>
      </c>
    </row>
    <row r="12" spans="1:5" ht="12.75" hidden="1">
      <c r="A12" s="21"/>
      <c r="B12" s="14" t="s">
        <v>35</v>
      </c>
      <c r="C12" s="12"/>
      <c r="D12" s="12"/>
      <c r="E12" s="63" t="e">
        <f t="shared" si="0"/>
        <v>#DIV/0!</v>
      </c>
    </row>
    <row r="13" spans="1:5" ht="12.75" hidden="1">
      <c r="A13" s="21"/>
      <c r="B13" s="14" t="s">
        <v>77</v>
      </c>
      <c r="C13" s="12"/>
      <c r="D13" s="12"/>
      <c r="E13" s="63" t="e">
        <f t="shared" si="0"/>
        <v>#DIV/0!</v>
      </c>
    </row>
    <row r="14" spans="1:5" ht="12.75" hidden="1">
      <c r="A14" s="21"/>
      <c r="B14" s="14" t="s">
        <v>78</v>
      </c>
      <c r="C14" s="12"/>
      <c r="D14" s="12"/>
      <c r="E14" s="63" t="e">
        <f t="shared" si="0"/>
        <v>#DIV/0!</v>
      </c>
    </row>
    <row r="15" spans="1:5" ht="12.75" hidden="1">
      <c r="A15" s="21"/>
      <c r="B15" s="14" t="s">
        <v>79</v>
      </c>
      <c r="C15" s="12"/>
      <c r="D15" s="12"/>
      <c r="E15" s="63" t="e">
        <f t="shared" si="0"/>
        <v>#DIV/0!</v>
      </c>
    </row>
    <row r="16" spans="1:5" ht="22.5" hidden="1">
      <c r="A16" s="64"/>
      <c r="B16" s="14" t="s">
        <v>171</v>
      </c>
      <c r="C16" s="1"/>
      <c r="D16" s="13"/>
      <c r="E16" s="63" t="e">
        <f t="shared" si="0"/>
        <v>#DIV/0!</v>
      </c>
    </row>
    <row r="17" spans="1:5" ht="22.5">
      <c r="A17" s="64"/>
      <c r="B17" s="14" t="s">
        <v>117</v>
      </c>
      <c r="C17" s="12">
        <v>170000</v>
      </c>
      <c r="D17" s="12">
        <v>145105.51</v>
      </c>
      <c r="E17" s="63">
        <f t="shared" si="0"/>
        <v>0.8535618235294118</v>
      </c>
    </row>
    <row r="18" spans="1:5" ht="22.5">
      <c r="A18" s="64"/>
      <c r="B18" s="14" t="s">
        <v>112</v>
      </c>
      <c r="C18" s="12">
        <v>9780</v>
      </c>
      <c r="D18" s="12">
        <v>9780</v>
      </c>
      <c r="E18" s="63">
        <f t="shared" si="0"/>
        <v>1</v>
      </c>
    </row>
    <row r="19" spans="1:5" ht="22.5">
      <c r="A19" s="64"/>
      <c r="B19" s="14" t="s">
        <v>119</v>
      </c>
      <c r="C19" s="12">
        <v>7565</v>
      </c>
      <c r="D19" s="12">
        <v>5350</v>
      </c>
      <c r="E19" s="63">
        <f t="shared" si="0"/>
        <v>0.7072042300066094</v>
      </c>
    </row>
    <row r="20" spans="1:5" ht="18.75" customHeight="1" hidden="1">
      <c r="A20" s="33"/>
      <c r="B20" s="14" t="s">
        <v>234</v>
      </c>
      <c r="C20" s="1"/>
      <c r="D20" s="13"/>
      <c r="E20" s="63" t="e">
        <f t="shared" si="0"/>
        <v>#DIV/0!</v>
      </c>
    </row>
    <row r="21" spans="1:5" ht="18.75" customHeight="1">
      <c r="A21" s="7">
        <v>3</v>
      </c>
      <c r="B21" s="8" t="s">
        <v>156</v>
      </c>
      <c r="C21" s="27">
        <f>SUM(C22:C24)</f>
        <v>255382</v>
      </c>
      <c r="D21" s="27">
        <f>SUM(D22:D24)</f>
        <v>262288.23</v>
      </c>
      <c r="E21" s="63">
        <f t="shared" si="0"/>
        <v>1.0270427438112317</v>
      </c>
    </row>
    <row r="22" spans="1:5" ht="23.25" customHeight="1">
      <c r="A22" s="33"/>
      <c r="B22" s="14" t="s">
        <v>113</v>
      </c>
      <c r="C22" s="12">
        <v>255382</v>
      </c>
      <c r="D22" s="12">
        <v>255382</v>
      </c>
      <c r="E22" s="63">
        <f t="shared" si="0"/>
        <v>1</v>
      </c>
    </row>
    <row r="23" spans="1:5" ht="23.25" customHeight="1">
      <c r="A23" s="33"/>
      <c r="B23" s="14" t="s">
        <v>7</v>
      </c>
      <c r="C23" s="12"/>
      <c r="D23" s="12">
        <v>2046.37</v>
      </c>
      <c r="E23" s="63"/>
    </row>
    <row r="24" spans="1:5" ht="29.25" customHeight="1">
      <c r="A24" s="33"/>
      <c r="B24" s="14" t="s">
        <v>233</v>
      </c>
      <c r="C24" s="12"/>
      <c r="D24" s="12">
        <v>4859.86</v>
      </c>
      <c r="E24" s="63"/>
    </row>
    <row r="25" spans="1:5" ht="32.25" customHeight="1">
      <c r="A25" s="85" t="s">
        <v>20</v>
      </c>
      <c r="B25" s="85"/>
      <c r="C25" s="27">
        <f>SUM(C26:C38)</f>
        <v>113483008</v>
      </c>
      <c r="D25" s="27">
        <f>SUM(D26:D38)</f>
        <v>107793815.68999998</v>
      </c>
      <c r="E25" s="63">
        <f t="shared" si="0"/>
        <v>0.9498674523149755</v>
      </c>
    </row>
    <row r="26" spans="1:5" ht="22.5">
      <c r="A26" s="21"/>
      <c r="B26" s="14" t="s">
        <v>235</v>
      </c>
      <c r="C26" s="12">
        <f>12250000-3024218</f>
        <v>9225782</v>
      </c>
      <c r="D26" s="12">
        <v>8321974.22</v>
      </c>
      <c r="E26" s="63">
        <f t="shared" si="0"/>
        <v>0.9020345614062851</v>
      </c>
    </row>
    <row r="27" spans="1:5" ht="28.5" customHeight="1">
      <c r="A27" s="21"/>
      <c r="B27" s="22" t="s">
        <v>236</v>
      </c>
      <c r="C27" s="12">
        <v>10120898</v>
      </c>
      <c r="D27" s="12">
        <v>13034366.04</v>
      </c>
      <c r="E27" s="63">
        <f t="shared" si="0"/>
        <v>1.2878665549242765</v>
      </c>
    </row>
    <row r="28" spans="1:5" ht="22.5">
      <c r="A28" s="21"/>
      <c r="B28" s="22" t="s">
        <v>7</v>
      </c>
      <c r="C28" s="12">
        <v>8477808</v>
      </c>
      <c r="D28" s="12">
        <v>8665407.09</v>
      </c>
      <c r="E28" s="63">
        <f aca="true" t="shared" si="1" ref="E28:E45">D28/C28</f>
        <v>1.022128254143052</v>
      </c>
    </row>
    <row r="29" spans="1:5" ht="15" customHeight="1">
      <c r="A29" s="21"/>
      <c r="B29" s="14" t="s">
        <v>183</v>
      </c>
      <c r="C29" s="12">
        <f>1079700+4551509+759812+124913+351472</f>
        <v>6867406</v>
      </c>
      <c r="D29" s="12">
        <f>781793.61+3059082.28</f>
        <v>3840875.8899999997</v>
      </c>
      <c r="E29" s="63">
        <f t="shared" si="1"/>
        <v>0.5592906389981893</v>
      </c>
    </row>
    <row r="30" spans="1:5" ht="12.75" customHeight="1">
      <c r="A30" s="21"/>
      <c r="B30" s="14" t="s">
        <v>185</v>
      </c>
      <c r="C30" s="12">
        <v>63750</v>
      </c>
      <c r="D30" s="12"/>
      <c r="E30" s="63">
        <f t="shared" si="1"/>
        <v>0</v>
      </c>
    </row>
    <row r="31" spans="1:5" ht="27.75" customHeight="1">
      <c r="A31" s="21"/>
      <c r="B31" s="22" t="s">
        <v>16</v>
      </c>
      <c r="C31" s="12">
        <f>45375125+1836799</f>
        <v>47211924</v>
      </c>
      <c r="D31" s="12">
        <v>45639656.55</v>
      </c>
      <c r="E31" s="63">
        <f t="shared" si="1"/>
        <v>0.9666976620143674</v>
      </c>
    </row>
    <row r="32" spans="1:5" ht="22.5">
      <c r="A32" s="21"/>
      <c r="B32" s="22" t="s">
        <v>27</v>
      </c>
      <c r="C32" s="12">
        <f>19271949+1448073</f>
        <v>20720022</v>
      </c>
      <c r="D32" s="12">
        <v>18509455.55</v>
      </c>
      <c r="E32" s="63">
        <f t="shared" si="1"/>
        <v>0.8933125432974927</v>
      </c>
    </row>
    <row r="33" spans="1:5" ht="22.5" customHeight="1">
      <c r="A33" s="21"/>
      <c r="B33" s="14" t="s">
        <v>165</v>
      </c>
      <c r="C33" s="12">
        <f>5867911+5977969-1730077</f>
        <v>10115803</v>
      </c>
      <c r="D33" s="12">
        <v>9325235.53</v>
      </c>
      <c r="E33" s="63">
        <f t="shared" si="1"/>
        <v>0.9218482734390931</v>
      </c>
    </row>
    <row r="34" spans="1:5" ht="12.75" hidden="1">
      <c r="A34" s="21"/>
      <c r="B34" s="14" t="s">
        <v>77</v>
      </c>
      <c r="C34" s="12"/>
      <c r="D34" s="12"/>
      <c r="E34" s="63" t="e">
        <f t="shared" si="1"/>
        <v>#DIV/0!</v>
      </c>
    </row>
    <row r="35" spans="1:5" ht="12.75" hidden="1">
      <c r="A35" s="21"/>
      <c r="B35" s="14" t="s">
        <v>78</v>
      </c>
      <c r="C35" s="12"/>
      <c r="D35" s="12"/>
      <c r="E35" s="63" t="e">
        <f t="shared" si="1"/>
        <v>#DIV/0!</v>
      </c>
    </row>
    <row r="36" spans="1:5" ht="12.75" hidden="1">
      <c r="A36" s="21"/>
      <c r="B36" s="14" t="s">
        <v>79</v>
      </c>
      <c r="C36" s="12"/>
      <c r="D36" s="12"/>
      <c r="E36" s="63" t="e">
        <f t="shared" si="1"/>
        <v>#DIV/0!</v>
      </c>
    </row>
    <row r="37" spans="1:5" ht="22.5" customHeight="1">
      <c r="A37" s="21"/>
      <c r="B37" s="14" t="s">
        <v>36</v>
      </c>
      <c r="C37" s="12">
        <v>45480</v>
      </c>
      <c r="D37" s="12">
        <v>45479.24</v>
      </c>
      <c r="E37" s="63">
        <f t="shared" si="1"/>
        <v>0.9999832893579595</v>
      </c>
    </row>
    <row r="38" spans="1:5" ht="33.75">
      <c r="A38" s="21"/>
      <c r="B38" s="35" t="s">
        <v>166</v>
      </c>
      <c r="C38" s="12">
        <v>634135</v>
      </c>
      <c r="D38" s="12">
        <v>411365.58</v>
      </c>
      <c r="E38" s="63">
        <f t="shared" si="1"/>
        <v>0.6487034779660482</v>
      </c>
    </row>
    <row r="39" spans="1:5" ht="16.5" customHeight="1">
      <c r="A39" s="87" t="s">
        <v>195</v>
      </c>
      <c r="B39" s="88"/>
      <c r="C39" s="60">
        <f>SUM(C40,C43)</f>
        <v>670668</v>
      </c>
      <c r="D39" s="60">
        <f>SUM(D40,D43)</f>
        <v>635182.48</v>
      </c>
      <c r="E39" s="63">
        <f t="shared" si="1"/>
        <v>0.9470892900809342</v>
      </c>
    </row>
    <row r="40" spans="1:5" ht="16.5" customHeight="1">
      <c r="A40" s="59"/>
      <c r="B40" s="41" t="s">
        <v>196</v>
      </c>
      <c r="C40" s="13">
        <f>SUM(C41:C42)</f>
        <v>6200</v>
      </c>
      <c r="D40" s="13">
        <f>SUM(D41:D42)</f>
        <v>5659</v>
      </c>
      <c r="E40" s="63">
        <f t="shared" si="1"/>
        <v>0.912741935483871</v>
      </c>
    </row>
    <row r="41" spans="1:5" ht="11.25" customHeight="1">
      <c r="A41" s="59"/>
      <c r="B41" s="14" t="s">
        <v>199</v>
      </c>
      <c r="C41" s="12">
        <v>6200</v>
      </c>
      <c r="D41" s="37">
        <v>5659</v>
      </c>
      <c r="E41" s="63">
        <f t="shared" si="1"/>
        <v>0.912741935483871</v>
      </c>
    </row>
    <row r="42" spans="1:5" ht="25.5" customHeight="1" hidden="1">
      <c r="A42" s="59"/>
      <c r="B42" s="22" t="s">
        <v>237</v>
      </c>
      <c r="C42" s="12"/>
      <c r="D42" s="37"/>
      <c r="E42" s="63" t="e">
        <f t="shared" si="1"/>
        <v>#DIV/0!</v>
      </c>
    </row>
    <row r="43" spans="1:5" ht="21" customHeight="1">
      <c r="A43" s="66"/>
      <c r="B43" s="8" t="s">
        <v>218</v>
      </c>
      <c r="C43" s="13">
        <f>SUM(C44:C45)</f>
        <v>664468</v>
      </c>
      <c r="D43" s="13">
        <f>SUM(D44:D45)</f>
        <v>629523.48</v>
      </c>
      <c r="E43" s="63">
        <f t="shared" si="1"/>
        <v>0.947409777446017</v>
      </c>
    </row>
    <row r="44" spans="1:5" ht="15.75" customHeight="1">
      <c r="A44" s="21"/>
      <c r="B44" s="46" t="s">
        <v>219</v>
      </c>
      <c r="C44" s="12">
        <v>229450</v>
      </c>
      <c r="D44" s="12">
        <v>194505.48</v>
      </c>
      <c r="E44" s="63">
        <f t="shared" si="1"/>
        <v>0.8477031161473089</v>
      </c>
    </row>
    <row r="45" spans="1:5" ht="29.25" customHeight="1">
      <c r="A45" s="21"/>
      <c r="B45" s="46" t="s">
        <v>107</v>
      </c>
      <c r="C45" s="12">
        <v>435018</v>
      </c>
      <c r="D45" s="12">
        <v>435018</v>
      </c>
      <c r="E45" s="63">
        <f t="shared" si="1"/>
        <v>1</v>
      </c>
    </row>
    <row r="46" spans="1:5" ht="14.25" customHeight="1">
      <c r="A46" s="51"/>
      <c r="B46" s="67"/>
      <c r="C46" s="51"/>
      <c r="D46" s="50"/>
      <c r="E46" s="51"/>
    </row>
  </sheetData>
  <mergeCells count="5">
    <mergeCell ref="B1:D1"/>
    <mergeCell ref="A39:B39"/>
    <mergeCell ref="A4:B4"/>
    <mergeCell ref="A5:B5"/>
    <mergeCell ref="A25:B25"/>
  </mergeCells>
  <printOptions/>
  <pageMargins left="0.82" right="0.17" top="0.87" bottom="0.44" header="0.3149606299212598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kbjsa</cp:lastModifiedBy>
  <cp:lastPrinted>2013-03-26T11:18:59Z</cp:lastPrinted>
  <dcterms:created xsi:type="dcterms:W3CDTF">1997-02-26T13:46:56Z</dcterms:created>
  <dcterms:modified xsi:type="dcterms:W3CDTF">2013-03-26T11:39:59Z</dcterms:modified>
  <cp:category/>
  <cp:version/>
  <cp:contentType/>
  <cp:contentStatus/>
</cp:coreProperties>
</file>