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341" windowWidth="11340" windowHeight="6540" tabRatio="592" activeTab="0"/>
  </bookViews>
  <sheets>
    <sheet name="Zał 1 do URM" sheetId="1" r:id="rId1"/>
    <sheet name="Zał nr 2 część 1 do URM " sheetId="2" r:id="rId2"/>
    <sheet name="zał. nr 2 do URM cz. 2 " sheetId="3" r:id="rId3"/>
    <sheet name="zał. nr 2 do URM cz. 3" sheetId="4" r:id="rId4"/>
  </sheets>
  <externalReferences>
    <externalReference r:id="rId7"/>
    <externalReference r:id="rId8"/>
  </externalReferences>
  <definedNames>
    <definedName name="_edn1" localSheetId="0">'Zał 1 do URM'!$A$57</definedName>
    <definedName name="_edn10" localSheetId="0">'Zał 1 do URM'!$A$66</definedName>
    <definedName name="_edn11" localSheetId="0">'Zał 1 do URM'!$A$67</definedName>
    <definedName name="_edn12" localSheetId="0">'Zał 1 do URM'!$A$68</definedName>
    <definedName name="_edn13" localSheetId="0">'Zał 1 do URM'!$A$69</definedName>
    <definedName name="_edn14" localSheetId="0">'Zał 1 do URM'!$A$70</definedName>
    <definedName name="_edn15" localSheetId="0">'Zał 1 do URM'!$A$71</definedName>
    <definedName name="_edn16" localSheetId="0">'Zał 1 do URM'!$A$72</definedName>
    <definedName name="_edn17" localSheetId="0">'Zał 1 do URM'!$A$73</definedName>
    <definedName name="_edn2" localSheetId="0">'Zał 1 do URM'!$A$58</definedName>
    <definedName name="_edn3" localSheetId="0">'Zał 1 do URM'!$A$59</definedName>
    <definedName name="_edn4" localSheetId="0">'Zał 1 do URM'!$A$60</definedName>
    <definedName name="_edn5" localSheetId="0">'Zał 1 do URM'!$A$61</definedName>
    <definedName name="_edn6" localSheetId="0">'Zał 1 do URM'!$A$62</definedName>
    <definedName name="_edn7" localSheetId="0">'Zał 1 do URM'!$A$63</definedName>
    <definedName name="_edn8" localSheetId="0">'Zał 1 do URM'!$A$64</definedName>
    <definedName name="_edn9" localSheetId="0">'Zał 1 do URM'!$A$65</definedName>
    <definedName name="_ednref1" localSheetId="0">'Zał 1 do URM'!$B$5</definedName>
    <definedName name="_ednref10" localSheetId="0">'Zał 1 do URM'!$B$30</definedName>
    <definedName name="_ednref11" localSheetId="0">'Zał 1 do URM'!$B$31</definedName>
    <definedName name="_ednref12" localSheetId="0">'Zał 1 do URM'!$B$33</definedName>
    <definedName name="_ednref13" localSheetId="0">'Zał 1 do URM'!$B$34</definedName>
    <definedName name="_ednref14" localSheetId="0">'Zał 1 do URM'!$B$35</definedName>
    <definedName name="_ednref15" localSheetId="0">'Zał 1 do URM'!$B$36</definedName>
    <definedName name="_ednref16" localSheetId="0">'Zał 1 do URM'!$B$37</definedName>
    <definedName name="_ednref17" localSheetId="0">'Zał 1 do URM'!$B$38</definedName>
    <definedName name="_ednref2" localSheetId="0">'Zał 1 do URM'!$B$9</definedName>
    <definedName name="_ednref3" localSheetId="0">'Zał 1 do URM'!$B$10</definedName>
    <definedName name="_ednref4" localSheetId="0">'Zał 1 do URM'!$B$11</definedName>
    <definedName name="_ednref5" localSheetId="0">'Zał 1 do URM'!$B$14</definedName>
    <definedName name="_ednref6" localSheetId="0">'Zał 1 do URM'!$B$18</definedName>
    <definedName name="_ednref7" localSheetId="0">'Zał 1 do URM'!$B$26</definedName>
    <definedName name="_ednref8" localSheetId="0">'Zał 1 do URM'!$B$28</definedName>
    <definedName name="_ednref9" localSheetId="0">'Zał 1 do URM'!$B$29</definedName>
    <definedName name="_xlnm.Print_Area" localSheetId="1">'Zał nr 2 część 1 do URM '!$A$1:$T$321</definedName>
    <definedName name="_xlnm.Print_Area" localSheetId="2">'zał. nr 2 do URM cz. 2 '!$A$1:$AM$351</definedName>
    <definedName name="_xlnm.Print_Area" localSheetId="3">'zał. nr 2 do URM cz. 3'!$A$1:$AM$479</definedName>
    <definedName name="_xlnm.Print_Titles" localSheetId="0">'Zał 1 do URM'!$A:$B,'Zał 1 do URM'!$4:$4</definedName>
    <definedName name="_xlnm.Print_Titles" localSheetId="1">'Zał nr 2 część 1 do URM '!$4:$5</definedName>
    <definedName name="_xlnm.Print_Titles" localSheetId="2">'zał. nr 2 do URM cz. 2 '!$4:$5</definedName>
    <definedName name="_xlnm.Print_Titles" localSheetId="3">'zał. nr 2 do URM cz. 3'!$4:$5</definedName>
  </definedNames>
  <calcPr fullCalcOnLoad="1"/>
</workbook>
</file>

<file path=xl/sharedStrings.xml><?xml version="1.0" encoding="utf-8"?>
<sst xmlns="http://schemas.openxmlformats.org/spreadsheetml/2006/main" count="1948" uniqueCount="287">
  <si>
    <t>Wyszczególnienie</t>
  </si>
  <si>
    <t>Lp.</t>
  </si>
  <si>
    <t>Rok 2012</t>
  </si>
  <si>
    <r>
      <t>Rok 2013</t>
    </r>
    <r>
      <rPr>
        <b/>
        <sz val="10"/>
        <color indexed="8"/>
        <rFont val="Times New Roman"/>
        <family val="1"/>
      </rPr>
      <t xml:space="preserve"> </t>
    </r>
  </si>
  <si>
    <t>Rok 2014</t>
  </si>
  <si>
    <t>Rok 2015</t>
  </si>
  <si>
    <t>Rok 2016</t>
  </si>
  <si>
    <r>
      <t>Rok 2017</t>
    </r>
    <r>
      <rPr>
        <b/>
        <sz val="10"/>
        <color indexed="8"/>
        <rFont val="Times New Roman"/>
        <family val="1"/>
      </rPr>
      <t xml:space="preserve"> </t>
    </r>
  </si>
  <si>
    <t>Rok 2018</t>
  </si>
  <si>
    <t>Rok 2019</t>
  </si>
  <si>
    <t>Rok 2020</t>
  </si>
  <si>
    <r>
      <t>Rok 2021</t>
    </r>
    <r>
      <rPr>
        <b/>
        <sz val="10"/>
        <color indexed="8"/>
        <rFont val="Times New Roman"/>
        <family val="1"/>
      </rPr>
      <t xml:space="preserve"> </t>
    </r>
  </si>
  <si>
    <t>Rok 2022</t>
  </si>
  <si>
    <t>a</t>
  </si>
  <si>
    <t>dochody bieżące</t>
  </si>
  <si>
    <t>b</t>
  </si>
  <si>
    <t xml:space="preserve">dochody majątkowe,  w tym: </t>
  </si>
  <si>
    <t>c</t>
  </si>
  <si>
    <t>ze sprzedaży majątku</t>
  </si>
  <si>
    <t xml:space="preserve">  z tytułu gwarancji i poręczeń, w tym:</t>
  </si>
  <si>
    <t>d</t>
  </si>
  <si>
    <t>e</t>
  </si>
  <si>
    <t>Wynik budżetu po wykonaniu wydatków bieżących (bez obsługi długu) (1-2) 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</si>
  <si>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</si>
  <si>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</si>
  <si>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Środki do dyspozycji (3+4+5)</t>
  </si>
  <si>
    <t>Spłata i obsługa długu, z tego: </t>
  </si>
  <si>
    <t>rozchody z tytułu spłaty rat kapitałowych oraz wykupu obligacji</t>
  </si>
  <si>
    <t>wydatki bieżące na obsługę długu</t>
  </si>
  <si>
    <t>Inne rozchody (bez spłaty długu np. udzielane pożyczki)</t>
  </si>
  <si>
    <t>Środki do dyspozycji na wydatki majątkowe (6-7-8)</t>
  </si>
  <si>
    <t>wydatki majątkowe objęte limitem art. 226 ust. 4 ufp</t>
  </si>
  <si>
    <t>kwota wyłączeń z art. 243 ust. 3 pkt 1 ufp oraz z art. 170 ust. 3 sufp przypadająca na dany rok budżetowy</t>
  </si>
  <si>
    <t xml:space="preserve">15. </t>
  </si>
  <si>
    <t>Zgodny z  art. 243 ufp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</si>
  <si>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</si>
  <si>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</si>
  <si>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</si>
  <si>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</si>
  <si>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</si>
  <si>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Przew. wyk.Rok 2011</t>
  </si>
  <si>
    <t>Plan 2011 3 kw.</t>
  </si>
  <si>
    <t xml:space="preserve">Dochody ogółem, w tym: </t>
  </si>
  <si>
    <t>Wydatki bieżące (bez odsetek i prowizji od kredytów i pożyczek oraz wyemitowanych papierów wartościowych ), w tym:</t>
  </si>
  <si>
    <t>na wynagrodzenia i składki od nich naliczane</t>
  </si>
  <si>
    <t>związane z funkcjonowaniem organów JST</t>
  </si>
  <si>
    <t>gwarancje i poręczenia podlegające wyłączeniu z limitów spłaty zobowiązań z art. 243 ufp/169sufp</t>
  </si>
  <si>
    <t>wydatki bieżące objęte limitem art. 226 ust. 4 ufp</t>
  </si>
  <si>
    <t>m</t>
  </si>
  <si>
    <t>w tym odsetki</t>
  </si>
  <si>
    <t>Przychody (kredyty, pożyczki, emisje obligacji)</t>
  </si>
  <si>
    <t>Wynik finansowy budżetu (9-10+11)</t>
  </si>
  <si>
    <t>Kwota długu, w tym:</t>
  </si>
  <si>
    <t>łączna kwota wyłączeń z art. 243 ust. 3 pkt 1 ufp oraz z art. 170 ust. 3 sufp</t>
  </si>
  <si>
    <t>Relacja (Db-Wb+Dsm)Do, o której mowa w art..243 w danym roku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</si>
  <si>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</si>
  <si>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</si>
  <si>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</si>
  <si>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Sposób sfinansowania spłaty długu (kwota powinna być zgodna z kwotą wykazaną w poz. 7a),
z tego: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</si>
  <si>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</si>
  <si>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</si>
  <si>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</si>
  <si>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</si>
  <si>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</si>
  <si>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</si>
  <si>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</si>
  <si>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</si>
  <si>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………………………………………………………………….</t>
  </si>
  <si>
    <t>*   Kwoty w poz.: 1, 1a, 1c, 2, 2c, 2d, 7, 7a, 7b, 11, 13, 13a, 14, 15 oraz 16 (komórki oznaczone kolorem niebieskim) należy wykazać w całym okresie, na który zaciągnięto oraz planuje się zaciągnąć zobowiązania.</t>
  </si>
  <si>
    <t>** powinna zostać spełniona zależność odnośnie lewej strony wzoru po uwzględnieniu poz. 14 w stosunku do prawej strony wzoru - niewłaściwe skreślić</t>
  </si>
  <si>
    <r>
      <t>Wydatki majątkowe</t>
    </r>
    <r>
      <rPr>
        <b/>
        <u val="single"/>
        <vertAlign val="superscript"/>
        <sz val="10"/>
        <rFont val="Times New Roman"/>
        <family val="1"/>
      </rPr>
      <t>,</t>
    </r>
    <r>
      <rPr>
        <b/>
        <u val="single"/>
        <sz val="10"/>
        <rFont val="Times New Roman"/>
        <family val="1"/>
      </rPr>
      <t xml:space="preserve"> w tym:</t>
    </r>
  </si>
  <si>
    <r>
      <t>Spłata zadłużenia/dochody ogółem (7-13a +2c –2d):1)  -max 15%  z art. 169 sufp</t>
    </r>
    <r>
      <rPr>
        <b/>
        <u val="single"/>
        <vertAlign val="superscript"/>
        <sz val="10"/>
        <rFont val="Times New Roman"/>
        <family val="1"/>
      </rPr>
      <t>[16]</t>
    </r>
  </si>
  <si>
    <r>
      <t>Zadłużenie/dochody ogółem (13 –13a):1) - max 60% z art. 170 sufp</t>
    </r>
    <r>
      <rPr>
        <b/>
        <u val="single"/>
        <vertAlign val="superscript"/>
        <sz val="10"/>
        <rFont val="Times New Roman"/>
        <family val="1"/>
      </rPr>
      <t>[17]</t>
    </r>
  </si>
  <si>
    <r>
      <t>[1]</t>
    </r>
    <r>
      <rPr>
        <u val="single"/>
        <sz val="10"/>
        <color indexed="12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</si>
  <si>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color indexed="12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</si>
  <si>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color indexed="12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</si>
  <si>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color indexed="12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</si>
  <si>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color indexed="12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</si>
  <si>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color indexed="12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</si>
  <si>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color indexed="12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</si>
  <si>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color indexed="12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</si>
  <si>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color indexed="12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</si>
  <si>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 xml:space="preserve">[10] </t>
    </r>
    <r>
      <rPr>
        <u val="single"/>
        <sz val="10"/>
        <color indexed="12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</t>
    </r>
  </si>
  <si>
    <r>
      <t>[11]</t>
    </r>
    <r>
      <rPr>
        <u val="single"/>
        <sz val="10"/>
        <color indexed="12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</si>
  <si>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color indexed="12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</si>
  <si>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color indexed="12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</si>
  <si>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color indexed="12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</si>
  <si>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color indexed="12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</si>
  <si>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color indexed="12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</si>
  <si>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color indexed="12"/>
        <rFont val="Times New Roman"/>
        <family val="1"/>
      </rPr>
      <t>W pozycjach 17 i 18 nie uwzględnia się zobowiązań związku współtworzonego przez jednostkę samorządu terytorialnego.</t>
    </r>
  </si>
  <si>
    <t>Rok 2023</t>
  </si>
  <si>
    <t>Rok 2024</t>
  </si>
  <si>
    <t>z 27 czerwca 2012</t>
  </si>
  <si>
    <t>Załącznik nr 1 do uchwały Rady Miasta  Nr XXI/…. /12</t>
  </si>
  <si>
    <t>nadwyżka budżetowa z lat ubiegłych plus wolne środki zaangażowane na spłatę kredytów</t>
  </si>
  <si>
    <t>WIELOLETNIA PROGNOZA FINANSOWA MIASTA GDYNI      2012-2024</t>
  </si>
  <si>
    <t>Załącznik nr 2 do Uchwały nr …………………. Rady Miasta Gdyni z dnia 27 czerwca 2012</t>
  </si>
  <si>
    <t>część 1</t>
  </si>
  <si>
    <t xml:space="preserve">                                     Wykaz programów, projektów lub zadania związane z programami realizowanymi z udziałem środków, o których mowa w art. 5 ust. 1 pkt 2 i 3 nufp                     </t>
  </si>
  <si>
    <t>LP</t>
  </si>
  <si>
    <t xml:space="preserve">Dział </t>
  </si>
  <si>
    <t>Rozdział</t>
  </si>
  <si>
    <t>Nazwa przedsięwzięcia i cel</t>
  </si>
  <si>
    <t>Jednostka odpowiedzialna lub koordynująca</t>
  </si>
  <si>
    <t>Okres realizacji</t>
  </si>
  <si>
    <t>Łączne nakłady finansowe</t>
  </si>
  <si>
    <t>Źródła finansowania</t>
  </si>
  <si>
    <t>do 2010</t>
  </si>
  <si>
    <t>Nakłady poniesione dotychczas</t>
  </si>
  <si>
    <t>Limity wydatków w poszczególnych latach</t>
  </si>
  <si>
    <t>Limit zobowiązań</t>
  </si>
  <si>
    <t>Mój biznes II -  Program Operacyjny Kapitał Ludzki 2007-2013</t>
  </si>
  <si>
    <t>POWIATOWY URZĄD PRACY</t>
  </si>
  <si>
    <t>bieżące</t>
  </si>
  <si>
    <t>środ. włas. bież.</t>
  </si>
  <si>
    <t>środ. włas. maj.</t>
  </si>
  <si>
    <t>bud. państ. bież.</t>
  </si>
  <si>
    <t>majątkowe</t>
  </si>
  <si>
    <t>bud. państ. maj.</t>
  </si>
  <si>
    <t>środ. UE bież.</t>
  </si>
  <si>
    <t>środ. UE maj.</t>
  </si>
  <si>
    <t>Ogółem</t>
  </si>
  <si>
    <t>środ. inne bież.</t>
  </si>
  <si>
    <t>środ. inne maj.</t>
  </si>
  <si>
    <t>łącznie bieżące</t>
  </si>
  <si>
    <t>łącznie majątkowe</t>
  </si>
  <si>
    <t>TROLLEY - Promoting Electric Public Transport - Program dla Europy Środkowej na lata 2007-2013</t>
  </si>
  <si>
    <t>URZĄD MIASTA GDYNI - WYDZIAŁ INWESTYCJI</t>
  </si>
  <si>
    <t>Rozwój komunikacji rowerowej aglomeracji trójmiejskiej w latach 2007-2013  - Regionalny Program Województwa Pomorskiego na lata 2007-2013</t>
  </si>
  <si>
    <t>Wdrożenie zintegrowanego systemu zarządzania ruchem TRISTAR w Gdańsku, Gdyni i Sopocie - Program Operacyjny Infrastruktura i Środowisko</t>
  </si>
  <si>
    <t xml:space="preserve">INTERFACE - Program Współpracy Transgranicznej Południowy Bałtyk 2007-2013 </t>
  </si>
  <si>
    <t>URZĄD MIASTA GDYNI - BIURO ROZWOJU MIASTA</t>
  </si>
  <si>
    <t>SouthNorth Axis "SoNorA" -     Program INTERREG IVB Europa Środkowa</t>
  </si>
  <si>
    <t>"Bothnian Green Logistic Corridor" - Program dla Regionu Morza Bałtyckiego</t>
  </si>
  <si>
    <t>SEGMENT - Program Inteligentna Energia Europa 2007-2013</t>
  </si>
  <si>
    <t>ZARZĄD DRÓG I ZIELENI</t>
  </si>
  <si>
    <t>Pomorski Park Naukowo-Technologiczny - rozbudowa etap 3  -  Program Operacyjny Innowacyjna Gospodarka</t>
  </si>
  <si>
    <t>GDYŃSKIE CENTRUM INNOWACJI</t>
  </si>
  <si>
    <t>Pomorski Park Naukowo-Technologiczny - rozbudowa etap 4  -  Regionalny Program Operacyjny dla Województwa Pomorskiego na lata 2007-2013</t>
  </si>
  <si>
    <t>Promocja innowacyjnego przemysłu modowego w obszarze Morza Błtyckiego - Baltic Fashion - Program Współpracy Transgranicznej Południowy Bałtyk 2007-2013</t>
  </si>
  <si>
    <t>Integracja oraz edukacja studentów, absolwentów i MSP (mikro, małych i srednich przedsiębiorstw) w zakresie zarządzania wzornnictwem przemysłowym DesignSHIP - Program Współpracy Transgranicznej Południowy Bałtyk 2007-2013</t>
  </si>
  <si>
    <t>Development of Innovative System Through Knowledge Exchange - DISKE                             Program Południowy Bałtyk 2007-2013</t>
  </si>
  <si>
    <t xml:space="preserve">Dynamika morskiego rynku pracy i atrakcyjne otoczenie miast portowych Południowego Bałtyku (SB Professionalns) - Program Współpracy Transgranicznej Południowy Bałtyk 2007-2013 </t>
  </si>
  <si>
    <t>WYDZIAŁ POLITYKI GOSPODARCZEJ                                    I NIERUCHOMOŚCI</t>
  </si>
  <si>
    <t>Rozwój elektronicznych usług publicznych w Gdyni - Regionalny Program Operacyjny dla Województwa Pomorskiego na lata 2007-2013</t>
  </si>
  <si>
    <t>URZĄD MIASTA GDYNI - WYDZIAŁ INFORMATYKI</t>
  </si>
  <si>
    <t>COMENIUS - Program „Uczenie się przez całe życie"  Fundacja Rozwoju Systemu Edukacji</t>
  </si>
  <si>
    <t>GIMNAZJUM NR 1</t>
  </si>
  <si>
    <t>GIMNAZJUM NR 4</t>
  </si>
  <si>
    <t>ZESPÓŁ SZKÓŁ NR 12</t>
  </si>
  <si>
    <t>ZESPÓŁ SZKÓL ADMINISTRACYJNO- EKONOMICZNYCH</t>
  </si>
  <si>
    <t>Leonardo da Vinci - Program "Uczenie się przez całe życie" Fundacja Rozwoju Systemu Edukacji</t>
  </si>
  <si>
    <t>ZESPÓŁ SZKÓŁ ADMINISTRACYJNO-EKONOMICZNYCH</t>
  </si>
  <si>
    <t>ZESPÓŁ SZKÓŁ CHŁODNICZYCH I ELEKTRONICZNYCH</t>
  </si>
  <si>
    <t>Dojrzała Przedsiebiorczość - Innowacyjny model preinkubacji przedsiebiorczej osób 50+ - Program Operacyjny Kapitał Ludzki 2007-2013</t>
  </si>
  <si>
    <t>Urzędnik na plus III - program Operacyjny Kapitał Ludzki 2007-2013</t>
  </si>
  <si>
    <t>Praktyka czyni mistrza - nowatorski program praktyk na studiach pedagogicznych PWSH - Program Operacyjny Kapitał Ludzki 2007-2013</t>
  </si>
  <si>
    <t>URZĄD MIASTA GDYNI - WYDZIAŁ EDUKACJI</t>
  </si>
  <si>
    <t>"Odkryj moje możliwości" - Wyrównywanie szans edukacyjnych uczniów z grup o utrudnionym dostepie do edukacji oraz zmniejszenie różnic w jakości usług edukacyjnych - Program Operacyjny Kapitał Ludzki 2007-2013</t>
  </si>
  <si>
    <t>Ochrona wód Zatoki Gdańskiej - budowa i modernizacja systemu odprowadzania wód opadowych w Gdyni Etap I - Program Operacyjny Infrastruktura I Środowisko</t>
  </si>
  <si>
    <t>URZĄD MIASTA GDYNI -WYDZIAŁ INWESTYCJI</t>
  </si>
  <si>
    <t>Budowa małej infrastruktury służącej ochronie przyrody na obszarze rezerwatu Kępa Redłowska w Gdyni - Regionalny Program Operacyjny dla Województwa Pomorskiego na lata 2007-2013</t>
  </si>
  <si>
    <t xml:space="preserve">URZĄD MIASTA GDYNI </t>
  </si>
  <si>
    <t>Rozbudowa przystani rybackiej w Gdyni - Obłuże - etap I - poprawa warunków bezpieczeństwa i higieny pracy oraz poprawa jakości produktów rybnych pochodzących z połowów w wodach morskich - Program Operacyjny Zrównoważony rozwój sektora rygołówstwa i nabrze</t>
  </si>
  <si>
    <t>Rozbudowa przystani rybackiej w Gdyni - Obłuże - etap II - poprawa warunków bezpieczeństwa i higieny pracy przy wodowaniu i wyciąganiu na brzeg łodzi rybackich - Program Operacyjny Zrównoważony rozwój sektora rygołówstwa i nabrzeznych obszarów rybackich 2</t>
  </si>
  <si>
    <t xml:space="preserve">Rozbudowa przystani rybackiej w Gdyni - Oksywie - etap II - poprawa warunków bezpieczeństwa i higieny pracy przy wodowaniu i wyciąganiu na brzeg łodzi rybackich - Program Operacyjny Zrównoważony rozwój sektora rygołówstwa i nabrzeznych obszarów rybackich </t>
  </si>
  <si>
    <t>środki własne bieżące</t>
  </si>
  <si>
    <t>środki własne majątkowe</t>
  </si>
  <si>
    <t>SUMA ŚRODKI WŁASNE</t>
  </si>
  <si>
    <t>środki UE bieżace</t>
  </si>
  <si>
    <t>środki budżetu państwa bieżące</t>
  </si>
  <si>
    <t>środki budżetu państwa majątkowe</t>
  </si>
  <si>
    <t>SUMA ŚR. BUD. PAŃSTWA</t>
  </si>
  <si>
    <t>środki UE majątkowe</t>
  </si>
  <si>
    <t>SUMA ŚR. UE</t>
  </si>
  <si>
    <t>Razem bieżące</t>
  </si>
  <si>
    <t>06.06.2012r.</t>
  </si>
  <si>
    <t>Razem majątkowe</t>
  </si>
  <si>
    <t>RAZEM</t>
  </si>
  <si>
    <t>Bez jednorocznych</t>
  </si>
  <si>
    <t>Zmiana: Ochrona wód, Kępa Redłowska</t>
  </si>
  <si>
    <t>Załącznik nr 2 do uchwały Rady Miasta Gdyni nr XXI/………/2012 z 27-06-2012</t>
  </si>
  <si>
    <t>część 2</t>
  </si>
  <si>
    <t xml:space="preserve">Wykaz programów, projektów lub zadań, które będą realizowane a nie są zaliczone do innych rodzajów </t>
  </si>
  <si>
    <t>LP.</t>
  </si>
  <si>
    <t>Rozdział klasyfikacji wydatków</t>
  </si>
  <si>
    <t>Limity wydatków w latach</t>
  </si>
  <si>
    <t xml:space="preserve">Dokumentacja przyszłościowa - rozwój proekologicznego transportu publicznego na obszarze metropolitalnym Trójmiasta -                      przygotowanie zadań do realizacji </t>
  </si>
  <si>
    <t xml:space="preserve">Urząd Miasta </t>
  </si>
  <si>
    <t>Kolej Metropolitalna (udział w projekcie regionalnym) - przygotowanie zadań do realizacji oraz udział w realizacji projektu regionalnego</t>
  </si>
  <si>
    <t>Przebudowa skrzyżowania ul. Chylońskiej i Północnej - poprawa systemu drogowego i układu komunikacji miejskiej</t>
  </si>
  <si>
    <t>Rozwój Komunikacji Rowerowej w aglomeracji Trójmiejskiej oraz budowa ścieżek rowerowych - dokumentacja projektowa, przygotowanie do realizacji - rozbudowa sieci nowoczesnych dróg rowerowych i ograniczenie emisji spalin</t>
  </si>
  <si>
    <t>Przbudowa ulicy Chwarznieńskiej oraz Przebudowa dróg powiatowych  - przebudowa oraz poprawa systemu drogowego i układu komunikacji miejskiej</t>
  </si>
  <si>
    <t xml:space="preserve">Dokumentacja przyszłościowa (w tym budowa Obwodowej Północnej Aglomeracji Trójmiejskiej) - przygotowanie zadań do realizacji </t>
  </si>
  <si>
    <t xml:space="preserve">Dokumentacja przyszłościowa ul. Waszyngtona - Nowa Węglowa - przygotowanie zadań do realizacji </t>
  </si>
  <si>
    <t>Wykupy gruntów - przygotowanie zadań do realizacji</t>
  </si>
  <si>
    <t>Modernizacja ulic gminnych, przebudowa odcinka ul. Bp.Dominika (dojazd do Szkoły Muzycznej) oraz ul. Przebendowskich - poprawa lokalnego systemu drogowego</t>
  </si>
  <si>
    <t>Budowa ścieżek rowerowych - rozbudowa sieci nowoczesnych dróg rowerowych i ograniczenie emisji spalin</t>
  </si>
  <si>
    <t>Lokalne inicjatywy inwestycyjne - uzbrojenie terenów pod budownictwo mieszkaniowe</t>
  </si>
  <si>
    <t>Dokumentacja przyszłościowa - przygotowanie zadań do realizacji</t>
  </si>
  <si>
    <t>środa. was. bież.</t>
  </si>
  <si>
    <t>środa. włas. maj.</t>
  </si>
  <si>
    <t>Udziały Gminy w Porcie Lotniczym Gdynia-Kosakowo oraz w budowie drogi do Portu Lotniczego - udział w realizacji projektu</t>
  </si>
  <si>
    <t>Rozbudowa cmentarzy ZCK - poprawa stanu technicznego obiektów</t>
  </si>
  <si>
    <t>Budowa Gdyńskiego Inkubatora Przedsiębiorczości</t>
  </si>
  <si>
    <t>Budowa oraz przebudowa szkół - rozbudowa infrastruktury oświatowej oraz poprawa stanu technicznego obiektów oświatowych</t>
  </si>
  <si>
    <t>Budowa przedszkola - rozbudowa infrastruktury oświatowej</t>
  </si>
  <si>
    <t>Przebudowa szkół - poprawa stanu technicznego obiektów oświatowych</t>
  </si>
  <si>
    <t>Rozbudowa Szkoły Muzycznej - wkład własny</t>
  </si>
  <si>
    <t>Dofinansowanie rozbudowy części zabiegowej Gdyńskiego Centrum Onkologii przy Szpitalu Morskim im. PCK w Gdyni wraz z zakupem niezbędnego sprzętu i wyposażenia - poprawa dostepności i jakości leczenia chorób nowotworowych</t>
  </si>
  <si>
    <t>Adaptacja pomieszczeń na poradnie psychologiczno - pedagogiczne - poprawa stanu technicznego obiektów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</si>
  <si>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</t>
  </si>
  <si>
    <t>Ochrona wód Zatoki Gdańskiej - przebudowa przepompowni ścieków przy Bulwarze Nadmorskim - eliminowanie zanieczyszczeń wprowadzanych do wód powierzchniowych</t>
  </si>
  <si>
    <t>Lokalne Inicjatywy Inwestycyjne - uzbrojenie terenów pod budownictwo mieszkaniowe</t>
  </si>
  <si>
    <t>Tereny zielone</t>
  </si>
  <si>
    <t>Oświetlenie ulic - poprawa bezpieczeństwa</t>
  </si>
  <si>
    <t>Lokalne Inicjatywy Inwestycyjne - poprawa bezpieczeństwa</t>
  </si>
  <si>
    <t>Zagospodarowanie fragmentu terenu przy ul. Orłowskiej w pobliżu mola</t>
  </si>
  <si>
    <t>Dokumentacja przyszłościowa (w tym rewitalizacja rejonu Opata Hackiego, Zamenhofa, Chylońskiej i  komierowskiego)</t>
  </si>
  <si>
    <t>Modernizacja Teatru Muzycznego w Gdyni - wkład własny - rozbudowa infrastruktury kulturalnej</t>
  </si>
  <si>
    <t>Adaptacja pomieszczeń SP 43 na filię biblioteki - podniesienie atrakcyjności kulturalnej i turystycznej miasta</t>
  </si>
  <si>
    <t>Rozbudowa, przebudowa, adaptacja i wyposażenie budynku Dworca Morskiego oraz Magazynu Tranzytowego na potrzeby Muzeum Emigracji w Gdyni</t>
  </si>
  <si>
    <t xml:space="preserve">Urząd Miasta, Muzeum Emigracji </t>
  </si>
  <si>
    <t>środ. inne maj. - pożyczka w ramach inicjatywy JESSICA</t>
  </si>
  <si>
    <t>Dokumentacja, wykonanie i instalacja wystawy stałej Muzeum Emigracji</t>
  </si>
  <si>
    <t>Budowa kompleksu sportowego - stadion Oksywie - rozbudowa infrastruktury sportowej</t>
  </si>
  <si>
    <t>Gdyński Ośrodek Sportu i Rekreacji</t>
  </si>
  <si>
    <t>SUMA</t>
  </si>
  <si>
    <t>RÓŻNICE</t>
  </si>
  <si>
    <t xml:space="preserve">bież </t>
  </si>
  <si>
    <t>maj</t>
  </si>
  <si>
    <t>Załącznik nr 2 do Uchwały Rady Miasta Gdyni nr XXI/……../12 z 27.06.2012r.</t>
  </si>
  <si>
    <t>część 3</t>
  </si>
  <si>
    <t>Wieloletni plan wydatków bieżących przedsięwzięć związanych z zapewnieniem ciągłości działania jednostki</t>
  </si>
  <si>
    <t>Wspieranie zadań z zakresu działań wychowawczych dzieci i młodzieży</t>
  </si>
  <si>
    <t>Urząd Miasta</t>
  </si>
  <si>
    <t>Wspieranie zadań z zakresu zajęć opiekuńczo - wychowawczo - dydaktycznych wspomagających rozwój dzieci</t>
  </si>
  <si>
    <t>Wspieranie zadań promujących rozwój dzieci i młodzieży w zakresie nowych technologii</t>
  </si>
  <si>
    <t>System monitorowania miasta</t>
  </si>
  <si>
    <t>Monitoring w dzielnicach</t>
  </si>
  <si>
    <t>Gdynia Aktywna 2011-2013</t>
  </si>
  <si>
    <t>Gdyńska Debata Młodych</t>
  </si>
  <si>
    <t>Centrum informacji i rehabilitacji dla osób niewidomych i niedowidzących</t>
  </si>
  <si>
    <t>Prowadzenie Ośrodka Hipoterapeutycznego</t>
  </si>
  <si>
    <t>Utrzymanie obiektów sportowo - rekreacyjnych - stadion miejski</t>
  </si>
  <si>
    <t>Prowadzenie Poradni Opieki Paliatywnej</t>
  </si>
  <si>
    <t>Akademia Walki z Rakiem</t>
  </si>
  <si>
    <t>Profilaktyka raka jądra</t>
  </si>
  <si>
    <t>Konserwacja bieżąca zieleni miejskiej</t>
  </si>
  <si>
    <t>Wykonawstwo terenów zielonych i inwentaryzacja zieleni miejskiej</t>
  </si>
  <si>
    <t>Zakładanie i urządzanie terenów zieleni</t>
  </si>
  <si>
    <t>Prowadzenie Biura Porad Obywatelskich</t>
  </si>
  <si>
    <t>WFOŚ. bież.</t>
  </si>
  <si>
    <t>Prowadzenie placówki  opiekuńczo-wychowawczej Dom na Klifie</t>
  </si>
  <si>
    <t>MOPS</t>
  </si>
  <si>
    <t>środa. włas. bież.</t>
  </si>
  <si>
    <t xml:space="preserve">Prowadzenie placówki  opiekuńczo-wychowawczej typu socjalizacyjnego </t>
  </si>
  <si>
    <t xml:space="preserve">Placówka opiekuńczo -wychowawcza </t>
  </si>
  <si>
    <t xml:space="preserve">Prowadzenie placówki rodzinnej </t>
  </si>
  <si>
    <t xml:space="preserve">Prowadzenie placówki  opiekuńczo-wychowawczej socjoterapeutycznej Dom pod magnolią </t>
  </si>
  <si>
    <t>Przygotowanie i dostarczanie posiłków dla mieszkańców TOO</t>
  </si>
  <si>
    <t xml:space="preserve">Prowadzenie schroniska dla bezdomnych </t>
  </si>
  <si>
    <t>Prowadzenie schroniska z funkcją interwencyjnego punktu noclegowego dla osób w stanie nietrzeźwości</t>
  </si>
  <si>
    <t xml:space="preserve"> Prowadzenie schroniska z funkcją interwencyjnego punktu noclegowego dla osób w stanie nietrzeźwości</t>
  </si>
  <si>
    <t>Zapewnienie schronienia wraz z opieką dla osób starszych, niepełnosprawnych będących osobami bezdomnymi</t>
  </si>
  <si>
    <t>Prowadzenie Ośrodka Interwencji Kryzysowej</t>
  </si>
  <si>
    <t>Świadczenie usług opiekuńczych</t>
  </si>
  <si>
    <t xml:space="preserve"> Przygotowanie posiłków dla klientów MOPS </t>
  </si>
  <si>
    <t xml:space="preserve">Przygotowanie posiłków dla klientów MOPS </t>
  </si>
  <si>
    <t>85203 zlec</t>
  </si>
  <si>
    <t>Warsztaty terapii zajęciowej</t>
  </si>
  <si>
    <t>01.01.2012</t>
  </si>
  <si>
    <t>31.12.2012</t>
  </si>
  <si>
    <t>Wspieranie samotnych matek i rodzin ubogich</t>
  </si>
  <si>
    <t>Wspieranie ubogich mieszkańców Gdyni</t>
  </si>
  <si>
    <t xml:space="preserve">Pomoc dla więźniów opuszczających zakłady karne </t>
  </si>
  <si>
    <t xml:space="preserve">Prowadzenie banku żywności </t>
  </si>
  <si>
    <t>Prowadzenie aktywizacji społecznej osób po amputacji krtani</t>
  </si>
  <si>
    <t>Prowadzenie centrum informacji dla osób niesłyszących i niedosłyszących</t>
  </si>
  <si>
    <t>Wspieranie rozwoju dzieci niepełnosprawnych i zagrożnych niepełnosprawnością w wieku 0-2 lata</t>
  </si>
  <si>
    <t>Wspieranie rozwoju dzieci niepełnosprawnych i zagrożnych niepełnosprawnością w wieku 3-7 lat</t>
  </si>
  <si>
    <t>Wykonanie ekspertyzy dotyczącej funkcjonowania Eko Doliny Sp. z o.o. w Łężycach, wpływu na stan środowiska oraz jakość życia mieszkańcówistniejącej zabudowy wokół zakładu, a także doraźnych i systemowych metod ograniczenia negatywnego oddziaływania</t>
  </si>
  <si>
    <t>Czynna ochrona gatunkowa roślin - Rosiczki</t>
  </si>
  <si>
    <t>Gdyńskie Centrum innowacji</t>
  </si>
  <si>
    <t>SINICE - przyjaciel czy wróg?</t>
  </si>
  <si>
    <t>BioBusiness Laboratorium</t>
  </si>
  <si>
    <t>Wizyty stażowe i staże dla rozwoju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</si>
</sst>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d/mm"/>
    <numFmt numFmtId="167" formatCode="mmmm\ yy"/>
    <numFmt numFmtId="168" formatCode="0.0"/>
    <numFmt numFmtId="169" formatCode="#,##0.000"/>
    <numFmt numFmtId="170" formatCode="0.000%"/>
    <numFmt numFmtId="171" formatCode="0.000"/>
    <numFmt numFmtId="172" formatCode="#,##0.0000"/>
    <numFmt numFmtId="173" formatCode="d\ mmmm\ yyyy"/>
    <numFmt numFmtId="174" formatCode="0.0000"/>
    <numFmt numFmtId="175" formatCode="0.0000%"/>
    <numFmt numFmtId="176" formatCode="mmm/yyyy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mmm\ yy"/>
    <numFmt numFmtId="181" formatCode="yy\-mm\-dd"/>
    <numFmt numFmtId="182" formatCode="dd\-mmm\-yy"/>
    <numFmt numFmtId="183" formatCode="dd\-mmm"/>
    <numFmt numFmtId="184" formatCode="mmm\-yy"/>
    <numFmt numFmtId="185" formatCode="yy\-mm\-dd\ hh:mm"/>
    <numFmt numFmtId="186" formatCode="#,##0.0\ _z_ł;[Red]\-#,##0.0\ _z_ł"/>
    <numFmt numFmtId="187" formatCode="#,##0.00000"/>
    <numFmt numFmtId="188" formatCode="0.0000000"/>
    <numFmt numFmtId="189" formatCode="0.000000"/>
    <numFmt numFmtId="190" formatCode="0.00000"/>
    <numFmt numFmtId="191" formatCode="0.00000%"/>
    <numFmt numFmtId="192" formatCode="0.000000%"/>
    <numFmt numFmtId="193" formatCode="0.0000000%"/>
    <numFmt numFmtId="194" formatCode="d\-mmm\-yy"/>
    <numFmt numFmtId="195" formatCode="_-* #,##0.0\ _z_ł_-;\-* #,##0.0\ _z_ł_-;_-* &quot;-&quot;??\ _z_ł_-;_-@_-"/>
    <numFmt numFmtId="196" formatCode="_-* #,##0\ _z_ł_-;\-* #,##0\ _z_ł_-;_-* &quot;-&quot;??\ _z_ł_-;_-@_-"/>
    <numFmt numFmtId="197" formatCode="###,###.#"/>
    <numFmt numFmtId="198" formatCode="###,###.\O"/>
    <numFmt numFmtId="199" formatCode="###,###.0"/>
    <numFmt numFmtId="200" formatCode="###.0"/>
    <numFmt numFmtId="201" formatCode="###,###.##"/>
    <numFmt numFmtId="202" formatCode="###,###"/>
    <numFmt numFmtId="203" formatCode="###,###.00"/>
    <numFmt numFmtId="204" formatCode="[$€-2]\ #,##0.00_);[Red]\([$€-2]\ #,##0.00\)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.000000000"/>
    <numFmt numFmtId="214" formatCode="#,##0_ ;\-#,##0\ "/>
    <numFmt numFmtId="215" formatCode="[$-415]d\ mmmm\ yyyy"/>
    <numFmt numFmtId="216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0"/>
    </font>
    <font>
      <sz val="10"/>
      <name val="Bookman Old Style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2"/>
      <name val="Bookman Old Style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76">
    <xf numFmtId="0" fontId="0" fillId="0" borderId="0" xfId="0" applyAlignment="1">
      <alignment/>
    </xf>
    <xf numFmtId="0" fontId="16" fillId="0" borderId="0" xfId="54" applyFill="1">
      <alignment/>
      <protection/>
    </xf>
    <xf numFmtId="0" fontId="3" fillId="0" borderId="0" xfId="54" applyFont="1" applyFill="1" applyAlignment="1">
      <alignment horizontal="center"/>
      <protection/>
    </xf>
    <xf numFmtId="0" fontId="16" fillId="0" borderId="0" xfId="54" applyFill="1" applyAlignment="1">
      <alignment horizontal="center"/>
      <protection/>
    </xf>
    <xf numFmtId="2" fontId="16" fillId="0" borderId="0" xfId="54" applyNumberFormat="1" applyFill="1" applyAlignment="1">
      <alignment horizontal="center"/>
      <protection/>
    </xf>
    <xf numFmtId="0" fontId="30" fillId="0" borderId="0" xfId="54" applyFont="1" applyFill="1" applyAlignment="1">
      <alignment horizontal="right"/>
      <protection/>
    </xf>
    <xf numFmtId="4" fontId="30" fillId="0" borderId="0" xfId="54" applyNumberFormat="1" applyFont="1" applyFill="1" applyAlignment="1">
      <alignment horizontal="right"/>
      <protection/>
    </xf>
    <xf numFmtId="2" fontId="30" fillId="0" borderId="0" xfId="54" applyNumberFormat="1" applyFont="1" applyFill="1" applyAlignment="1">
      <alignment horizontal="right"/>
      <protection/>
    </xf>
    <xf numFmtId="4" fontId="16" fillId="0" borderId="0" xfId="54" applyNumberFormat="1" applyFill="1">
      <alignment/>
      <protection/>
    </xf>
    <xf numFmtId="2" fontId="16" fillId="0" borderId="0" xfId="54" applyNumberFormat="1" applyFill="1">
      <alignment/>
      <protection/>
    </xf>
    <xf numFmtId="0" fontId="31" fillId="0" borderId="0" xfId="54" applyFont="1" applyFill="1" applyAlignment="1">
      <alignment horizontal="center" wrapText="1"/>
      <protection/>
    </xf>
    <xf numFmtId="0" fontId="30" fillId="0" borderId="0" xfId="54" applyFont="1" applyFill="1" applyAlignment="1">
      <alignment horizontal="left" vertical="top"/>
      <protection/>
    </xf>
    <xf numFmtId="4" fontId="30" fillId="0" borderId="0" xfId="54" applyNumberFormat="1" applyFont="1" applyFill="1" applyAlignment="1">
      <alignment horizontal="left" vertical="top"/>
      <protection/>
    </xf>
    <xf numFmtId="0" fontId="30" fillId="0" borderId="0" xfId="54" applyFont="1" applyFill="1" applyAlignment="1">
      <alignment horizontal="center" vertical="top"/>
      <protection/>
    </xf>
    <xf numFmtId="2" fontId="30" fillId="0" borderId="0" xfId="54" applyNumberFormat="1" applyFont="1" applyFill="1" applyAlignment="1">
      <alignment horizontal="center" vertical="top"/>
      <protection/>
    </xf>
    <xf numFmtId="0" fontId="30" fillId="0" borderId="0" xfId="54" applyFont="1" applyFill="1">
      <alignment/>
      <protection/>
    </xf>
    <xf numFmtId="2" fontId="30" fillId="0" borderId="0" xfId="54" applyNumberFormat="1" applyFont="1" applyFill="1">
      <alignment/>
      <protection/>
    </xf>
    <xf numFmtId="0" fontId="4" fillId="0" borderId="0" xfId="54" applyFont="1" applyFill="1" applyAlignment="1">
      <alignment horizontal="left"/>
      <protection/>
    </xf>
    <xf numFmtId="3" fontId="16" fillId="0" borderId="0" xfId="54" applyNumberFormat="1" applyFill="1">
      <alignment/>
      <protection/>
    </xf>
    <xf numFmtId="4" fontId="5" fillId="0" borderId="0" xfId="54" applyNumberFormat="1" applyFont="1" applyFill="1" applyBorder="1" applyAlignment="1">
      <alignment horizontal="center" vertical="top" wrapText="1"/>
      <protection/>
    </xf>
    <xf numFmtId="0" fontId="32" fillId="0" borderId="0" xfId="54" applyFont="1" applyFill="1">
      <alignment/>
      <protection/>
    </xf>
    <xf numFmtId="0" fontId="33" fillId="0" borderId="10" xfId="45" applyFont="1" applyFill="1" applyBorder="1" applyAlignment="1">
      <alignment horizontal="justify" vertical="top" wrapText="1"/>
    </xf>
    <xf numFmtId="2" fontId="5" fillId="0" borderId="11" xfId="54" applyNumberFormat="1" applyFont="1" applyFill="1" applyBorder="1" applyAlignment="1">
      <alignment horizontal="right" wrapText="1"/>
      <protection/>
    </xf>
    <xf numFmtId="4" fontId="5" fillId="0" borderId="11" xfId="54" applyNumberFormat="1" applyFont="1" applyFill="1" applyBorder="1" applyAlignment="1">
      <alignment horizontal="right" wrapText="1"/>
      <protection/>
    </xf>
    <xf numFmtId="2" fontId="5" fillId="0" borderId="12" xfId="54" applyNumberFormat="1" applyFont="1" applyFill="1" applyBorder="1" applyAlignment="1">
      <alignment horizontal="right" wrapText="1"/>
      <protection/>
    </xf>
    <xf numFmtId="4" fontId="6" fillId="0" borderId="0" xfId="54" applyNumberFormat="1" applyFont="1" applyFill="1">
      <alignment/>
      <protection/>
    </xf>
    <xf numFmtId="2" fontId="5" fillId="0" borderId="13" xfId="54" applyNumberFormat="1" applyFont="1" applyFill="1" applyBorder="1" applyAlignment="1">
      <alignment horizontal="right" wrapText="1"/>
      <protection/>
    </xf>
    <xf numFmtId="0" fontId="6" fillId="0" borderId="0" xfId="54" applyFont="1" applyFill="1">
      <alignment/>
      <protection/>
    </xf>
    <xf numFmtId="0" fontId="6" fillId="0" borderId="10" xfId="54" applyFont="1" applyFill="1" applyBorder="1" applyAlignment="1">
      <alignment horizontal="justify" vertical="top" wrapText="1"/>
      <protection/>
    </xf>
    <xf numFmtId="3" fontId="6" fillId="0" borderId="14" xfId="54" applyNumberFormat="1" applyFont="1" applyFill="1" applyBorder="1" applyAlignment="1">
      <alignment horizontal="right" vertical="top" wrapText="1"/>
      <protection/>
    </xf>
    <xf numFmtId="3" fontId="6" fillId="0" borderId="15" xfId="54" applyNumberFormat="1" applyFont="1" applyFill="1" applyBorder="1" applyAlignment="1">
      <alignment horizontal="right" vertical="top" wrapText="1"/>
      <protection/>
    </xf>
    <xf numFmtId="3" fontId="6" fillId="0" borderId="16" xfId="54" applyNumberFormat="1" applyFont="1" applyFill="1" applyBorder="1" applyAlignment="1">
      <alignment horizontal="right" vertical="top" wrapText="1"/>
      <protection/>
    </xf>
    <xf numFmtId="0" fontId="8" fillId="0" borderId="10" xfId="54" applyFont="1" applyFill="1" applyBorder="1" applyAlignment="1">
      <alignment horizontal="justify" vertical="top" wrapText="1"/>
      <protection/>
    </xf>
    <xf numFmtId="3" fontId="8" fillId="0" borderId="14" xfId="54" applyNumberFormat="1" applyFont="1" applyFill="1" applyBorder="1" applyAlignment="1">
      <alignment horizontal="right" vertical="top" wrapText="1"/>
      <protection/>
    </xf>
    <xf numFmtId="3" fontId="8" fillId="0" borderId="15" xfId="54" applyNumberFormat="1" applyFont="1" applyFill="1" applyBorder="1" applyAlignment="1">
      <alignment horizontal="right" vertical="top" wrapText="1"/>
      <protection/>
    </xf>
    <xf numFmtId="3" fontId="8" fillId="0" borderId="16" xfId="54" applyNumberFormat="1" applyFont="1" applyFill="1" applyBorder="1" applyAlignment="1">
      <alignment horizontal="right" vertical="top" wrapText="1"/>
      <protection/>
    </xf>
    <xf numFmtId="0" fontId="8" fillId="0" borderId="0" xfId="54" applyFont="1" applyFill="1">
      <alignment/>
      <protection/>
    </xf>
    <xf numFmtId="3" fontId="8" fillId="0" borderId="17" xfId="54" applyNumberFormat="1" applyFont="1" applyFill="1" applyBorder="1" applyAlignment="1">
      <alignment horizontal="right" vertical="top" wrapText="1"/>
      <protection/>
    </xf>
    <xf numFmtId="3" fontId="8" fillId="0" borderId="18" xfId="54" applyNumberFormat="1" applyFont="1" applyFill="1" applyBorder="1" applyAlignment="1">
      <alignment horizontal="right" vertical="top" wrapText="1"/>
      <protection/>
    </xf>
    <xf numFmtId="3" fontId="8" fillId="0" borderId="19" xfId="54" applyNumberFormat="1" applyFont="1" applyFill="1" applyBorder="1" applyAlignment="1">
      <alignment horizontal="right" vertical="top" wrapText="1"/>
      <protection/>
    </xf>
    <xf numFmtId="0" fontId="33" fillId="0" borderId="10" xfId="45" applyFont="1" applyFill="1" applyBorder="1" applyAlignment="1">
      <alignment vertical="top" wrapText="1"/>
    </xf>
    <xf numFmtId="3" fontId="6" fillId="0" borderId="20" xfId="54" applyNumberFormat="1" applyFont="1" applyFill="1" applyBorder="1" applyAlignment="1">
      <alignment horizontal="right" vertical="top" wrapText="1"/>
      <protection/>
    </xf>
    <xf numFmtId="3" fontId="6" fillId="0" borderId="11" xfId="54" applyNumberFormat="1" applyFont="1" applyFill="1" applyBorder="1" applyAlignment="1">
      <alignment horizontal="right" vertical="top" wrapText="1"/>
      <protection/>
    </xf>
    <xf numFmtId="3" fontId="6" fillId="0" borderId="13" xfId="54" applyNumberFormat="1" applyFont="1" applyFill="1" applyBorder="1" applyAlignment="1">
      <alignment horizontal="right" vertical="top" wrapText="1"/>
      <protection/>
    </xf>
    <xf numFmtId="0" fontId="34" fillId="0" borderId="10" xfId="45" applyFont="1" applyFill="1" applyBorder="1" applyAlignment="1">
      <alignment horizontal="justify" vertical="top" wrapText="1"/>
    </xf>
    <xf numFmtId="3" fontId="8" fillId="0" borderId="14" xfId="54" applyNumberFormat="1" applyFont="1" applyFill="1" applyBorder="1" applyAlignment="1">
      <alignment horizontal="right" wrapText="1"/>
      <protection/>
    </xf>
    <xf numFmtId="3" fontId="7" fillId="0" borderId="14" xfId="54" applyNumberFormat="1" applyFont="1" applyFill="1" applyBorder="1" applyAlignment="1">
      <alignment horizontal="right" wrapText="1"/>
      <protection/>
    </xf>
    <xf numFmtId="3" fontId="7" fillId="0" borderId="15" xfId="54" applyNumberFormat="1" applyFont="1" applyFill="1" applyBorder="1" applyAlignment="1">
      <alignment horizontal="right" wrapText="1"/>
      <protection/>
    </xf>
    <xf numFmtId="2" fontId="5" fillId="0" borderId="21" xfId="54" applyNumberFormat="1" applyFont="1" applyFill="1" applyBorder="1" applyAlignment="1">
      <alignment horizontal="right" wrapText="1"/>
      <protection/>
    </xf>
    <xf numFmtId="3" fontId="7" fillId="0" borderId="16" xfId="54" applyNumberFormat="1" applyFont="1" applyFill="1" applyBorder="1" applyAlignment="1">
      <alignment horizontal="right" wrapText="1"/>
      <protection/>
    </xf>
    <xf numFmtId="2" fontId="5" fillId="0" borderId="22" xfId="54" applyNumberFormat="1" applyFont="1" applyFill="1" applyBorder="1" applyAlignment="1">
      <alignment horizontal="right" wrapText="1"/>
      <protection/>
    </xf>
    <xf numFmtId="4" fontId="8" fillId="0" borderId="0" xfId="54" applyNumberFormat="1" applyFont="1" applyFill="1">
      <alignment/>
      <protection/>
    </xf>
    <xf numFmtId="3" fontId="7" fillId="0" borderId="15" xfId="54" applyNumberFormat="1" applyFont="1" applyFill="1" applyBorder="1" applyAlignment="1">
      <alignment horizontal="right" vertical="top" wrapText="1"/>
      <protection/>
    </xf>
    <xf numFmtId="2" fontId="5" fillId="0" borderId="23" xfId="54" applyNumberFormat="1" applyFont="1" applyFill="1" applyBorder="1" applyAlignment="1">
      <alignment horizontal="right" wrapText="1"/>
      <protection/>
    </xf>
    <xf numFmtId="3" fontId="8" fillId="0" borderId="24" xfId="54" applyNumberFormat="1" applyFont="1" applyFill="1" applyBorder="1" applyAlignment="1">
      <alignment horizontal="right" vertical="top" wrapText="1"/>
      <protection/>
    </xf>
    <xf numFmtId="3" fontId="8" fillId="0" borderId="25" xfId="54" applyNumberFormat="1" applyFont="1" applyFill="1" applyBorder="1" applyAlignment="1">
      <alignment horizontal="right" vertical="top" wrapText="1"/>
      <protection/>
    </xf>
    <xf numFmtId="3" fontId="8" fillId="0" borderId="26" xfId="54" applyNumberFormat="1" applyFont="1" applyFill="1" applyBorder="1" applyAlignment="1">
      <alignment horizontal="right" vertical="top" wrapText="1"/>
      <protection/>
    </xf>
    <xf numFmtId="2" fontId="5" fillId="0" borderId="27" xfId="54" applyNumberFormat="1" applyFont="1" applyFill="1" applyBorder="1" applyAlignment="1">
      <alignment horizontal="right" wrapText="1"/>
      <protection/>
    </xf>
    <xf numFmtId="3" fontId="7" fillId="0" borderId="20" xfId="54" applyNumberFormat="1" applyFont="1" applyFill="1" applyBorder="1" applyAlignment="1">
      <alignment horizontal="right" wrapText="1"/>
      <protection/>
    </xf>
    <xf numFmtId="3" fontId="7" fillId="0" borderId="11" xfId="54" applyNumberFormat="1" applyFont="1" applyFill="1" applyBorder="1" applyAlignment="1">
      <alignment horizontal="right" wrapText="1"/>
      <protection/>
    </xf>
    <xf numFmtId="3" fontId="7" fillId="0" borderId="13" xfId="54" applyNumberFormat="1" applyFont="1" applyFill="1" applyBorder="1" applyAlignment="1">
      <alignment horizontal="right" wrapText="1"/>
      <protection/>
    </xf>
    <xf numFmtId="0" fontId="8" fillId="0" borderId="10" xfId="54" applyFont="1" applyFill="1" applyBorder="1" applyAlignment="1">
      <alignment vertical="top" wrapText="1"/>
      <protection/>
    </xf>
    <xf numFmtId="3" fontId="7" fillId="0" borderId="17" xfId="54" applyNumberFormat="1" applyFont="1" applyFill="1" applyBorder="1" applyAlignment="1">
      <alignment horizontal="right" wrapText="1"/>
      <protection/>
    </xf>
    <xf numFmtId="3" fontId="7" fillId="0" borderId="18" xfId="54" applyNumberFormat="1" applyFont="1" applyFill="1" applyBorder="1" applyAlignment="1">
      <alignment horizontal="right" wrapText="1"/>
      <protection/>
    </xf>
    <xf numFmtId="3" fontId="7" fillId="0" borderId="19" xfId="54" applyNumberFormat="1" applyFont="1" applyFill="1" applyBorder="1" applyAlignment="1">
      <alignment horizontal="right" wrapText="1"/>
      <protection/>
    </xf>
    <xf numFmtId="2" fontId="5" fillId="0" borderId="28" xfId="54" applyNumberFormat="1" applyFont="1" applyFill="1" applyBorder="1" applyAlignment="1">
      <alignment horizontal="right" wrapText="1"/>
      <protection/>
    </xf>
    <xf numFmtId="3" fontId="7" fillId="0" borderId="24" xfId="54" applyNumberFormat="1" applyFont="1" applyFill="1" applyBorder="1" applyAlignment="1">
      <alignment horizontal="right" wrapText="1"/>
      <protection/>
    </xf>
    <xf numFmtId="3" fontId="7" fillId="0" borderId="25" xfId="54" applyNumberFormat="1" applyFont="1" applyFill="1" applyBorder="1" applyAlignment="1">
      <alignment horizontal="right" wrapText="1"/>
      <protection/>
    </xf>
    <xf numFmtId="3" fontId="7" fillId="0" borderId="25" xfId="54" applyNumberFormat="1" applyFont="1" applyFill="1" applyBorder="1" applyAlignment="1">
      <alignment horizontal="right" vertical="top" wrapText="1"/>
      <protection/>
    </xf>
    <xf numFmtId="3" fontId="7" fillId="0" borderId="26" xfId="54" applyNumberFormat="1" applyFont="1" applyFill="1" applyBorder="1" applyAlignment="1">
      <alignment horizontal="right" wrapText="1"/>
      <protection/>
    </xf>
    <xf numFmtId="3" fontId="6" fillId="0" borderId="20" xfId="54" applyNumberFormat="1" applyFont="1" applyFill="1" applyBorder="1" applyAlignment="1">
      <alignment horizontal="right" wrapText="1"/>
      <protection/>
    </xf>
    <xf numFmtId="2" fontId="5" fillId="0" borderId="29" xfId="54" applyNumberFormat="1" applyFont="1" applyFill="1" applyBorder="1" applyAlignment="1">
      <alignment horizontal="right" wrapText="1"/>
      <protection/>
    </xf>
    <xf numFmtId="2" fontId="6" fillId="0" borderId="20" xfId="54" applyNumberFormat="1" applyFont="1" applyFill="1" applyBorder="1" applyAlignment="1">
      <alignment horizontal="right" wrapText="1"/>
      <protection/>
    </xf>
    <xf numFmtId="3" fontId="6" fillId="0" borderId="30" xfId="54" applyNumberFormat="1" applyFont="1" applyFill="1" applyBorder="1" applyAlignment="1">
      <alignment horizontal="right" wrapText="1"/>
      <protection/>
    </xf>
    <xf numFmtId="3" fontId="8" fillId="0" borderId="14" xfId="54" applyNumberFormat="1" applyFont="1" applyFill="1" applyBorder="1" applyAlignment="1">
      <alignment horizontal="right" vertical="center" wrapText="1"/>
      <protection/>
    </xf>
    <xf numFmtId="3" fontId="8" fillId="0" borderId="15" xfId="54" applyNumberFormat="1" applyFont="1" applyFill="1" applyBorder="1" applyAlignment="1">
      <alignment horizontal="right" vertical="center" wrapText="1"/>
      <protection/>
    </xf>
    <xf numFmtId="3" fontId="8" fillId="0" borderId="16" xfId="54" applyNumberFormat="1" applyFont="1" applyFill="1" applyBorder="1" applyAlignment="1">
      <alignment horizontal="right" vertical="center" wrapText="1"/>
      <protection/>
    </xf>
    <xf numFmtId="2" fontId="8" fillId="0" borderId="16" xfId="54" applyNumberFormat="1" applyFont="1" applyFill="1" applyBorder="1" applyAlignment="1">
      <alignment horizontal="right" vertical="center" wrapText="1"/>
      <protection/>
    </xf>
    <xf numFmtId="0" fontId="8" fillId="0" borderId="0" xfId="54" applyFont="1" applyFill="1" applyAlignment="1">
      <alignment horizontal="right" vertical="center"/>
      <protection/>
    </xf>
    <xf numFmtId="3" fontId="8" fillId="0" borderId="17" xfId="54" applyNumberFormat="1" applyFont="1" applyFill="1" applyBorder="1" applyAlignment="1">
      <alignment horizontal="right" wrapText="1"/>
      <protection/>
    </xf>
    <xf numFmtId="3" fontId="8" fillId="0" borderId="18" xfId="54" applyNumberFormat="1" applyFont="1" applyFill="1" applyBorder="1" applyAlignment="1">
      <alignment horizontal="right" wrapText="1"/>
      <protection/>
    </xf>
    <xf numFmtId="2" fontId="7" fillId="0" borderId="19" xfId="54" applyNumberFormat="1" applyFont="1" applyFill="1" applyBorder="1" applyAlignment="1">
      <alignment horizontal="right" wrapText="1"/>
      <protection/>
    </xf>
    <xf numFmtId="3" fontId="8" fillId="0" borderId="31" xfId="54" applyNumberFormat="1" applyFont="1" applyFill="1" applyBorder="1" applyAlignment="1">
      <alignment horizontal="right" wrapText="1"/>
      <protection/>
    </xf>
    <xf numFmtId="3" fontId="8" fillId="0" borderId="32" xfId="54" applyNumberFormat="1" applyFont="1" applyFill="1" applyBorder="1" applyAlignment="1">
      <alignment horizontal="right" wrapText="1"/>
      <protection/>
    </xf>
    <xf numFmtId="2" fontId="7" fillId="0" borderId="26" xfId="54" applyNumberFormat="1" applyFont="1" applyFill="1" applyBorder="1" applyAlignment="1">
      <alignment horizontal="right" wrapText="1"/>
      <protection/>
    </xf>
    <xf numFmtId="3" fontId="5" fillId="0" borderId="20" xfId="54" applyNumberFormat="1" applyFont="1" applyFill="1" applyBorder="1" applyAlignment="1">
      <alignment horizontal="right" vertical="justify" wrapText="1"/>
      <protection/>
    </xf>
    <xf numFmtId="3" fontId="5" fillId="0" borderId="11" xfId="54" applyNumberFormat="1" applyFont="1" applyFill="1" applyBorder="1" applyAlignment="1">
      <alignment horizontal="right" vertical="justify" wrapText="1"/>
      <protection/>
    </xf>
    <xf numFmtId="3" fontId="5" fillId="0" borderId="13" xfId="54" applyNumberFormat="1" applyFont="1" applyFill="1" applyBorder="1" applyAlignment="1">
      <alignment horizontal="right" vertical="justify" wrapText="1"/>
      <protection/>
    </xf>
    <xf numFmtId="2" fontId="5" fillId="0" borderId="13" xfId="54" applyNumberFormat="1" applyFont="1" applyFill="1" applyBorder="1" applyAlignment="1">
      <alignment horizontal="right" vertical="justify" wrapText="1"/>
      <protection/>
    </xf>
    <xf numFmtId="3" fontId="7" fillId="0" borderId="18" xfId="54" applyNumberFormat="1" applyFont="1" applyFill="1" applyBorder="1" applyAlignment="1">
      <alignment horizontal="right" vertical="top" wrapText="1"/>
      <protection/>
    </xf>
    <xf numFmtId="3" fontId="5" fillId="0" borderId="24" xfId="54" applyNumberFormat="1" applyFont="1" applyFill="1" applyBorder="1" applyAlignment="1">
      <alignment horizontal="right" vertical="top" wrapText="1"/>
      <protection/>
    </xf>
    <xf numFmtId="3" fontId="5" fillId="0" borderId="25" xfId="54" applyNumberFormat="1" applyFont="1" applyFill="1" applyBorder="1" applyAlignment="1">
      <alignment horizontal="right" vertical="top" wrapText="1"/>
      <protection/>
    </xf>
    <xf numFmtId="3" fontId="5" fillId="0" borderId="26" xfId="54" applyNumberFormat="1" applyFont="1" applyFill="1" applyBorder="1" applyAlignment="1">
      <alignment horizontal="right" vertical="top" wrapText="1"/>
      <protection/>
    </xf>
    <xf numFmtId="2" fontId="5" fillId="0" borderId="26" xfId="54" applyNumberFormat="1" applyFont="1" applyFill="1" applyBorder="1" applyAlignment="1">
      <alignment horizontal="right" vertical="top" wrapText="1"/>
      <protection/>
    </xf>
    <xf numFmtId="0" fontId="34" fillId="0" borderId="10" xfId="45" applyFont="1" applyFill="1" applyBorder="1" applyAlignment="1">
      <alignment vertical="top" wrapText="1"/>
    </xf>
    <xf numFmtId="3" fontId="7" fillId="0" borderId="24" xfId="54" applyNumberFormat="1" applyFont="1" applyFill="1" applyBorder="1" applyAlignment="1">
      <alignment vertical="top" wrapText="1"/>
      <protection/>
    </xf>
    <xf numFmtId="2" fontId="5" fillId="0" borderId="33" xfId="54" applyNumberFormat="1" applyFont="1" applyFill="1" applyBorder="1" applyAlignment="1">
      <alignment horizontal="right" wrapText="1"/>
      <protection/>
    </xf>
    <xf numFmtId="2" fontId="7" fillId="0" borderId="24" xfId="54" applyNumberFormat="1" applyFont="1" applyFill="1" applyBorder="1" applyAlignment="1">
      <alignment vertical="top" wrapText="1"/>
      <protection/>
    </xf>
    <xf numFmtId="3" fontId="7" fillId="0" borderId="34" xfId="54" applyNumberFormat="1" applyFont="1" applyFill="1" applyBorder="1" applyAlignment="1">
      <alignment vertical="top" wrapText="1"/>
      <protection/>
    </xf>
    <xf numFmtId="0" fontId="8" fillId="0" borderId="0" xfId="54" applyFont="1" applyFill="1" applyAlignment="1">
      <alignment/>
      <protection/>
    </xf>
    <xf numFmtId="3" fontId="6" fillId="0" borderId="35" xfId="54" applyNumberFormat="1" applyFont="1" applyFill="1" applyBorder="1" applyAlignment="1">
      <alignment horizontal="right" vertical="top" wrapText="1"/>
      <protection/>
    </xf>
    <xf numFmtId="3" fontId="6" fillId="0" borderId="36" xfId="54" applyNumberFormat="1" applyFont="1" applyFill="1" applyBorder="1" applyAlignment="1">
      <alignment horizontal="right" vertical="top" wrapText="1"/>
      <protection/>
    </xf>
    <xf numFmtId="3" fontId="34" fillId="0" borderId="10" xfId="45" applyNumberFormat="1" applyFont="1" applyFill="1" applyBorder="1" applyAlignment="1">
      <alignment horizontal="right" vertical="top" wrapText="1"/>
    </xf>
    <xf numFmtId="3" fontId="7" fillId="0" borderId="14" xfId="54" applyNumberFormat="1" applyFont="1" applyFill="1" applyBorder="1" applyAlignment="1">
      <alignment horizontal="right" vertical="top" wrapText="1"/>
      <protection/>
    </xf>
    <xf numFmtId="2" fontId="7" fillId="0" borderId="14" xfId="54" applyNumberFormat="1" applyFont="1" applyFill="1" applyBorder="1" applyAlignment="1">
      <alignment horizontal="right" vertical="top" wrapText="1"/>
      <protection/>
    </xf>
    <xf numFmtId="3" fontId="8" fillId="0" borderId="0" xfId="54" applyNumberFormat="1" applyFont="1" applyFill="1" applyAlignment="1">
      <alignment horizontal="right"/>
      <protection/>
    </xf>
    <xf numFmtId="3" fontId="8" fillId="0" borderId="10" xfId="54" applyNumberFormat="1" applyFont="1" applyFill="1" applyBorder="1" applyAlignment="1">
      <alignment horizontal="right" vertical="top" wrapText="1"/>
      <protection/>
    </xf>
    <xf numFmtId="180" fontId="16" fillId="0" borderId="0" xfId="54" applyNumberFormat="1" applyFill="1" applyBorder="1">
      <alignment/>
      <protection/>
    </xf>
    <xf numFmtId="3" fontId="7" fillId="0" borderId="19" xfId="54" applyNumberFormat="1" applyFont="1" applyFill="1" applyBorder="1" applyAlignment="1">
      <alignment horizontal="right" vertical="top" wrapText="1"/>
      <protection/>
    </xf>
    <xf numFmtId="2" fontId="7" fillId="0" borderId="19" xfId="54" applyNumberFormat="1" applyFont="1" applyFill="1" applyBorder="1" applyAlignment="1">
      <alignment horizontal="right" vertical="top" wrapText="1"/>
      <protection/>
    </xf>
    <xf numFmtId="2" fontId="7" fillId="0" borderId="24" xfId="54" applyNumberFormat="1" applyFont="1" applyFill="1" applyBorder="1" applyAlignment="1">
      <alignment horizontal="right" vertical="justify" wrapText="1"/>
      <protection/>
    </xf>
    <xf numFmtId="2" fontId="5" fillId="0" borderId="11" xfId="54" applyNumberFormat="1" applyFont="1" applyFill="1" applyBorder="1" applyAlignment="1">
      <alignment horizontal="right" vertical="justify" wrapText="1"/>
      <protection/>
    </xf>
    <xf numFmtId="2" fontId="5" fillId="0" borderId="0" xfId="54" applyNumberFormat="1" applyFont="1" applyFill="1" applyBorder="1" applyAlignment="1">
      <alignment horizontal="right" vertical="justify" wrapText="1"/>
      <protection/>
    </xf>
    <xf numFmtId="4" fontId="8" fillId="0" borderId="20" xfId="54" applyNumberFormat="1" applyFont="1" applyFill="1" applyBorder="1" applyAlignment="1">
      <alignment horizontal="right" wrapText="1"/>
      <protection/>
    </xf>
    <xf numFmtId="2" fontId="8" fillId="0" borderId="20" xfId="54" applyNumberFormat="1" applyFont="1" applyFill="1" applyBorder="1" applyAlignment="1">
      <alignment horizontal="right" wrapText="1"/>
      <protection/>
    </xf>
    <xf numFmtId="4" fontId="8" fillId="0" borderId="30" xfId="54" applyNumberFormat="1" applyFont="1" applyFill="1" applyBorder="1" applyAlignment="1">
      <alignment horizontal="right" wrapText="1"/>
      <protection/>
    </xf>
    <xf numFmtId="4" fontId="6" fillId="0" borderId="17" xfId="54" applyNumberFormat="1" applyFont="1" applyFill="1" applyBorder="1" applyAlignment="1">
      <alignment horizontal="right" wrapText="1"/>
      <protection/>
    </xf>
    <xf numFmtId="2" fontId="6" fillId="0" borderId="17" xfId="54" applyNumberFormat="1" applyFont="1" applyFill="1" applyBorder="1" applyAlignment="1">
      <alignment horizontal="right" wrapText="1"/>
      <protection/>
    </xf>
    <xf numFmtId="4" fontId="6" fillId="0" borderId="37" xfId="54" applyNumberFormat="1" applyFont="1" applyFill="1" applyBorder="1" applyAlignment="1">
      <alignment horizontal="right" wrapText="1"/>
      <protection/>
    </xf>
    <xf numFmtId="4" fontId="6" fillId="0" borderId="24" xfId="54" applyNumberFormat="1" applyFont="1" applyFill="1" applyBorder="1" applyAlignment="1">
      <alignment horizontal="right" wrapText="1"/>
      <protection/>
    </xf>
    <xf numFmtId="2" fontId="6" fillId="0" borderId="24" xfId="54" applyNumberFormat="1" applyFont="1" applyFill="1" applyBorder="1" applyAlignment="1">
      <alignment horizontal="right" wrapText="1"/>
      <protection/>
    </xf>
    <xf numFmtId="4" fontId="6" fillId="0" borderId="34" xfId="54" applyNumberFormat="1" applyFont="1" applyFill="1" applyBorder="1" applyAlignment="1">
      <alignment horizontal="right" wrapText="1"/>
      <protection/>
    </xf>
    <xf numFmtId="3" fontId="7" fillId="0" borderId="24" xfId="54" applyNumberFormat="1" applyFont="1" applyFill="1" applyBorder="1" applyAlignment="1">
      <alignment horizontal="right" vertical="top" wrapText="1"/>
      <protection/>
    </xf>
    <xf numFmtId="3" fontId="7" fillId="0" borderId="26" xfId="54" applyNumberFormat="1" applyFont="1" applyFill="1" applyBorder="1" applyAlignment="1">
      <alignment horizontal="right" vertical="top" wrapText="1"/>
      <protection/>
    </xf>
    <xf numFmtId="2" fontId="7" fillId="0" borderId="26" xfId="54" applyNumberFormat="1" applyFont="1" applyFill="1" applyBorder="1" applyAlignment="1">
      <alignment horizontal="right" vertical="top" wrapText="1"/>
      <protection/>
    </xf>
    <xf numFmtId="2" fontId="7" fillId="0" borderId="24" xfId="54" applyNumberFormat="1" applyFont="1" applyFill="1" applyBorder="1" applyAlignment="1">
      <alignment horizontal="right" wrapText="1"/>
      <protection/>
    </xf>
    <xf numFmtId="0" fontId="8" fillId="0" borderId="0" xfId="54" applyFont="1" applyFill="1" applyBorder="1" applyAlignment="1">
      <alignment horizontal="justify" vertical="top" wrapText="1"/>
      <protection/>
    </xf>
    <xf numFmtId="3" fontId="16" fillId="0" borderId="0" xfId="54" applyNumberFormat="1" applyFill="1" applyBorder="1" applyAlignment="1">
      <alignment/>
      <protection/>
    </xf>
    <xf numFmtId="4" fontId="16" fillId="0" borderId="0" xfId="54" applyNumberFormat="1" applyFill="1" applyBorder="1" applyAlignment="1">
      <alignment/>
      <protection/>
    </xf>
    <xf numFmtId="2" fontId="16" fillId="0" borderId="0" xfId="54" applyNumberFormat="1" applyFill="1" applyBorder="1" applyAlignment="1">
      <alignment/>
      <protection/>
    </xf>
    <xf numFmtId="0" fontId="7" fillId="0" borderId="38" xfId="54" applyFont="1" applyFill="1" applyBorder="1" applyAlignment="1">
      <alignment horizontal="center" vertical="top" wrapText="1"/>
      <protection/>
    </xf>
    <xf numFmtId="0" fontId="8" fillId="0" borderId="38" xfId="54" applyFont="1" applyFill="1" applyBorder="1" applyAlignment="1">
      <alignment horizontal="justify" vertical="top" wrapText="1"/>
      <protection/>
    </xf>
    <xf numFmtId="180" fontId="16" fillId="0" borderId="0" xfId="54" applyNumberFormat="1" applyFill="1" applyBorder="1" applyAlignment="1">
      <alignment/>
      <protection/>
    </xf>
    <xf numFmtId="10" fontId="16" fillId="0" borderId="0" xfId="54" applyNumberFormat="1" applyFill="1" applyBorder="1" applyAlignment="1">
      <alignment/>
      <protection/>
    </xf>
    <xf numFmtId="0" fontId="16" fillId="0" borderId="0" xfId="54" applyFill="1" applyBorder="1" applyAlignment="1">
      <alignment/>
      <protection/>
    </xf>
    <xf numFmtId="0" fontId="16" fillId="0" borderId="0" xfId="54" applyFill="1" applyBorder="1">
      <alignment/>
      <protection/>
    </xf>
    <xf numFmtId="0" fontId="7" fillId="0" borderId="39" xfId="54" applyFont="1" applyFill="1" applyBorder="1" applyAlignment="1">
      <alignment horizontal="center" vertical="top" wrapText="1"/>
      <protection/>
    </xf>
    <xf numFmtId="0" fontId="8" fillId="0" borderId="39" xfId="54" applyFont="1" applyFill="1" applyBorder="1" applyAlignment="1">
      <alignment horizontal="justify" vertical="top" wrapText="1"/>
      <protection/>
    </xf>
    <xf numFmtId="0" fontId="36" fillId="0" borderId="40" xfId="54" applyFont="1" applyFill="1" applyBorder="1">
      <alignment/>
      <protection/>
    </xf>
    <xf numFmtId="0" fontId="37" fillId="0" borderId="40" xfId="54" applyFont="1" applyFill="1" applyBorder="1" applyAlignment="1">
      <alignment horizontal="justify" vertical="top" wrapText="1"/>
      <protection/>
    </xf>
    <xf numFmtId="0" fontId="37" fillId="0" borderId="0" xfId="54" applyFont="1" applyFill="1" applyBorder="1" applyAlignment="1">
      <alignment horizontal="justify" vertical="top" wrapText="1"/>
      <protection/>
    </xf>
    <xf numFmtId="0" fontId="36" fillId="0" borderId="41" xfId="54" applyFont="1" applyFill="1" applyBorder="1">
      <alignment/>
      <protection/>
    </xf>
    <xf numFmtId="0" fontId="37" fillId="0" borderId="41" xfId="54" applyFont="1" applyFill="1" applyBorder="1" applyAlignment="1">
      <alignment horizontal="justify" vertical="top" wrapText="1"/>
      <protection/>
    </xf>
    <xf numFmtId="0" fontId="36" fillId="0" borderId="0" xfId="54" applyFont="1" applyFill="1">
      <alignment/>
      <protection/>
    </xf>
    <xf numFmtId="0" fontId="37" fillId="0" borderId="0" xfId="54" applyFont="1" applyFill="1" applyAlignment="1">
      <alignment horizontal="justify" vertical="top" wrapText="1"/>
      <protection/>
    </xf>
    <xf numFmtId="0" fontId="36" fillId="0" borderId="0" xfId="54" applyFont="1" applyFill="1" applyAlignment="1">
      <alignment horizontal="left" vertical="top" wrapText="1"/>
      <protection/>
    </xf>
    <xf numFmtId="0" fontId="37" fillId="0" borderId="0" xfId="54" applyFont="1" applyFill="1" applyAlignment="1">
      <alignment horizontal="left" vertical="top" wrapText="1"/>
      <protection/>
    </xf>
    <xf numFmtId="0" fontId="16" fillId="0" borderId="0" xfId="54" applyFont="1" applyFill="1">
      <alignment/>
      <protection/>
    </xf>
    <xf numFmtId="10" fontId="16" fillId="0" borderId="0" xfId="54" applyNumberFormat="1" applyFill="1" applyBorder="1">
      <alignment/>
      <protection/>
    </xf>
    <xf numFmtId="4" fontId="16" fillId="0" borderId="0" xfId="54" applyNumberFormat="1" applyFill="1" applyBorder="1">
      <alignment/>
      <protection/>
    </xf>
    <xf numFmtId="2" fontId="16" fillId="0" borderId="0" xfId="54" applyNumberFormat="1" applyFill="1" applyBorder="1">
      <alignment/>
      <protection/>
    </xf>
    <xf numFmtId="0" fontId="10" fillId="0" borderId="0" xfId="45" applyFont="1" applyFill="1" applyAlignment="1">
      <alignment wrapText="1"/>
    </xf>
    <xf numFmtId="0" fontId="16" fillId="0" borderId="0" xfId="54" applyFont="1" applyFill="1" applyAlignment="1">
      <alignment wrapText="1"/>
      <protection/>
    </xf>
    <xf numFmtId="0" fontId="34" fillId="0" borderId="0" xfId="45" applyFont="1" applyFill="1" applyAlignment="1">
      <alignment wrapText="1"/>
    </xf>
    <xf numFmtId="3" fontId="16" fillId="0" borderId="0" xfId="54" applyNumberFormat="1" applyFill="1" applyBorder="1">
      <alignment/>
      <protection/>
    </xf>
    <xf numFmtId="180" fontId="16" fillId="0" borderId="0" xfId="54" applyNumberFormat="1" applyFill="1">
      <alignment/>
      <protection/>
    </xf>
    <xf numFmtId="10" fontId="16" fillId="0" borderId="0" xfId="54" applyNumberFormat="1" applyFill="1">
      <alignment/>
      <protection/>
    </xf>
    <xf numFmtId="3" fontId="7" fillId="0" borderId="42" xfId="54" applyNumberFormat="1" applyFont="1" applyFill="1" applyBorder="1" applyAlignment="1">
      <alignment horizontal="right" wrapText="1"/>
      <protection/>
    </xf>
    <xf numFmtId="0" fontId="33" fillId="0" borderId="41" xfId="45" applyFont="1" applyFill="1" applyBorder="1" applyAlignment="1">
      <alignment horizontal="justify" vertical="top" wrapText="1"/>
    </xf>
    <xf numFmtId="3" fontId="5" fillId="0" borderId="35" xfId="54" applyNumberFormat="1" applyFont="1" applyFill="1" applyBorder="1" applyAlignment="1">
      <alignment horizontal="right" wrapText="1"/>
      <protection/>
    </xf>
    <xf numFmtId="3" fontId="5" fillId="0" borderId="36" xfId="54" applyNumberFormat="1" applyFont="1" applyFill="1" applyBorder="1" applyAlignment="1">
      <alignment horizontal="right" wrapText="1"/>
      <protection/>
    </xf>
    <xf numFmtId="2" fontId="5" fillId="0" borderId="36" xfId="54" applyNumberFormat="1" applyFont="1" applyFill="1" applyBorder="1" applyAlignment="1">
      <alignment horizontal="right" wrapText="1"/>
      <protection/>
    </xf>
    <xf numFmtId="4" fontId="5" fillId="0" borderId="36" xfId="54" applyNumberFormat="1" applyFont="1" applyFill="1" applyBorder="1" applyAlignment="1">
      <alignment horizontal="right" wrapText="1"/>
      <protection/>
    </xf>
    <xf numFmtId="3" fontId="5" fillId="0" borderId="23" xfId="54" applyNumberFormat="1" applyFont="1" applyFill="1" applyBorder="1" applyAlignment="1">
      <alignment horizontal="right" wrapText="1"/>
      <protection/>
    </xf>
    <xf numFmtId="0" fontId="5" fillId="0" borderId="43" xfId="54" applyFont="1" applyFill="1" applyBorder="1" applyAlignment="1">
      <alignment horizontal="center" vertical="top" wrapText="1"/>
      <protection/>
    </xf>
    <xf numFmtId="0" fontId="6" fillId="0" borderId="44" xfId="54" applyFont="1" applyFill="1" applyBorder="1" applyAlignment="1">
      <alignment horizontal="center" vertical="top" wrapText="1"/>
      <protection/>
    </xf>
    <xf numFmtId="0" fontId="5" fillId="0" borderId="45" xfId="54" applyFont="1" applyFill="1" applyBorder="1" applyAlignment="1">
      <alignment horizontal="center" vertical="top" wrapText="1"/>
      <protection/>
    </xf>
    <xf numFmtId="0" fontId="5" fillId="0" borderId="46" xfId="54" applyFont="1" applyFill="1" applyBorder="1" applyAlignment="1">
      <alignment horizontal="center" vertical="top" wrapText="1"/>
      <protection/>
    </xf>
    <xf numFmtId="2" fontId="5" fillId="0" borderId="46" xfId="54" applyNumberFormat="1" applyFont="1" applyFill="1" applyBorder="1" applyAlignment="1">
      <alignment horizontal="center" vertical="top" wrapText="1"/>
      <protection/>
    </xf>
    <xf numFmtId="0" fontId="6" fillId="0" borderId="46" xfId="54" applyFont="1" applyFill="1" applyBorder="1" applyAlignment="1">
      <alignment horizontal="center" vertical="top" wrapText="1"/>
      <protection/>
    </xf>
    <xf numFmtId="4" fontId="6" fillId="0" borderId="46" xfId="54" applyNumberFormat="1" applyFont="1" applyFill="1" applyBorder="1" applyAlignment="1">
      <alignment horizontal="center" vertical="top" wrapText="1"/>
      <protection/>
    </xf>
    <xf numFmtId="2" fontId="5" fillId="0" borderId="45" xfId="54" applyNumberFormat="1" applyFont="1" applyFill="1" applyBorder="1" applyAlignment="1">
      <alignment horizontal="center" vertical="top" wrapText="1"/>
      <protection/>
    </xf>
    <xf numFmtId="4" fontId="5" fillId="0" borderId="47" xfId="54" applyNumberFormat="1" applyFont="1" applyFill="1" applyBorder="1" applyAlignment="1">
      <alignment horizontal="center" vertical="top" wrapText="1"/>
      <protection/>
    </xf>
    <xf numFmtId="0" fontId="5" fillId="0" borderId="48" xfId="54" applyFont="1" applyFill="1" applyBorder="1" applyAlignment="1">
      <alignment horizontal="center" vertical="top" wrapText="1"/>
      <protection/>
    </xf>
    <xf numFmtId="0" fontId="5" fillId="0" borderId="47" xfId="54" applyFont="1" applyFill="1" applyBorder="1" applyAlignment="1">
      <alignment horizontal="center" vertical="top" wrapText="1"/>
      <protection/>
    </xf>
    <xf numFmtId="0" fontId="5" fillId="0" borderId="49" xfId="54" applyFont="1" applyFill="1" applyBorder="1" applyAlignment="1">
      <alignment horizontal="center" vertical="top" wrapText="1"/>
      <protection/>
    </xf>
    <xf numFmtId="3" fontId="8" fillId="0" borderId="50" xfId="54" applyNumberFormat="1" applyFont="1" applyFill="1" applyBorder="1">
      <alignment/>
      <protection/>
    </xf>
    <xf numFmtId="3" fontId="8" fillId="0" borderId="51" xfId="54" applyNumberFormat="1" applyFont="1" applyFill="1" applyBorder="1">
      <alignment/>
      <protection/>
    </xf>
    <xf numFmtId="0" fontId="7" fillId="0" borderId="52" xfId="54" applyFont="1" applyFill="1" applyBorder="1" applyAlignment="1">
      <alignment horizontal="center" vertical="top" wrapText="1"/>
      <protection/>
    </xf>
    <xf numFmtId="0" fontId="8" fillId="0" borderId="52" xfId="54" applyFont="1" applyFill="1" applyBorder="1" applyAlignment="1">
      <alignment horizontal="justify" vertical="top" wrapText="1"/>
      <protection/>
    </xf>
    <xf numFmtId="0" fontId="5" fillId="0" borderId="53" xfId="54" applyFont="1" applyFill="1" applyBorder="1" applyAlignment="1">
      <alignment horizontal="center" vertical="top" wrapText="1"/>
      <protection/>
    </xf>
    <xf numFmtId="4" fontId="6" fillId="0" borderId="0" xfId="54" applyNumberFormat="1" applyFont="1" applyFill="1" applyBorder="1">
      <alignment/>
      <protection/>
    </xf>
    <xf numFmtId="0" fontId="6" fillId="0" borderId="0" xfId="54" applyFont="1" applyFill="1" applyBorder="1">
      <alignment/>
      <protection/>
    </xf>
    <xf numFmtId="3" fontId="5" fillId="0" borderId="54" xfId="54" applyNumberFormat="1" applyFont="1" applyFill="1" applyBorder="1" applyAlignment="1">
      <alignment horizontal="right" wrapText="1"/>
      <protection/>
    </xf>
    <xf numFmtId="0" fontId="5" fillId="0" borderId="55" xfId="54" applyFont="1" applyFill="1" applyBorder="1" applyAlignment="1">
      <alignment horizontal="center" vertical="top" wrapText="1"/>
      <protection/>
    </xf>
    <xf numFmtId="3" fontId="6" fillId="0" borderId="56" xfId="54" applyNumberFormat="1" applyFont="1" applyFill="1" applyBorder="1" applyAlignment="1">
      <alignment horizontal="right" vertical="top" wrapText="1"/>
      <protection/>
    </xf>
    <xf numFmtId="0" fontId="7" fillId="0" borderId="55" xfId="54" applyFont="1" applyFill="1" applyBorder="1" applyAlignment="1">
      <alignment horizontal="center" vertical="top" wrapText="1"/>
      <protection/>
    </xf>
    <xf numFmtId="0" fontId="8" fillId="0" borderId="0" xfId="54" applyFont="1" applyFill="1" applyBorder="1">
      <alignment/>
      <protection/>
    </xf>
    <xf numFmtId="3" fontId="8" fillId="0" borderId="56" xfId="54" applyNumberFormat="1" applyFont="1" applyFill="1" applyBorder="1" applyAlignment="1">
      <alignment horizontal="right" vertical="top" wrapText="1"/>
      <protection/>
    </xf>
    <xf numFmtId="3" fontId="8" fillId="0" borderId="57" xfId="54" applyNumberFormat="1" applyFont="1" applyFill="1" applyBorder="1" applyAlignment="1">
      <alignment horizontal="right" vertical="top" wrapText="1"/>
      <protection/>
    </xf>
    <xf numFmtId="3" fontId="6" fillId="0" borderId="58" xfId="54" applyNumberFormat="1" applyFont="1" applyFill="1" applyBorder="1" applyAlignment="1">
      <alignment horizontal="right" vertical="top" wrapText="1"/>
      <protection/>
    </xf>
    <xf numFmtId="3" fontId="7" fillId="0" borderId="56" xfId="54" applyNumberFormat="1" applyFont="1" applyFill="1" applyBorder="1" applyAlignment="1">
      <alignment horizontal="right" wrapText="1"/>
      <protection/>
    </xf>
    <xf numFmtId="4" fontId="8" fillId="0" borderId="0" xfId="54" applyNumberFormat="1" applyFont="1" applyFill="1" applyBorder="1">
      <alignment/>
      <protection/>
    </xf>
    <xf numFmtId="3" fontId="7" fillId="0" borderId="59" xfId="54" applyNumberFormat="1" applyFont="1" applyFill="1" applyBorder="1" applyAlignment="1">
      <alignment horizontal="right" wrapText="1"/>
      <protection/>
    </xf>
    <xf numFmtId="3" fontId="8" fillId="0" borderId="60" xfId="54" applyNumberFormat="1" applyFont="1" applyFill="1" applyBorder="1" applyAlignment="1">
      <alignment horizontal="right" vertical="top" wrapText="1"/>
      <protection/>
    </xf>
    <xf numFmtId="3" fontId="7" fillId="0" borderId="58" xfId="54" applyNumberFormat="1" applyFont="1" applyFill="1" applyBorder="1" applyAlignment="1">
      <alignment horizontal="right" wrapText="1"/>
      <protection/>
    </xf>
    <xf numFmtId="3" fontId="7" fillId="0" borderId="57" xfId="54" applyNumberFormat="1" applyFont="1" applyFill="1" applyBorder="1" applyAlignment="1">
      <alignment horizontal="right" wrapText="1"/>
      <protection/>
    </xf>
    <xf numFmtId="3" fontId="7" fillId="0" borderId="60" xfId="54" applyNumberFormat="1" applyFont="1" applyFill="1" applyBorder="1" applyAlignment="1">
      <alignment horizontal="right" wrapText="1"/>
      <protection/>
    </xf>
    <xf numFmtId="3" fontId="6" fillId="0" borderId="61" xfId="54" applyNumberFormat="1" applyFont="1" applyFill="1" applyBorder="1" applyAlignment="1">
      <alignment horizontal="right" wrapText="1"/>
      <protection/>
    </xf>
    <xf numFmtId="0" fontId="7" fillId="0" borderId="55" xfId="54" applyFont="1" applyFill="1" applyBorder="1" applyAlignment="1">
      <alignment horizontal="right" vertical="center" wrapText="1"/>
      <protection/>
    </xf>
    <xf numFmtId="4" fontId="8" fillId="0" borderId="0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Border="1" applyAlignment="1">
      <alignment horizontal="right" vertical="center"/>
      <protection/>
    </xf>
    <xf numFmtId="3" fontId="8" fillId="0" borderId="0" xfId="54" applyNumberFormat="1" applyFont="1" applyFill="1" applyBorder="1" applyAlignment="1">
      <alignment horizontal="right" vertical="center"/>
      <protection/>
    </xf>
    <xf numFmtId="3" fontId="8" fillId="0" borderId="62" xfId="54" applyNumberFormat="1" applyFont="1" applyFill="1" applyBorder="1" applyAlignment="1">
      <alignment horizontal="right" vertical="center"/>
      <protection/>
    </xf>
    <xf numFmtId="3" fontId="8" fillId="0" borderId="63" xfId="54" applyNumberFormat="1" applyFont="1" applyFill="1" applyBorder="1">
      <alignment/>
      <protection/>
    </xf>
    <xf numFmtId="3" fontId="8" fillId="0" borderId="64" xfId="54" applyNumberFormat="1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62" xfId="54" applyFont="1" applyFill="1" applyBorder="1">
      <alignment/>
      <protection/>
    </xf>
    <xf numFmtId="3" fontId="5" fillId="0" borderId="58" xfId="54" applyNumberFormat="1" applyFont="1" applyFill="1" applyBorder="1" applyAlignment="1">
      <alignment horizontal="right" vertical="justify" wrapText="1"/>
      <protection/>
    </xf>
    <xf numFmtId="3" fontId="5" fillId="0" borderId="60" xfId="54" applyNumberFormat="1" applyFont="1" applyFill="1" applyBorder="1" applyAlignment="1">
      <alignment horizontal="right" vertical="top" wrapText="1"/>
      <protection/>
    </xf>
    <xf numFmtId="0" fontId="7" fillId="0" borderId="55" xfId="54" applyFont="1" applyFill="1" applyBorder="1" applyAlignment="1">
      <alignment vertical="top" wrapText="1"/>
      <protection/>
    </xf>
    <xf numFmtId="4" fontId="8" fillId="0" borderId="0" xfId="54" applyNumberFormat="1" applyFont="1" applyFill="1" applyBorder="1" applyAlignment="1">
      <alignment/>
      <protection/>
    </xf>
    <xf numFmtId="3" fontId="7" fillId="0" borderId="64" xfId="54" applyNumberFormat="1" applyFont="1" applyFill="1" applyBorder="1" applyAlignment="1">
      <alignment vertical="top" wrapText="1"/>
      <protection/>
    </xf>
    <xf numFmtId="3" fontId="6" fillId="0" borderId="54" xfId="54" applyNumberFormat="1" applyFont="1" applyFill="1" applyBorder="1" applyAlignment="1">
      <alignment horizontal="right" vertical="top" wrapText="1"/>
      <protection/>
    </xf>
    <xf numFmtId="3" fontId="7" fillId="0" borderId="55" xfId="54" applyNumberFormat="1" applyFont="1" applyFill="1" applyBorder="1" applyAlignment="1">
      <alignment horizontal="right" vertical="top" wrapText="1"/>
      <protection/>
    </xf>
    <xf numFmtId="4" fontId="8" fillId="0" borderId="0" xfId="54" applyNumberFormat="1" applyFont="1" applyFill="1" applyBorder="1" applyAlignment="1">
      <alignment horizontal="right"/>
      <protection/>
    </xf>
    <xf numFmtId="3" fontId="8" fillId="0" borderId="0" xfId="54" applyNumberFormat="1" applyFont="1" applyFill="1" applyBorder="1" applyAlignment="1">
      <alignment horizontal="right"/>
      <protection/>
    </xf>
    <xf numFmtId="3" fontId="7" fillId="0" borderId="59" xfId="54" applyNumberFormat="1" applyFont="1" applyFill="1" applyBorder="1" applyAlignment="1">
      <alignment horizontal="right" vertical="top" wrapText="1"/>
      <protection/>
    </xf>
    <xf numFmtId="3" fontId="7" fillId="0" borderId="57" xfId="54" applyNumberFormat="1" applyFont="1" applyFill="1" applyBorder="1" applyAlignment="1">
      <alignment horizontal="right" vertical="top" wrapText="1"/>
      <protection/>
    </xf>
    <xf numFmtId="2" fontId="6" fillId="0" borderId="0" xfId="54" applyNumberFormat="1" applyFont="1" applyFill="1" applyBorder="1" applyAlignment="1">
      <alignment horizontal="right" vertical="justify"/>
      <protection/>
    </xf>
    <xf numFmtId="2" fontId="8" fillId="0" borderId="0" xfId="54" applyNumberFormat="1" applyFont="1" applyFill="1" applyBorder="1" applyAlignment="1">
      <alignment horizontal="right" vertical="justify"/>
      <protection/>
    </xf>
    <xf numFmtId="2" fontId="7" fillId="0" borderId="64" xfId="54" applyNumberFormat="1" applyFont="1" applyFill="1" applyBorder="1" applyAlignment="1">
      <alignment horizontal="right" vertical="justify" wrapText="1"/>
      <protection/>
    </xf>
    <xf numFmtId="4" fontId="8" fillId="0" borderId="61" xfId="54" applyNumberFormat="1" applyFont="1" applyFill="1" applyBorder="1" applyAlignment="1">
      <alignment horizontal="right" wrapText="1"/>
      <protection/>
    </xf>
    <xf numFmtId="4" fontId="6" fillId="0" borderId="65" xfId="54" applyNumberFormat="1" applyFont="1" applyFill="1" applyBorder="1" applyAlignment="1">
      <alignment horizontal="right" wrapText="1"/>
      <protection/>
    </xf>
    <xf numFmtId="4" fontId="6" fillId="0" borderId="64" xfId="54" applyNumberFormat="1" applyFont="1" applyFill="1" applyBorder="1" applyAlignment="1">
      <alignment horizontal="right" wrapText="1"/>
      <protection/>
    </xf>
    <xf numFmtId="3" fontId="7" fillId="0" borderId="60" xfId="54" applyNumberFormat="1" applyFont="1" applyFill="1" applyBorder="1" applyAlignment="1">
      <alignment horizontal="right" vertical="top" wrapText="1"/>
      <protection/>
    </xf>
    <xf numFmtId="3" fontId="7" fillId="0" borderId="64" xfId="54" applyNumberFormat="1" applyFont="1" applyFill="1" applyBorder="1" applyAlignment="1">
      <alignment horizontal="right" wrapText="1"/>
      <protection/>
    </xf>
    <xf numFmtId="0" fontId="7" fillId="0" borderId="66" xfId="54" applyFont="1" applyFill="1" applyBorder="1" applyAlignment="1">
      <alignment horizontal="center" vertical="top" wrapText="1"/>
      <protection/>
    </xf>
    <xf numFmtId="0" fontId="8" fillId="0" borderId="67" xfId="54" applyFont="1" applyFill="1" applyBorder="1" applyAlignment="1">
      <alignment horizontal="justify" vertical="top" wrapText="1"/>
      <protection/>
    </xf>
    <xf numFmtId="3" fontId="7" fillId="0" borderId="68" xfId="54" applyNumberFormat="1" applyFont="1" applyFill="1" applyBorder="1" applyAlignment="1">
      <alignment horizontal="right" wrapText="1"/>
      <protection/>
    </xf>
    <xf numFmtId="3" fontId="7" fillId="0" borderId="69" xfId="54" applyNumberFormat="1" applyFont="1" applyFill="1" applyBorder="1" applyAlignment="1">
      <alignment horizontal="right" wrapText="1"/>
      <protection/>
    </xf>
    <xf numFmtId="2" fontId="5" fillId="0" borderId="69" xfId="54" applyNumberFormat="1" applyFont="1" applyFill="1" applyBorder="1" applyAlignment="1">
      <alignment horizontal="right" wrapText="1"/>
      <protection/>
    </xf>
    <xf numFmtId="4" fontId="5" fillId="0" borderId="69" xfId="54" applyNumberFormat="1" applyFont="1" applyFill="1" applyBorder="1" applyAlignment="1">
      <alignment horizontal="right" wrapText="1"/>
      <protection/>
    </xf>
    <xf numFmtId="2" fontId="5" fillId="0" borderId="70" xfId="54" applyNumberFormat="1" applyFont="1" applyFill="1" applyBorder="1" applyAlignment="1">
      <alignment horizontal="right" wrapText="1"/>
      <protection/>
    </xf>
    <xf numFmtId="4" fontId="6" fillId="0" borderId="71" xfId="54" applyNumberFormat="1" applyFont="1" applyFill="1" applyBorder="1">
      <alignment/>
      <protection/>
    </xf>
    <xf numFmtId="2" fontId="5" fillId="0" borderId="42" xfId="54" applyNumberFormat="1" applyFont="1" applyFill="1" applyBorder="1" applyAlignment="1">
      <alignment horizontal="right" wrapText="1"/>
      <protection/>
    </xf>
    <xf numFmtId="4" fontId="5" fillId="0" borderId="71" xfId="54" applyNumberFormat="1" applyFont="1" applyFill="1" applyBorder="1" applyAlignment="1">
      <alignment horizontal="center" vertical="top" wrapText="1"/>
      <protection/>
    </xf>
    <xf numFmtId="2" fontId="7" fillId="0" borderId="42" xfId="54" applyNumberFormat="1" applyFont="1" applyFill="1" applyBorder="1" applyAlignment="1">
      <alignment horizontal="right" wrapText="1"/>
      <protection/>
    </xf>
    <xf numFmtId="4" fontId="8" fillId="0" borderId="71" xfId="54" applyNumberFormat="1" applyFont="1" applyFill="1" applyBorder="1">
      <alignment/>
      <protection/>
    </xf>
    <xf numFmtId="0" fontId="8" fillId="0" borderId="71" xfId="54" applyFont="1" applyFill="1" applyBorder="1">
      <alignment/>
      <protection/>
    </xf>
    <xf numFmtId="3" fontId="7" fillId="0" borderId="72" xfId="54" applyNumberFormat="1" applyFont="1" applyFill="1" applyBorder="1" applyAlignment="1">
      <alignment horizontal="right" wrapText="1"/>
      <protection/>
    </xf>
    <xf numFmtId="3" fontId="7" fillId="0" borderId="38" xfId="54" applyNumberFormat="1" applyFont="1" applyFill="1" applyBorder="1" applyAlignment="1">
      <alignment horizontal="center" vertical="top" wrapText="1"/>
      <protection/>
    </xf>
    <xf numFmtId="3" fontId="8" fillId="0" borderId="38" xfId="54" applyNumberFormat="1" applyFont="1" applyFill="1" applyBorder="1" applyAlignment="1">
      <alignment horizontal="justify" vertical="top" wrapText="1"/>
      <protection/>
    </xf>
    <xf numFmtId="3" fontId="8" fillId="0" borderId="0" xfId="54" applyNumberFormat="1" applyFont="1" applyFill="1" applyBorder="1" applyAlignment="1">
      <alignment horizontal="justify" vertical="top" wrapText="1"/>
      <protection/>
    </xf>
    <xf numFmtId="3" fontId="8" fillId="0" borderId="0" xfId="54" applyNumberFormat="1" applyFont="1" applyFill="1">
      <alignment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39" fillId="0" borderId="0" xfId="56" applyFont="1">
      <alignment/>
      <protection/>
    </xf>
    <xf numFmtId="0" fontId="16" fillId="0" borderId="0" xfId="56">
      <alignment/>
      <protection/>
    </xf>
    <xf numFmtId="0" fontId="40" fillId="0" borderId="0" xfId="56" applyFont="1" applyAlignment="1">
      <alignment horizontal="center"/>
      <protection/>
    </xf>
    <xf numFmtId="0" fontId="16" fillId="0" borderId="0" xfId="56" applyAlignment="1">
      <alignment horizontal="center"/>
      <protection/>
    </xf>
    <xf numFmtId="0" fontId="16" fillId="0" borderId="0" xfId="56" applyFill="1">
      <alignment/>
      <protection/>
    </xf>
    <xf numFmtId="0" fontId="38" fillId="0" borderId="0" xfId="56" applyFont="1" applyFill="1" applyAlignment="1">
      <alignment horizontal="right"/>
      <protection/>
    </xf>
    <xf numFmtId="0" fontId="38" fillId="0" borderId="0" xfId="56" applyFont="1" applyFill="1" applyAlignment="1">
      <alignment horizontal="right" vertical="top"/>
      <protection/>
    </xf>
    <xf numFmtId="0" fontId="41" fillId="0" borderId="73" xfId="56" applyFont="1" applyFill="1" applyBorder="1" applyAlignment="1">
      <alignment vertical="center"/>
      <protection/>
    </xf>
    <xf numFmtId="0" fontId="41" fillId="0" borderId="47" xfId="56" applyFont="1" applyBorder="1" applyAlignment="1">
      <alignment vertical="center"/>
      <protection/>
    </xf>
    <xf numFmtId="0" fontId="41" fillId="0" borderId="49" xfId="56" applyFont="1" applyBorder="1" applyAlignment="1">
      <alignment vertical="center"/>
      <protection/>
    </xf>
    <xf numFmtId="0" fontId="41" fillId="0" borderId="44" xfId="56" applyFont="1" applyFill="1" applyBorder="1" applyAlignment="1">
      <alignment horizontal="center"/>
      <protection/>
    </xf>
    <xf numFmtId="0" fontId="41" fillId="0" borderId="44" xfId="56" applyFont="1" applyBorder="1" applyAlignment="1">
      <alignment horizontal="center"/>
      <protection/>
    </xf>
    <xf numFmtId="0" fontId="41" fillId="0" borderId="74" xfId="56" applyFont="1" applyBorder="1" applyAlignment="1">
      <alignment horizontal="center"/>
      <protection/>
    </xf>
    <xf numFmtId="3" fontId="41" fillId="0" borderId="75" xfId="56" applyNumberFormat="1" applyFont="1" applyFill="1" applyBorder="1" applyAlignment="1">
      <alignment vertical="center"/>
      <protection/>
    </xf>
    <xf numFmtId="0" fontId="41" fillId="0" borderId="75" xfId="56" applyFont="1" applyFill="1" applyBorder="1">
      <alignment/>
      <protection/>
    </xf>
    <xf numFmtId="3" fontId="41" fillId="0" borderId="76" xfId="56" applyNumberFormat="1" applyFont="1" applyFill="1" applyBorder="1" applyProtection="1">
      <alignment/>
      <protection locked="0"/>
    </xf>
    <xf numFmtId="3" fontId="41" fillId="0" borderId="77" xfId="56" applyNumberFormat="1" applyFont="1" applyFill="1" applyBorder="1" applyProtection="1">
      <alignment/>
      <protection locked="0"/>
    </xf>
    <xf numFmtId="3" fontId="41" fillId="0" borderId="78" xfId="56" applyNumberFormat="1" applyFont="1" applyFill="1" applyBorder="1" applyProtection="1">
      <alignment/>
      <protection locked="0"/>
    </xf>
    <xf numFmtId="3" fontId="16" fillId="0" borderId="0" xfId="56" applyNumberFormat="1">
      <alignment/>
      <protection/>
    </xf>
    <xf numFmtId="0" fontId="41" fillId="0" borderId="79" xfId="56" applyFont="1" applyFill="1" applyBorder="1">
      <alignment/>
      <protection/>
    </xf>
    <xf numFmtId="3" fontId="41" fillId="0" borderId="80" xfId="56" applyNumberFormat="1" applyFont="1" applyFill="1" applyBorder="1" applyProtection="1">
      <alignment/>
      <protection locked="0"/>
    </xf>
    <xf numFmtId="3" fontId="41" fillId="0" borderId="10" xfId="56" applyNumberFormat="1" applyFont="1" applyFill="1" applyBorder="1" applyProtection="1">
      <alignment/>
      <protection locked="0"/>
    </xf>
    <xf numFmtId="3" fontId="41" fillId="0" borderId="41" xfId="56" applyNumberFormat="1" applyFont="1" applyFill="1" applyBorder="1" applyProtection="1">
      <alignment/>
      <protection locked="0"/>
    </xf>
    <xf numFmtId="3" fontId="41" fillId="0" borderId="81" xfId="56" applyNumberFormat="1" applyFont="1" applyFill="1" applyBorder="1" applyProtection="1">
      <alignment/>
      <protection locked="0"/>
    </xf>
    <xf numFmtId="3" fontId="41" fillId="0" borderId="79" xfId="56" applyNumberFormat="1" applyFont="1" applyFill="1" applyBorder="1" applyAlignment="1">
      <alignment vertical="center"/>
      <protection/>
    </xf>
    <xf numFmtId="3" fontId="41" fillId="0" borderId="80" xfId="56" applyNumberFormat="1" applyFont="1" applyFill="1" applyBorder="1">
      <alignment/>
      <protection/>
    </xf>
    <xf numFmtId="3" fontId="41" fillId="0" borderId="10" xfId="56" applyNumberFormat="1" applyFont="1" applyFill="1" applyBorder="1">
      <alignment/>
      <protection/>
    </xf>
    <xf numFmtId="3" fontId="41" fillId="0" borderId="81" xfId="56" applyNumberFormat="1" applyFont="1" applyFill="1" applyBorder="1">
      <alignment/>
      <protection/>
    </xf>
    <xf numFmtId="0" fontId="41" fillId="0" borderId="82" xfId="56" applyFont="1" applyFill="1" applyBorder="1">
      <alignment/>
      <protection/>
    </xf>
    <xf numFmtId="3" fontId="41" fillId="0" borderId="83" xfId="56" applyNumberFormat="1" applyFont="1" applyFill="1" applyBorder="1">
      <alignment/>
      <protection/>
    </xf>
    <xf numFmtId="3" fontId="41" fillId="0" borderId="67" xfId="56" applyNumberFormat="1" applyFont="1" applyFill="1" applyBorder="1">
      <alignment/>
      <protection/>
    </xf>
    <xf numFmtId="3" fontId="41" fillId="0" borderId="84" xfId="56" applyNumberFormat="1" applyFont="1" applyFill="1" applyBorder="1" applyProtection="1">
      <alignment/>
      <protection locked="0"/>
    </xf>
    <xf numFmtId="3" fontId="41" fillId="0" borderId="85" xfId="56" applyNumberFormat="1" applyFont="1" applyFill="1" applyBorder="1">
      <alignment/>
      <protection/>
    </xf>
    <xf numFmtId="3" fontId="41" fillId="0" borderId="76" xfId="55" applyNumberFormat="1" applyFont="1" applyFill="1" applyBorder="1" applyProtection="1">
      <alignment/>
      <protection locked="0"/>
    </xf>
    <xf numFmtId="3" fontId="41" fillId="0" borderId="80" xfId="55" applyNumberFormat="1" applyFont="1" applyFill="1" applyBorder="1" applyProtection="1">
      <alignment/>
      <protection locked="0"/>
    </xf>
    <xf numFmtId="3" fontId="41" fillId="0" borderId="80" xfId="55" applyNumberFormat="1" applyFont="1" applyFill="1" applyBorder="1">
      <alignment/>
      <protection/>
    </xf>
    <xf numFmtId="3" fontId="41" fillId="0" borderId="83" xfId="55" applyNumberFormat="1" applyFont="1" applyFill="1" applyBorder="1">
      <alignment/>
      <protection/>
    </xf>
    <xf numFmtId="3" fontId="41" fillId="0" borderId="77" xfId="55" applyNumberFormat="1" applyFont="1" applyFill="1" applyBorder="1" applyProtection="1">
      <alignment/>
      <protection locked="0"/>
    </xf>
    <xf numFmtId="3" fontId="41" fillId="0" borderId="78" xfId="55" applyNumberFormat="1" applyFont="1" applyFill="1" applyBorder="1" applyProtection="1">
      <alignment/>
      <protection locked="0"/>
    </xf>
    <xf numFmtId="3" fontId="41" fillId="0" borderId="10" xfId="55" applyNumberFormat="1" applyFont="1" applyFill="1" applyBorder="1" applyProtection="1">
      <alignment/>
      <protection locked="0"/>
    </xf>
    <xf numFmtId="3" fontId="41" fillId="0" borderId="81" xfId="55" applyNumberFormat="1" applyFont="1" applyFill="1" applyBorder="1" applyProtection="1">
      <alignment/>
      <protection locked="0"/>
    </xf>
    <xf numFmtId="3" fontId="41" fillId="0" borderId="10" xfId="55" applyNumberFormat="1" applyFont="1" applyFill="1" applyBorder="1">
      <alignment/>
      <protection/>
    </xf>
    <xf numFmtId="3" fontId="41" fillId="0" borderId="81" xfId="55" applyNumberFormat="1" applyFont="1" applyFill="1" applyBorder="1">
      <alignment/>
      <protection/>
    </xf>
    <xf numFmtId="3" fontId="41" fillId="0" borderId="67" xfId="55" applyNumberFormat="1" applyFont="1" applyFill="1" applyBorder="1">
      <alignment/>
      <protection/>
    </xf>
    <xf numFmtId="3" fontId="41" fillId="0" borderId="85" xfId="55" applyNumberFormat="1" applyFont="1" applyFill="1" applyBorder="1">
      <alignment/>
      <protection/>
    </xf>
    <xf numFmtId="3" fontId="41" fillId="0" borderId="86" xfId="56" applyNumberFormat="1" applyFont="1" applyFill="1" applyBorder="1" applyAlignment="1">
      <alignment vertical="center"/>
      <protection/>
    </xf>
    <xf numFmtId="3" fontId="41" fillId="0" borderId="64" xfId="56" applyNumberFormat="1" applyFont="1" applyFill="1" applyBorder="1" applyAlignment="1">
      <alignment vertical="center"/>
      <protection/>
    </xf>
    <xf numFmtId="3" fontId="41" fillId="0" borderId="75" xfId="55" applyNumberFormat="1" applyFont="1" applyFill="1" applyBorder="1" applyAlignment="1">
      <alignment vertical="center"/>
      <protection/>
    </xf>
    <xf numFmtId="0" fontId="41" fillId="0" borderId="75" xfId="55" applyFont="1" applyFill="1" applyBorder="1">
      <alignment/>
      <protection/>
    </xf>
    <xf numFmtId="0" fontId="41" fillId="0" borderId="79" xfId="55" applyFont="1" applyFill="1" applyBorder="1">
      <alignment/>
      <protection/>
    </xf>
    <xf numFmtId="3" fontId="41" fillId="0" borderId="79" xfId="55" applyNumberFormat="1" applyFont="1" applyFill="1" applyBorder="1" applyAlignment="1">
      <alignment vertical="center"/>
      <protection/>
    </xf>
    <xf numFmtId="0" fontId="41" fillId="0" borderId="82" xfId="55" applyFont="1" applyFill="1" applyBorder="1">
      <alignment/>
      <protection/>
    </xf>
    <xf numFmtId="3" fontId="41" fillId="22" borderId="75" xfId="56" applyNumberFormat="1" applyFont="1" applyFill="1" applyBorder="1" applyAlignment="1">
      <alignment vertical="center"/>
      <protection/>
    </xf>
    <xf numFmtId="0" fontId="41" fillId="22" borderId="75" xfId="56" applyFont="1" applyFill="1" applyBorder="1">
      <alignment/>
      <protection/>
    </xf>
    <xf numFmtId="3" fontId="41" fillId="22" borderId="76" xfId="56" applyNumberFormat="1" applyFont="1" applyFill="1" applyBorder="1" applyProtection="1">
      <alignment/>
      <protection locked="0"/>
    </xf>
    <xf numFmtId="3" fontId="41" fillId="22" borderId="77" xfId="56" applyNumberFormat="1" applyFont="1" applyFill="1" applyBorder="1" applyProtection="1">
      <alignment/>
      <protection locked="0"/>
    </xf>
    <xf numFmtId="3" fontId="41" fillId="22" borderId="78" xfId="56" applyNumberFormat="1" applyFont="1" applyFill="1" applyBorder="1" applyProtection="1">
      <alignment/>
      <protection locked="0"/>
    </xf>
    <xf numFmtId="0" fontId="41" fillId="22" borderId="79" xfId="56" applyFont="1" applyFill="1" applyBorder="1">
      <alignment/>
      <protection/>
    </xf>
    <xf numFmtId="3" fontId="41" fillId="22" borderId="80" xfId="56" applyNumberFormat="1" applyFont="1" applyFill="1" applyBorder="1" applyProtection="1">
      <alignment/>
      <protection locked="0"/>
    </xf>
    <xf numFmtId="3" fontId="41" fillId="22" borderId="10" xfId="56" applyNumberFormat="1" applyFont="1" applyFill="1" applyBorder="1" applyProtection="1">
      <alignment/>
      <protection locked="0"/>
    </xf>
    <xf numFmtId="3" fontId="41" fillId="22" borderId="41" xfId="56" applyNumberFormat="1" applyFont="1" applyFill="1" applyBorder="1" applyProtection="1">
      <alignment/>
      <protection locked="0"/>
    </xf>
    <xf numFmtId="3" fontId="41" fillId="22" borderId="81" xfId="56" applyNumberFormat="1" applyFont="1" applyFill="1" applyBorder="1" applyProtection="1">
      <alignment/>
      <protection locked="0"/>
    </xf>
    <xf numFmtId="3" fontId="41" fillId="22" borderId="79" xfId="56" applyNumberFormat="1" applyFont="1" applyFill="1" applyBorder="1" applyAlignment="1">
      <alignment vertical="center"/>
      <protection/>
    </xf>
    <xf numFmtId="3" fontId="41" fillId="22" borderId="80" xfId="56" applyNumberFormat="1" applyFont="1" applyFill="1" applyBorder="1">
      <alignment/>
      <protection/>
    </xf>
    <xf numFmtId="3" fontId="41" fillId="22" borderId="10" xfId="56" applyNumberFormat="1" applyFont="1" applyFill="1" applyBorder="1">
      <alignment/>
      <protection/>
    </xf>
    <xf numFmtId="3" fontId="41" fillId="22" borderId="81" xfId="56" applyNumberFormat="1" applyFont="1" applyFill="1" applyBorder="1">
      <alignment/>
      <protection/>
    </xf>
    <xf numFmtId="0" fontId="41" fillId="22" borderId="82" xfId="56" applyFont="1" applyFill="1" applyBorder="1">
      <alignment/>
      <protection/>
    </xf>
    <xf numFmtId="3" fontId="41" fillId="22" borderId="83" xfId="56" applyNumberFormat="1" applyFont="1" applyFill="1" applyBorder="1">
      <alignment/>
      <protection/>
    </xf>
    <xf numFmtId="3" fontId="41" fillId="22" borderId="67" xfId="56" applyNumberFormat="1" applyFont="1" applyFill="1" applyBorder="1">
      <alignment/>
      <protection/>
    </xf>
    <xf numFmtId="3" fontId="41" fillId="22" borderId="84" xfId="56" applyNumberFormat="1" applyFont="1" applyFill="1" applyBorder="1" applyProtection="1">
      <alignment/>
      <protection locked="0"/>
    </xf>
    <xf numFmtId="3" fontId="41" fillId="22" borderId="85" xfId="56" applyNumberFormat="1" applyFont="1" applyFill="1" applyBorder="1">
      <alignment/>
      <protection/>
    </xf>
    <xf numFmtId="0" fontId="41" fillId="0" borderId="0" xfId="56" applyFont="1" applyFill="1" applyBorder="1" applyAlignment="1">
      <alignment horizontal="center" vertical="center"/>
      <protection/>
    </xf>
    <xf numFmtId="0" fontId="41" fillId="0" borderId="0" xfId="56" applyFont="1" applyFill="1" applyBorder="1" applyAlignment="1" applyProtection="1">
      <alignment vertical="center" wrapText="1"/>
      <protection locked="0"/>
    </xf>
    <xf numFmtId="0" fontId="41" fillId="0" borderId="0" xfId="56" applyFont="1" applyFill="1" applyBorder="1" applyAlignment="1" applyProtection="1">
      <alignment horizontal="center" vertical="center" wrapText="1"/>
      <protection locked="0"/>
    </xf>
    <xf numFmtId="0" fontId="41" fillId="0" borderId="0" xfId="56" applyFont="1" applyFill="1" applyBorder="1" applyAlignment="1" applyProtection="1">
      <alignment horizontal="center"/>
      <protection locked="0"/>
    </xf>
    <xf numFmtId="3" fontId="41" fillId="0" borderId="0" xfId="56" applyNumberFormat="1" applyFont="1" applyFill="1" applyBorder="1" applyAlignment="1">
      <alignment vertical="center"/>
      <protection/>
    </xf>
    <xf numFmtId="0" fontId="41" fillId="0" borderId="0" xfId="56" applyFont="1" applyFill="1" applyBorder="1">
      <alignment/>
      <protection/>
    </xf>
    <xf numFmtId="3" fontId="41" fillId="0" borderId="0" xfId="56" applyNumberFormat="1" applyFont="1" applyFill="1" applyBorder="1">
      <alignment/>
      <protection/>
    </xf>
    <xf numFmtId="3" fontId="41" fillId="0" borderId="0" xfId="56" applyNumberFormat="1" applyFont="1" applyFill="1" applyBorder="1" applyAlignment="1" applyProtection="1">
      <alignment horizontal="center" vertical="center"/>
      <protection locked="0"/>
    </xf>
    <xf numFmtId="0" fontId="16" fillId="0" borderId="0" xfId="56" applyFill="1" applyAlignment="1">
      <alignment horizontal="center"/>
      <protection/>
    </xf>
    <xf numFmtId="0" fontId="16" fillId="0" borderId="10" xfId="56" applyFill="1" applyBorder="1" applyAlignment="1">
      <alignment horizontal="left"/>
      <protection/>
    </xf>
    <xf numFmtId="0" fontId="16" fillId="0" borderId="81" xfId="56" applyFill="1" applyBorder="1" applyAlignment="1">
      <alignment horizontal="left"/>
      <protection/>
    </xf>
    <xf numFmtId="3" fontId="16" fillId="0" borderId="10" xfId="56" applyNumberFormat="1" applyFill="1" applyBorder="1">
      <alignment/>
      <protection/>
    </xf>
    <xf numFmtId="3" fontId="16" fillId="0" borderId="0" xfId="56" applyNumberFormat="1" applyFill="1" applyBorder="1">
      <alignment/>
      <protection/>
    </xf>
    <xf numFmtId="0" fontId="16" fillId="0" borderId="0" xfId="56" applyFill="1" applyBorder="1">
      <alignment/>
      <protection/>
    </xf>
    <xf numFmtId="0" fontId="32" fillId="0" borderId="81" xfId="56" applyFont="1" applyFill="1" applyBorder="1" applyAlignment="1">
      <alignment horizontal="left"/>
      <protection/>
    </xf>
    <xf numFmtId="0" fontId="32" fillId="0" borderId="51" xfId="56" applyFont="1" applyFill="1" applyBorder="1" applyAlignment="1">
      <alignment horizontal="left"/>
      <protection/>
    </xf>
    <xf numFmtId="3" fontId="32" fillId="0" borderId="10" xfId="56" applyNumberFormat="1" applyFont="1" applyFill="1" applyBorder="1">
      <alignment/>
      <protection/>
    </xf>
    <xf numFmtId="0" fontId="16" fillId="0" borderId="10" xfId="56" applyFill="1" applyBorder="1">
      <alignment/>
      <protection/>
    </xf>
    <xf numFmtId="0" fontId="16" fillId="0" borderId="10" xfId="56" applyFill="1" applyBorder="1" applyAlignment="1">
      <alignment horizontal="left" wrapText="1"/>
      <protection/>
    </xf>
    <xf numFmtId="3" fontId="32" fillId="0" borderId="0" xfId="56" applyNumberFormat="1" applyFont="1" applyFill="1" applyBorder="1">
      <alignment/>
      <protection/>
    </xf>
    <xf numFmtId="3" fontId="41" fillId="0" borderId="0" xfId="56" applyNumberFormat="1" applyFont="1" applyBorder="1" applyProtection="1">
      <alignment/>
      <protection locked="0"/>
    </xf>
    <xf numFmtId="3" fontId="41" fillId="0" borderId="0" xfId="56" applyNumberFormat="1" applyFont="1" applyFill="1" applyBorder="1" applyProtection="1">
      <alignment/>
      <protection locked="0"/>
    </xf>
    <xf numFmtId="0" fontId="16" fillId="0" borderId="0" xfId="56" applyBorder="1">
      <alignment/>
      <protection/>
    </xf>
    <xf numFmtId="3" fontId="16" fillId="0" borderId="0" xfId="56" applyNumberFormat="1" applyAlignment="1">
      <alignment horizontal="center"/>
      <protection/>
    </xf>
    <xf numFmtId="3" fontId="41" fillId="0" borderId="0" xfId="56" applyNumberFormat="1" applyFont="1" applyBorder="1">
      <alignment/>
      <protection/>
    </xf>
    <xf numFmtId="3" fontId="41" fillId="22" borderId="87" xfId="56" applyNumberFormat="1" applyFont="1" applyFill="1" applyBorder="1" applyAlignment="1">
      <alignment vertical="center"/>
      <protection/>
    </xf>
    <xf numFmtId="0" fontId="39" fillId="0" borderId="0" xfId="57" applyFont="1" applyFill="1">
      <alignment/>
      <protection/>
    </xf>
    <xf numFmtId="0" fontId="16" fillId="0" borderId="0" xfId="57" applyFill="1">
      <alignment/>
      <protection/>
    </xf>
    <xf numFmtId="0" fontId="16" fillId="0" borderId="0" xfId="57" applyFill="1" applyAlignment="1">
      <alignment horizontal="center"/>
      <protection/>
    </xf>
    <xf numFmtId="0" fontId="38" fillId="0" borderId="0" xfId="57" applyFont="1" applyFill="1" applyAlignment="1">
      <alignment horizontal="right" vertical="top"/>
      <protection/>
    </xf>
    <xf numFmtId="0" fontId="41" fillId="0" borderId="44" xfId="57" applyFont="1" applyFill="1" applyBorder="1" applyAlignment="1">
      <alignment horizontal="center"/>
      <protection/>
    </xf>
    <xf numFmtId="0" fontId="41" fillId="0" borderId="88" xfId="57" applyFont="1" applyFill="1" applyBorder="1" applyAlignment="1">
      <alignment horizontal="center"/>
      <protection/>
    </xf>
    <xf numFmtId="0" fontId="41" fillId="0" borderId="47" xfId="57" applyFont="1" applyFill="1" applyBorder="1" applyAlignment="1">
      <alignment horizontal="center"/>
      <protection/>
    </xf>
    <xf numFmtId="3" fontId="41" fillId="0" borderId="75" xfId="57" applyNumberFormat="1" applyFont="1" applyFill="1" applyBorder="1" applyAlignment="1">
      <alignment vertical="center"/>
      <protection/>
    </xf>
    <xf numFmtId="0" fontId="41" fillId="0" borderId="75" xfId="57" applyFont="1" applyFill="1" applyBorder="1">
      <alignment/>
      <protection/>
    </xf>
    <xf numFmtId="3" fontId="41" fillId="0" borderId="75" xfId="57" applyNumberFormat="1" applyFont="1" applyFill="1" applyBorder="1" applyProtection="1">
      <alignment/>
      <protection locked="0"/>
    </xf>
    <xf numFmtId="3" fontId="41" fillId="0" borderId="77" xfId="57" applyNumberFormat="1" applyFont="1" applyFill="1" applyBorder="1" applyProtection="1">
      <alignment/>
      <protection locked="0"/>
    </xf>
    <xf numFmtId="3" fontId="41" fillId="0" borderId="78" xfId="57" applyNumberFormat="1" applyFont="1" applyFill="1" applyBorder="1" applyProtection="1">
      <alignment/>
      <protection locked="0"/>
    </xf>
    <xf numFmtId="0" fontId="41" fillId="0" borderId="79" xfId="57" applyFont="1" applyFill="1" applyBorder="1">
      <alignment/>
      <protection/>
    </xf>
    <xf numFmtId="3" fontId="41" fillId="0" borderId="79" xfId="57" applyNumberFormat="1" applyFont="1" applyFill="1" applyBorder="1" applyProtection="1">
      <alignment/>
      <protection locked="0"/>
    </xf>
    <xf numFmtId="3" fontId="41" fillId="0" borderId="10" xfId="57" applyNumberFormat="1" applyFont="1" applyFill="1" applyBorder="1" applyProtection="1">
      <alignment/>
      <protection locked="0"/>
    </xf>
    <xf numFmtId="3" fontId="41" fillId="0" borderId="81" xfId="57" applyNumberFormat="1" applyFont="1" applyFill="1" applyBorder="1" applyProtection="1">
      <alignment/>
      <protection locked="0"/>
    </xf>
    <xf numFmtId="3" fontId="41" fillId="0" borderId="79" xfId="57" applyNumberFormat="1" applyFont="1" applyFill="1" applyBorder="1" applyAlignment="1">
      <alignment vertical="center"/>
      <protection/>
    </xf>
    <xf numFmtId="3" fontId="41" fillId="0" borderId="79" xfId="57" applyNumberFormat="1" applyFont="1" applyFill="1" applyBorder="1">
      <alignment/>
      <protection/>
    </xf>
    <xf numFmtId="3" fontId="41" fillId="0" borderId="10" xfId="57" applyNumberFormat="1" applyFont="1" applyFill="1" applyBorder="1">
      <alignment/>
      <protection/>
    </xf>
    <xf numFmtId="3" fontId="41" fillId="0" borderId="81" xfId="57" applyNumberFormat="1" applyFont="1" applyFill="1" applyBorder="1">
      <alignment/>
      <protection/>
    </xf>
    <xf numFmtId="3" fontId="41" fillId="0" borderId="82" xfId="57" applyNumberFormat="1" applyFont="1" applyFill="1" applyBorder="1" applyAlignment="1">
      <alignment vertical="center"/>
      <protection/>
    </xf>
    <xf numFmtId="0" fontId="41" fillId="0" borderId="82" xfId="57" applyFont="1" applyFill="1" applyBorder="1">
      <alignment/>
      <protection/>
    </xf>
    <xf numFmtId="3" fontId="41" fillId="0" borderId="82" xfId="57" applyNumberFormat="1" applyFont="1" applyFill="1" applyBorder="1">
      <alignment/>
      <protection/>
    </xf>
    <xf numFmtId="3" fontId="41" fillId="0" borderId="67" xfId="57" applyNumberFormat="1" applyFont="1" applyFill="1" applyBorder="1">
      <alignment/>
      <protection/>
    </xf>
    <xf numFmtId="3" fontId="41" fillId="0" borderId="85" xfId="57" applyNumberFormat="1" applyFont="1" applyFill="1" applyBorder="1">
      <alignment/>
      <protection/>
    </xf>
    <xf numFmtId="0" fontId="41" fillId="0" borderId="87" xfId="57" applyFont="1" applyFill="1" applyBorder="1">
      <alignment/>
      <protection/>
    </xf>
    <xf numFmtId="3" fontId="41" fillId="0" borderId="41" xfId="57" applyNumberFormat="1" applyFont="1" applyFill="1" applyBorder="1" applyProtection="1">
      <alignment/>
      <protection locked="0"/>
    </xf>
    <xf numFmtId="3" fontId="41" fillId="0" borderId="89" xfId="57" applyNumberFormat="1" applyFont="1" applyFill="1" applyBorder="1" applyProtection="1">
      <alignment/>
      <protection locked="0"/>
    </xf>
    <xf numFmtId="3" fontId="41" fillId="0" borderId="90" xfId="57" applyNumberFormat="1" applyFont="1" applyFill="1" applyBorder="1">
      <alignment/>
      <protection/>
    </xf>
    <xf numFmtId="0" fontId="41" fillId="0" borderId="91" xfId="57" applyFont="1" applyFill="1" applyBorder="1">
      <alignment/>
      <protection/>
    </xf>
    <xf numFmtId="3" fontId="41" fillId="0" borderId="66" xfId="57" applyNumberFormat="1" applyFont="1" applyFill="1" applyBorder="1">
      <alignment/>
      <protection/>
    </xf>
    <xf numFmtId="3" fontId="41" fillId="0" borderId="87" xfId="57" applyNumberFormat="1" applyFont="1" applyFill="1" applyBorder="1" applyAlignment="1">
      <alignment vertical="center"/>
      <protection/>
    </xf>
    <xf numFmtId="3" fontId="41" fillId="0" borderId="87" xfId="57" applyNumberFormat="1" applyFont="1" applyFill="1" applyBorder="1" applyProtection="1">
      <alignment/>
      <protection locked="0"/>
    </xf>
    <xf numFmtId="0" fontId="41" fillId="0" borderId="79" xfId="57" applyFont="1" applyFill="1" applyBorder="1" applyAlignment="1">
      <alignment wrapText="1"/>
      <protection/>
    </xf>
    <xf numFmtId="0" fontId="41" fillId="0" borderId="92" xfId="57" applyFont="1" applyFill="1" applyBorder="1" applyAlignment="1">
      <alignment vertical="center"/>
      <protection/>
    </xf>
    <xf numFmtId="0" fontId="41" fillId="0" borderId="92" xfId="57" applyFont="1" applyFill="1" applyBorder="1" applyAlignment="1" applyProtection="1">
      <alignment vertical="center" wrapText="1"/>
      <protection locked="0"/>
    </xf>
    <xf numFmtId="0" fontId="41" fillId="0" borderId="92" xfId="57" applyFont="1" applyFill="1" applyBorder="1" applyAlignment="1" applyProtection="1">
      <alignment horizontal="center" vertical="center"/>
      <protection locked="0"/>
    </xf>
    <xf numFmtId="0" fontId="41" fillId="0" borderId="92" xfId="57" applyFont="1" applyFill="1" applyBorder="1" applyAlignment="1" applyProtection="1">
      <alignment horizontal="center" vertical="center" wrapText="1"/>
      <protection locked="0"/>
    </xf>
    <xf numFmtId="0" fontId="41" fillId="0" borderId="92" xfId="57" applyFont="1" applyFill="1" applyBorder="1" applyAlignment="1" applyProtection="1">
      <alignment horizontal="center"/>
      <protection locked="0"/>
    </xf>
    <xf numFmtId="3" fontId="41" fillId="0" borderId="0" xfId="57" applyNumberFormat="1" applyFont="1" applyFill="1" applyBorder="1" applyAlignment="1">
      <alignment vertical="center"/>
      <protection/>
    </xf>
    <xf numFmtId="0" fontId="41" fillId="0" borderId="0" xfId="57" applyFont="1" applyFill="1" applyBorder="1">
      <alignment/>
      <protection/>
    </xf>
    <xf numFmtId="3" fontId="41" fillId="0" borderId="0" xfId="57" applyNumberFormat="1" applyFont="1" applyFill="1" applyBorder="1" applyProtection="1">
      <alignment/>
      <protection locked="0"/>
    </xf>
    <xf numFmtId="3" fontId="41" fillId="0" borderId="92" xfId="57" applyNumberFormat="1" applyFont="1" applyFill="1" applyBorder="1" applyAlignment="1" applyProtection="1">
      <alignment vertical="center"/>
      <protection locked="0"/>
    </xf>
    <xf numFmtId="0" fontId="41" fillId="0" borderId="0" xfId="57" applyFont="1" applyFill="1" applyBorder="1" applyAlignment="1">
      <alignment vertical="center"/>
      <protection/>
    </xf>
    <xf numFmtId="0" fontId="41" fillId="0" borderId="0" xfId="57" applyFont="1" applyFill="1" applyBorder="1" applyAlignment="1" applyProtection="1">
      <alignment vertical="center" wrapText="1"/>
      <protection locked="0"/>
    </xf>
    <xf numFmtId="0" fontId="41" fillId="0" borderId="0" xfId="57" applyFont="1" applyFill="1" applyBorder="1" applyAlignment="1" applyProtection="1">
      <alignment horizontal="center" vertical="center"/>
      <protection locked="0"/>
    </xf>
    <xf numFmtId="0" fontId="41" fillId="0" borderId="0" xfId="57" applyFont="1" applyFill="1" applyBorder="1" applyAlignment="1" applyProtection="1">
      <alignment horizontal="center" vertical="center" wrapText="1"/>
      <protection locked="0"/>
    </xf>
    <xf numFmtId="0" fontId="41" fillId="0" borderId="0" xfId="57" applyFont="1" applyFill="1" applyBorder="1" applyAlignment="1" applyProtection="1">
      <alignment horizontal="center"/>
      <protection locked="0"/>
    </xf>
    <xf numFmtId="3" fontId="41" fillId="0" borderId="0" xfId="57" applyNumberFormat="1" applyFont="1" applyFill="1" applyBorder="1">
      <alignment/>
      <protection/>
    </xf>
    <xf numFmtId="1" fontId="41" fillId="0" borderId="0" xfId="57" applyNumberFormat="1" applyFont="1" applyFill="1" applyBorder="1" applyAlignment="1">
      <alignment horizontal="center"/>
      <protection/>
    </xf>
    <xf numFmtId="3" fontId="41" fillId="0" borderId="0" xfId="57" applyNumberFormat="1" applyFont="1" applyFill="1" applyBorder="1" applyAlignment="1" applyProtection="1">
      <alignment vertical="center"/>
      <protection locked="0"/>
    </xf>
    <xf numFmtId="0" fontId="41" fillId="0" borderId="76" xfId="57" applyFont="1" applyFill="1" applyBorder="1">
      <alignment/>
      <protection/>
    </xf>
    <xf numFmtId="3" fontId="41" fillId="0" borderId="93" xfId="57" applyNumberFormat="1" applyFont="1" applyFill="1" applyBorder="1" applyProtection="1">
      <alignment/>
      <protection locked="0"/>
    </xf>
    <xf numFmtId="0" fontId="41" fillId="0" borderId="80" xfId="57" applyFont="1" applyFill="1" applyBorder="1">
      <alignment/>
      <protection/>
    </xf>
    <xf numFmtId="3" fontId="41" fillId="0" borderId="94" xfId="57" applyNumberFormat="1" applyFont="1" applyFill="1" applyBorder="1" applyProtection="1">
      <alignment/>
      <protection locked="0"/>
    </xf>
    <xf numFmtId="0" fontId="41" fillId="0" borderId="83" xfId="57" applyFont="1" applyFill="1" applyBorder="1">
      <alignment/>
      <protection/>
    </xf>
    <xf numFmtId="3" fontId="41" fillId="0" borderId="67" xfId="57" applyNumberFormat="1" applyFont="1" applyFill="1" applyBorder="1" applyProtection="1">
      <alignment/>
      <protection locked="0"/>
    </xf>
    <xf numFmtId="3" fontId="41" fillId="0" borderId="95" xfId="57" applyNumberFormat="1" applyFont="1" applyFill="1" applyBorder="1" applyProtection="1">
      <alignment/>
      <protection locked="0"/>
    </xf>
    <xf numFmtId="3" fontId="41" fillId="0" borderId="0" xfId="57" applyNumberFormat="1" applyFont="1" applyFill="1" applyBorder="1" applyAlignment="1" applyProtection="1">
      <alignment horizontal="center" vertical="center"/>
      <protection locked="0"/>
    </xf>
    <xf numFmtId="3" fontId="41" fillId="24" borderId="0" xfId="57" applyNumberFormat="1" applyFont="1" applyFill="1" applyBorder="1" applyAlignment="1">
      <alignment vertical="center"/>
      <protection/>
    </xf>
    <xf numFmtId="0" fontId="41" fillId="24" borderId="0" xfId="57" applyFont="1" applyFill="1" applyBorder="1">
      <alignment/>
      <protection/>
    </xf>
    <xf numFmtId="3" fontId="41" fillId="24" borderId="0" xfId="57" applyNumberFormat="1" applyFont="1" applyFill="1" applyBorder="1">
      <alignment/>
      <protection/>
    </xf>
    <xf numFmtId="0" fontId="42" fillId="0" borderId="0" xfId="57" applyFont="1" applyFill="1">
      <alignment/>
      <protection/>
    </xf>
    <xf numFmtId="0" fontId="16" fillId="0" borderId="0" xfId="57" applyFont="1" applyFill="1">
      <alignment/>
      <protection/>
    </xf>
    <xf numFmtId="0" fontId="16" fillId="0" borderId="0" xfId="57" applyFont="1" applyFill="1" applyAlignment="1">
      <alignment horizontal="center"/>
      <protection/>
    </xf>
    <xf numFmtId="0" fontId="16" fillId="24" borderId="0" xfId="57" applyFill="1">
      <alignment/>
      <protection/>
    </xf>
    <xf numFmtId="0" fontId="32" fillId="0" borderId="0" xfId="57" applyFont="1" applyFill="1">
      <alignment/>
      <protection/>
    </xf>
    <xf numFmtId="0" fontId="41" fillId="22" borderId="75" xfId="56" applyFont="1" applyFill="1" applyBorder="1" applyAlignment="1" applyProtection="1">
      <alignment horizontal="center"/>
      <protection locked="0"/>
    </xf>
    <xf numFmtId="0" fontId="41" fillId="22" borderId="79" xfId="56" applyFont="1" applyFill="1" applyBorder="1" applyAlignment="1" applyProtection="1">
      <alignment horizontal="center"/>
      <protection locked="0"/>
    </xf>
    <xf numFmtId="3" fontId="41" fillId="22" borderId="75" xfId="56" applyNumberFormat="1" applyFont="1" applyFill="1" applyBorder="1" applyAlignment="1" applyProtection="1">
      <alignment horizontal="center" vertical="center"/>
      <protection locked="0"/>
    </xf>
    <xf numFmtId="3" fontId="41" fillId="22" borderId="79" xfId="56" applyNumberFormat="1" applyFont="1" applyFill="1" applyBorder="1" applyAlignment="1" applyProtection="1">
      <alignment horizontal="center" vertical="center"/>
      <protection locked="0"/>
    </xf>
    <xf numFmtId="3" fontId="41" fillId="22" borderId="82" xfId="56" applyNumberFormat="1" applyFont="1" applyFill="1" applyBorder="1" applyAlignment="1" applyProtection="1">
      <alignment horizontal="center" vertical="center"/>
      <protection locked="0"/>
    </xf>
    <xf numFmtId="3" fontId="41" fillId="22" borderId="91" xfId="56" applyNumberFormat="1" applyFont="1" applyFill="1" applyBorder="1" applyAlignment="1">
      <alignment vertical="center"/>
      <protection/>
    </xf>
    <xf numFmtId="0" fontId="38" fillId="0" borderId="75" xfId="57" applyFont="1" applyFill="1" applyBorder="1">
      <alignment/>
      <protection/>
    </xf>
    <xf numFmtId="0" fontId="38" fillId="0" borderId="79" xfId="57" applyFont="1" applyFill="1" applyBorder="1">
      <alignment/>
      <protection/>
    </xf>
    <xf numFmtId="0" fontId="38" fillId="0" borderId="82" xfId="57" applyFont="1" applyFill="1" applyBorder="1">
      <alignment/>
      <protection/>
    </xf>
    <xf numFmtId="0" fontId="38" fillId="0" borderId="87" xfId="57" applyFont="1" applyFill="1" applyBorder="1">
      <alignment/>
      <protection/>
    </xf>
    <xf numFmtId="0" fontId="38" fillId="0" borderId="91" xfId="57" applyFont="1" applyFill="1" applyBorder="1">
      <alignment/>
      <protection/>
    </xf>
    <xf numFmtId="3" fontId="41" fillId="0" borderId="75" xfId="53" applyNumberFormat="1" applyFont="1" applyBorder="1" applyAlignment="1">
      <alignment vertical="center"/>
      <protection/>
    </xf>
    <xf numFmtId="0" fontId="38" fillId="0" borderId="75" xfId="53" applyFont="1" applyBorder="1">
      <alignment/>
      <protection/>
    </xf>
    <xf numFmtId="3" fontId="41" fillId="0" borderId="75" xfId="53" applyNumberFormat="1" applyFont="1" applyFill="1" applyBorder="1" applyProtection="1">
      <alignment/>
      <protection locked="0"/>
    </xf>
    <xf numFmtId="3" fontId="41" fillId="0" borderId="41" xfId="53" applyNumberFormat="1" applyFont="1" applyBorder="1" applyProtection="1">
      <alignment/>
      <protection locked="0"/>
    </xf>
    <xf numFmtId="3" fontId="41" fillId="0" borderId="89" xfId="53" applyNumberFormat="1" applyFont="1" applyBorder="1" applyProtection="1">
      <alignment/>
      <protection locked="0"/>
    </xf>
    <xf numFmtId="0" fontId="16" fillId="0" borderId="0" xfId="53">
      <alignment/>
      <protection/>
    </xf>
    <xf numFmtId="0" fontId="38" fillId="0" borderId="79" xfId="53" applyFont="1" applyBorder="1">
      <alignment/>
      <protection/>
    </xf>
    <xf numFmtId="3" fontId="41" fillId="0" borderId="79" xfId="53" applyNumberFormat="1" applyFont="1" applyBorder="1" applyProtection="1">
      <alignment/>
      <protection locked="0"/>
    </xf>
    <xf numFmtId="3" fontId="41" fillId="0" borderId="10" xfId="53" applyNumberFormat="1" applyFont="1" applyBorder="1" applyProtection="1">
      <alignment/>
      <protection locked="0"/>
    </xf>
    <xf numFmtId="3" fontId="41" fillId="0" borderId="81" xfId="53" applyNumberFormat="1" applyFont="1" applyBorder="1" applyProtection="1">
      <alignment/>
      <protection locked="0"/>
    </xf>
    <xf numFmtId="3" fontId="41" fillId="0" borderId="79" xfId="53" applyNumberFormat="1" applyFont="1" applyBorder="1" applyAlignment="1">
      <alignment vertical="center"/>
      <protection/>
    </xf>
    <xf numFmtId="3" fontId="41" fillId="0" borderId="79" xfId="53" applyNumberFormat="1" applyFont="1" applyBorder="1">
      <alignment/>
      <protection/>
    </xf>
    <xf numFmtId="3" fontId="41" fillId="0" borderId="10" xfId="53" applyNumberFormat="1" applyFont="1" applyBorder="1">
      <alignment/>
      <protection/>
    </xf>
    <xf numFmtId="3" fontId="41" fillId="0" borderId="81" xfId="53" applyNumberFormat="1" applyFont="1" applyBorder="1">
      <alignment/>
      <protection/>
    </xf>
    <xf numFmtId="3" fontId="41" fillId="0" borderId="82" xfId="53" applyNumberFormat="1" applyFont="1" applyBorder="1" applyAlignment="1">
      <alignment vertical="center"/>
      <protection/>
    </xf>
    <xf numFmtId="0" fontId="38" fillId="0" borderId="91" xfId="53" applyFont="1" applyBorder="1">
      <alignment/>
      <protection/>
    </xf>
    <xf numFmtId="3" fontId="41" fillId="0" borderId="82" xfId="53" applyNumberFormat="1" applyFont="1" applyBorder="1">
      <alignment/>
      <protection/>
    </xf>
    <xf numFmtId="3" fontId="41" fillId="0" borderId="90" xfId="53" applyNumberFormat="1" applyFont="1" applyBorder="1">
      <alignment/>
      <protection/>
    </xf>
    <xf numFmtId="3" fontId="41" fillId="0" borderId="96" xfId="53" applyNumberFormat="1" applyFont="1" applyBorder="1">
      <alignment/>
      <protection/>
    </xf>
    <xf numFmtId="3" fontId="41" fillId="0" borderId="75" xfId="53" applyNumberFormat="1" applyFont="1" applyBorder="1" applyProtection="1">
      <alignment/>
      <protection locked="0"/>
    </xf>
    <xf numFmtId="3" fontId="41" fillId="0" borderId="77" xfId="53" applyNumberFormat="1" applyFont="1" applyBorder="1" applyProtection="1">
      <alignment/>
      <protection locked="0"/>
    </xf>
    <xf numFmtId="3" fontId="41" fillId="0" borderId="78" xfId="53" applyNumberFormat="1" applyFont="1" applyBorder="1" applyProtection="1">
      <alignment/>
      <protection locked="0"/>
    </xf>
    <xf numFmtId="0" fontId="38" fillId="0" borderId="82" xfId="53" applyFont="1" applyBorder="1">
      <alignment/>
      <protection/>
    </xf>
    <xf numFmtId="3" fontId="41" fillId="0" borderId="67" xfId="53" applyNumberFormat="1" applyFont="1" applyBorder="1">
      <alignment/>
      <protection/>
    </xf>
    <xf numFmtId="3" fontId="41" fillId="0" borderId="85" xfId="53" applyNumberFormat="1" applyFont="1" applyBorder="1">
      <alignment/>
      <protection/>
    </xf>
    <xf numFmtId="0" fontId="38" fillId="0" borderId="87" xfId="53" applyFont="1" applyBorder="1">
      <alignment/>
      <protection/>
    </xf>
    <xf numFmtId="3" fontId="41" fillId="0" borderId="87" xfId="53" applyNumberFormat="1" applyFont="1" applyBorder="1" applyAlignment="1">
      <alignment vertical="center"/>
      <protection/>
    </xf>
    <xf numFmtId="3" fontId="41" fillId="0" borderId="87" xfId="53" applyNumberFormat="1" applyFont="1" applyBorder="1" applyProtection="1">
      <alignment/>
      <protection locked="0"/>
    </xf>
    <xf numFmtId="0" fontId="38" fillId="0" borderId="92" xfId="57" applyFont="1" applyFill="1" applyBorder="1" applyAlignment="1">
      <alignment vertical="center"/>
      <protection/>
    </xf>
    <xf numFmtId="0" fontId="38" fillId="0" borderId="92" xfId="57" applyFont="1" applyFill="1" applyBorder="1" applyAlignment="1" applyProtection="1">
      <alignment vertical="center" wrapText="1"/>
      <protection locked="0"/>
    </xf>
    <xf numFmtId="0" fontId="38" fillId="0" borderId="92" xfId="57" applyFont="1" applyFill="1" applyBorder="1" applyAlignment="1" applyProtection="1">
      <alignment horizontal="center" vertical="center"/>
      <protection locked="0"/>
    </xf>
    <xf numFmtId="0" fontId="38" fillId="0" borderId="92" xfId="57" applyFont="1" applyFill="1" applyBorder="1" applyAlignment="1" applyProtection="1">
      <alignment horizontal="center" vertical="center" wrapText="1"/>
      <protection locked="0"/>
    </xf>
    <xf numFmtId="0" fontId="38" fillId="0" borderId="92" xfId="57" applyFont="1" applyFill="1" applyBorder="1" applyAlignment="1" applyProtection="1">
      <alignment horizontal="center"/>
      <protection locked="0"/>
    </xf>
    <xf numFmtId="0" fontId="38" fillId="0" borderId="0" xfId="57" applyFont="1" applyFill="1" applyBorder="1">
      <alignment/>
      <protection/>
    </xf>
    <xf numFmtId="0" fontId="38" fillId="0" borderId="0" xfId="57" applyFont="1" applyFill="1" applyBorder="1" applyAlignment="1">
      <alignment vertical="center"/>
      <protection/>
    </xf>
    <xf numFmtId="0" fontId="38" fillId="0" borderId="0" xfId="57" applyFont="1" applyFill="1" applyBorder="1" applyAlignment="1" applyProtection="1">
      <alignment vertical="center" wrapText="1"/>
      <protection locked="0"/>
    </xf>
    <xf numFmtId="0" fontId="38" fillId="0" borderId="0" xfId="57" applyFont="1" applyFill="1" applyBorder="1" applyAlignment="1" applyProtection="1">
      <alignment horizontal="center" vertical="center"/>
      <protection locked="0"/>
    </xf>
    <xf numFmtId="0" fontId="38" fillId="0" borderId="0" xfId="57" applyFont="1" applyFill="1" applyBorder="1" applyAlignment="1" applyProtection="1">
      <alignment horizontal="center" vertical="center" wrapText="1"/>
      <protection locked="0"/>
    </xf>
    <xf numFmtId="0" fontId="38" fillId="0" borderId="0" xfId="57" applyFont="1" applyFill="1" applyBorder="1" applyAlignment="1" applyProtection="1">
      <alignment horizontal="center"/>
      <protection locked="0"/>
    </xf>
    <xf numFmtId="0" fontId="38" fillId="0" borderId="76" xfId="57" applyFont="1" applyFill="1" applyBorder="1">
      <alignment/>
      <protection/>
    </xf>
    <xf numFmtId="3" fontId="41" fillId="0" borderId="97" xfId="57" applyNumberFormat="1" applyFont="1" applyFill="1" applyBorder="1" applyProtection="1">
      <alignment/>
      <protection locked="0"/>
    </xf>
    <xf numFmtId="3" fontId="41" fillId="0" borderId="98" xfId="57" applyNumberFormat="1" applyFont="1" applyFill="1" applyBorder="1" applyProtection="1">
      <alignment/>
      <protection locked="0"/>
    </xf>
    <xf numFmtId="3" fontId="41" fillId="0" borderId="99" xfId="57" applyNumberFormat="1" applyFont="1" applyFill="1" applyBorder="1" applyProtection="1">
      <alignment/>
      <protection locked="0"/>
    </xf>
    <xf numFmtId="0" fontId="38" fillId="0" borderId="80" xfId="57" applyFont="1" applyFill="1" applyBorder="1">
      <alignment/>
      <protection/>
    </xf>
    <xf numFmtId="3" fontId="41" fillId="0" borderId="100" xfId="57" applyNumberFormat="1" applyFont="1" applyFill="1" applyBorder="1" applyProtection="1">
      <alignment/>
      <protection locked="0"/>
    </xf>
    <xf numFmtId="3" fontId="41" fillId="0" borderId="15" xfId="57" applyNumberFormat="1" applyFont="1" applyFill="1" applyBorder="1" applyProtection="1">
      <alignment/>
      <protection locked="0"/>
    </xf>
    <xf numFmtId="3" fontId="41" fillId="0" borderId="16" xfId="57" applyNumberFormat="1" applyFont="1" applyFill="1" applyBorder="1" applyProtection="1">
      <alignment/>
      <protection locked="0"/>
    </xf>
    <xf numFmtId="3" fontId="41" fillId="0" borderId="101" xfId="57" applyNumberFormat="1" applyFont="1" applyFill="1" applyBorder="1" applyProtection="1">
      <alignment/>
      <protection locked="0"/>
    </xf>
    <xf numFmtId="3" fontId="41" fillId="0" borderId="18" xfId="57" applyNumberFormat="1" applyFont="1" applyFill="1" applyBorder="1" applyProtection="1">
      <alignment/>
      <protection locked="0"/>
    </xf>
    <xf numFmtId="3" fontId="41" fillId="0" borderId="19" xfId="57" applyNumberFormat="1" applyFont="1" applyFill="1" applyBorder="1" applyProtection="1">
      <alignment/>
      <protection locked="0"/>
    </xf>
    <xf numFmtId="0" fontId="38" fillId="0" borderId="83" xfId="57" applyFont="1" applyFill="1" applyBorder="1">
      <alignment/>
      <protection/>
    </xf>
    <xf numFmtId="3" fontId="41" fillId="0" borderId="102" xfId="56" applyNumberFormat="1" applyFont="1" applyFill="1" applyBorder="1" applyAlignment="1">
      <alignment vertical="center"/>
      <protection/>
    </xf>
    <xf numFmtId="0" fontId="38" fillId="24" borderId="76" xfId="57" applyFont="1" applyFill="1" applyBorder="1">
      <alignment/>
      <protection/>
    </xf>
    <xf numFmtId="3" fontId="41" fillId="24" borderId="10" xfId="57" applyNumberFormat="1" applyFont="1" applyFill="1" applyBorder="1" applyProtection="1">
      <alignment/>
      <protection locked="0"/>
    </xf>
    <xf numFmtId="0" fontId="38" fillId="24" borderId="80" xfId="57" applyFont="1" applyFill="1" applyBorder="1">
      <alignment/>
      <protection/>
    </xf>
    <xf numFmtId="0" fontId="38" fillId="24" borderId="83" xfId="57" applyFont="1" applyFill="1" applyBorder="1">
      <alignment/>
      <protection/>
    </xf>
    <xf numFmtId="0" fontId="41" fillId="0" borderId="75" xfId="55" applyFont="1" applyFill="1" applyBorder="1" applyAlignment="1" applyProtection="1">
      <alignment horizontal="center" vertical="center" wrapText="1"/>
      <protection locked="0"/>
    </xf>
    <xf numFmtId="0" fontId="41" fillId="0" borderId="79" xfId="55" applyFont="1" applyFill="1" applyBorder="1" applyAlignment="1" applyProtection="1">
      <alignment horizontal="center" vertical="center" wrapText="1"/>
      <protection locked="0"/>
    </xf>
    <xf numFmtId="0" fontId="41" fillId="0" borderId="82" xfId="55" applyFont="1" applyFill="1" applyBorder="1" applyAlignment="1" applyProtection="1">
      <alignment horizontal="center" vertical="center" wrapText="1"/>
      <protection locked="0"/>
    </xf>
    <xf numFmtId="0" fontId="41" fillId="0" borderId="75" xfId="55" applyFont="1" applyFill="1" applyBorder="1" applyAlignment="1" applyProtection="1">
      <alignment horizontal="center"/>
      <protection locked="0"/>
    </xf>
    <xf numFmtId="0" fontId="41" fillId="0" borderId="79" xfId="55" applyFont="1" applyFill="1" applyBorder="1" applyAlignment="1" applyProtection="1">
      <alignment horizontal="center"/>
      <protection locked="0"/>
    </xf>
    <xf numFmtId="3" fontId="41" fillId="0" borderId="75" xfId="56" applyNumberFormat="1" applyFont="1" applyFill="1" applyBorder="1" applyAlignment="1" applyProtection="1">
      <alignment horizontal="center" vertical="center"/>
      <protection locked="0"/>
    </xf>
    <xf numFmtId="3" fontId="41" fillId="0" borderId="79" xfId="56" applyNumberFormat="1" applyFont="1" applyFill="1" applyBorder="1" applyAlignment="1" applyProtection="1">
      <alignment horizontal="center" vertical="center"/>
      <protection locked="0"/>
    </xf>
    <xf numFmtId="3" fontId="41" fillId="0" borderId="82" xfId="56" applyNumberFormat="1" applyFont="1" applyFill="1" applyBorder="1" applyAlignment="1" applyProtection="1">
      <alignment horizontal="center" vertical="center"/>
      <protection locked="0"/>
    </xf>
    <xf numFmtId="3" fontId="41" fillId="0" borderId="91" xfId="55" applyNumberFormat="1" applyFont="1" applyFill="1" applyBorder="1" applyAlignment="1">
      <alignment vertical="center"/>
      <protection/>
    </xf>
    <xf numFmtId="3" fontId="41" fillId="0" borderId="87" xfId="55" applyNumberFormat="1" applyFont="1" applyFill="1" applyBorder="1" applyAlignment="1">
      <alignment vertical="center"/>
      <protection/>
    </xf>
    <xf numFmtId="0" fontId="41" fillId="0" borderId="82" xfId="55" applyFont="1" applyFill="1" applyBorder="1" applyAlignment="1" applyProtection="1">
      <alignment horizontal="center"/>
      <protection locked="0"/>
    </xf>
    <xf numFmtId="3" fontId="41" fillId="0" borderId="103" xfId="55" applyNumberFormat="1" applyFont="1" applyFill="1" applyBorder="1" applyAlignment="1">
      <alignment vertical="center"/>
      <protection/>
    </xf>
    <xf numFmtId="3" fontId="41" fillId="0" borderId="102" xfId="55" applyNumberFormat="1" applyFont="1" applyFill="1" applyBorder="1" applyAlignment="1">
      <alignment vertical="center"/>
      <protection/>
    </xf>
    <xf numFmtId="0" fontId="41" fillId="0" borderId="75" xfId="55" applyFont="1" applyFill="1" applyBorder="1" applyAlignment="1">
      <alignment horizontal="center" vertical="center"/>
      <protection/>
    </xf>
    <xf numFmtId="0" fontId="41" fillId="0" borderId="79" xfId="55" applyFont="1" applyFill="1" applyBorder="1" applyAlignment="1">
      <alignment horizontal="center" vertical="center"/>
      <protection/>
    </xf>
    <xf numFmtId="0" fontId="41" fillId="0" borderId="82" xfId="55" applyFont="1" applyFill="1" applyBorder="1" applyAlignment="1">
      <alignment horizontal="center" vertical="center"/>
      <protection/>
    </xf>
    <xf numFmtId="0" fontId="41" fillId="0" borderId="104" xfId="55" applyFont="1" applyFill="1" applyBorder="1" applyAlignment="1">
      <alignment horizontal="center" vertical="center"/>
      <protection/>
    </xf>
    <xf numFmtId="0" fontId="41" fillId="0" borderId="103" xfId="55" applyFont="1" applyFill="1" applyBorder="1" applyAlignment="1">
      <alignment horizontal="center" vertical="center"/>
      <protection/>
    </xf>
    <xf numFmtId="0" fontId="41" fillId="0" borderId="102" xfId="55" applyFont="1" applyFill="1" applyBorder="1" applyAlignment="1">
      <alignment horizontal="center" vertical="center"/>
      <protection/>
    </xf>
    <xf numFmtId="0" fontId="41" fillId="0" borderId="104" xfId="55" applyFont="1" applyFill="1" applyBorder="1" applyAlignment="1" applyProtection="1">
      <alignment vertical="center" wrapText="1"/>
      <protection locked="0"/>
    </xf>
    <xf numFmtId="0" fontId="41" fillId="0" borderId="103" xfId="55" applyFont="1" applyFill="1" applyBorder="1" applyAlignment="1" applyProtection="1">
      <alignment vertical="center" wrapText="1"/>
      <protection locked="0"/>
    </xf>
    <xf numFmtId="0" fontId="41" fillId="0" borderId="102" xfId="55" applyFont="1" applyFill="1" applyBorder="1" applyAlignment="1" applyProtection="1">
      <alignment vertical="center" wrapText="1"/>
      <protection locked="0"/>
    </xf>
    <xf numFmtId="0" fontId="41" fillId="0" borderId="104" xfId="56" applyFont="1" applyFill="1" applyBorder="1" applyAlignment="1" applyProtection="1">
      <alignment horizontal="left" vertical="center" wrapText="1"/>
      <protection locked="0"/>
    </xf>
    <xf numFmtId="0" fontId="41" fillId="0" borderId="103" xfId="56" applyFont="1" applyFill="1" applyBorder="1" applyAlignment="1" applyProtection="1">
      <alignment horizontal="left" vertical="center" wrapText="1"/>
      <protection locked="0"/>
    </xf>
    <xf numFmtId="0" fontId="41" fillId="0" borderId="102" xfId="56" applyFont="1" applyFill="1" applyBorder="1" applyAlignment="1" applyProtection="1">
      <alignment horizontal="left" vertical="center" wrapText="1"/>
      <protection locked="0"/>
    </xf>
    <xf numFmtId="3" fontId="41" fillId="0" borderId="91" xfId="56" applyNumberFormat="1" applyFont="1" applyFill="1" applyBorder="1" applyAlignment="1">
      <alignment vertical="center"/>
      <protection/>
    </xf>
    <xf numFmtId="3" fontId="41" fillId="0" borderId="87" xfId="56" applyNumberFormat="1" applyFont="1" applyFill="1" applyBorder="1" applyAlignment="1">
      <alignment vertical="center"/>
      <protection/>
    </xf>
    <xf numFmtId="3" fontId="41" fillId="0" borderId="103" xfId="56" applyNumberFormat="1" applyFont="1" applyFill="1" applyBorder="1" applyAlignment="1">
      <alignment vertical="center"/>
      <protection/>
    </xf>
    <xf numFmtId="0" fontId="41" fillId="22" borderId="82" xfId="56" applyFont="1" applyFill="1" applyBorder="1" applyAlignment="1" applyProtection="1">
      <alignment horizontal="center"/>
      <protection locked="0"/>
    </xf>
    <xf numFmtId="3" fontId="41" fillId="22" borderId="103" xfId="56" applyNumberFormat="1" applyFont="1" applyFill="1" applyBorder="1" applyAlignment="1">
      <alignment vertical="center"/>
      <protection/>
    </xf>
    <xf numFmtId="3" fontId="41" fillId="22" borderId="102" xfId="56" applyNumberFormat="1" applyFont="1" applyFill="1" applyBorder="1" applyAlignment="1">
      <alignment vertical="center"/>
      <protection/>
    </xf>
    <xf numFmtId="0" fontId="41" fillId="0" borderId="105" xfId="56" applyFont="1" applyBorder="1" applyAlignment="1">
      <alignment horizontal="center" vertical="center" wrapText="1"/>
      <protection/>
    </xf>
    <xf numFmtId="0" fontId="16" fillId="0" borderId="106" xfId="56" applyBorder="1" applyAlignment="1">
      <alignment horizontal="center" vertical="center" wrapText="1"/>
      <protection/>
    </xf>
    <xf numFmtId="0" fontId="41" fillId="0" borderId="75" xfId="56" applyFont="1" applyFill="1" applyBorder="1" applyAlignment="1" applyProtection="1">
      <alignment horizontal="center" vertical="center" wrapText="1"/>
      <protection locked="0"/>
    </xf>
    <xf numFmtId="0" fontId="41" fillId="0" borderId="79" xfId="56" applyFont="1" applyFill="1" applyBorder="1" applyAlignment="1" applyProtection="1">
      <alignment horizontal="center" vertical="center" wrapText="1"/>
      <protection locked="0"/>
    </xf>
    <xf numFmtId="0" fontId="41" fillId="0" borderId="82" xfId="56" applyFont="1" applyFill="1" applyBorder="1" applyAlignment="1" applyProtection="1">
      <alignment horizontal="center" vertical="center" wrapText="1"/>
      <protection locked="0"/>
    </xf>
    <xf numFmtId="0" fontId="41" fillId="0" borderId="75" xfId="56" applyFont="1" applyFill="1" applyBorder="1" applyAlignment="1" applyProtection="1">
      <alignment horizontal="center"/>
      <protection locked="0"/>
    </xf>
    <xf numFmtId="0" fontId="41" fillId="0" borderId="79" xfId="56" applyFont="1" applyFill="1" applyBorder="1" applyAlignment="1" applyProtection="1">
      <alignment horizontal="center"/>
      <protection locked="0"/>
    </xf>
    <xf numFmtId="0" fontId="41" fillId="0" borderId="104" xfId="56" applyFont="1" applyFill="1" applyBorder="1" applyAlignment="1">
      <alignment horizontal="center" vertical="center"/>
      <protection/>
    </xf>
    <xf numFmtId="0" fontId="41" fillId="0" borderId="103" xfId="56" applyFont="1" applyFill="1" applyBorder="1" applyAlignment="1">
      <alignment horizontal="center" vertical="center"/>
      <protection/>
    </xf>
    <xf numFmtId="0" fontId="41" fillId="0" borderId="102" xfId="56" applyFont="1" applyFill="1" applyBorder="1" applyAlignment="1">
      <alignment horizontal="center" vertical="center"/>
      <protection/>
    </xf>
    <xf numFmtId="0" fontId="41" fillId="0" borderId="82" xfId="56" applyFont="1" applyFill="1" applyBorder="1" applyAlignment="1" applyProtection="1">
      <alignment horizontal="center"/>
      <protection locked="0"/>
    </xf>
    <xf numFmtId="0" fontId="41" fillId="0" borderId="107" xfId="56" applyFont="1" applyFill="1" applyBorder="1" applyAlignment="1" applyProtection="1">
      <alignment horizontal="center" vertical="center" wrapText="1"/>
      <protection locked="0"/>
    </xf>
    <xf numFmtId="0" fontId="41" fillId="0" borderId="75" xfId="56" applyFont="1" applyFill="1" applyBorder="1" applyAlignment="1">
      <alignment horizontal="center" vertical="center"/>
      <protection/>
    </xf>
    <xf numFmtId="0" fontId="41" fillId="0" borderId="79" xfId="56" applyFont="1" applyFill="1" applyBorder="1" applyAlignment="1">
      <alignment horizontal="center" vertical="center"/>
      <protection/>
    </xf>
    <xf numFmtId="0" fontId="41" fillId="0" borderId="82" xfId="56" applyFont="1" applyFill="1" applyBorder="1" applyAlignment="1">
      <alignment horizontal="center" vertical="center"/>
      <protection/>
    </xf>
    <xf numFmtId="0" fontId="41" fillId="0" borderId="104" xfId="56" applyFont="1" applyFill="1" applyBorder="1" applyAlignment="1" applyProtection="1">
      <alignment vertical="center" wrapText="1"/>
      <protection locked="0"/>
    </xf>
    <xf numFmtId="0" fontId="41" fillId="0" borderId="103" xfId="56" applyFont="1" applyFill="1" applyBorder="1" applyAlignment="1" applyProtection="1">
      <alignment vertical="center" wrapText="1"/>
      <protection locked="0"/>
    </xf>
    <xf numFmtId="0" fontId="41" fillId="0" borderId="102" xfId="56" applyFont="1" applyFill="1" applyBorder="1" applyAlignment="1" applyProtection="1">
      <alignment vertical="center" wrapText="1"/>
      <protection locked="0"/>
    </xf>
    <xf numFmtId="0" fontId="41" fillId="0" borderId="104" xfId="56" applyFont="1" applyBorder="1" applyAlignment="1">
      <alignment horizontal="center" vertical="center"/>
      <protection/>
    </xf>
    <xf numFmtId="0" fontId="41" fillId="0" borderId="102" xfId="56" applyFont="1" applyBorder="1" applyAlignment="1">
      <alignment horizontal="center" vertical="center"/>
      <protection/>
    </xf>
    <xf numFmtId="0" fontId="41" fillId="0" borderId="104" xfId="56" applyFont="1" applyFill="1" applyBorder="1" applyAlignment="1">
      <alignment horizontal="center" vertical="center" wrapText="1"/>
      <protection/>
    </xf>
    <xf numFmtId="0" fontId="41" fillId="0" borderId="103" xfId="56" applyFont="1" applyFill="1" applyBorder="1" applyAlignment="1">
      <alignment horizontal="center" vertical="center" wrapText="1"/>
      <protection/>
    </xf>
    <xf numFmtId="0" fontId="41" fillId="0" borderId="102" xfId="56" applyFont="1" applyFill="1" applyBorder="1" applyAlignment="1">
      <alignment horizontal="center" vertical="center" wrapText="1"/>
      <protection/>
    </xf>
    <xf numFmtId="0" fontId="41" fillId="22" borderId="75" xfId="56" applyFont="1" applyFill="1" applyBorder="1" applyAlignment="1">
      <alignment horizontal="center" vertical="center"/>
      <protection/>
    </xf>
    <xf numFmtId="0" fontId="41" fillId="22" borderId="79" xfId="56" applyFont="1" applyFill="1" applyBorder="1" applyAlignment="1">
      <alignment horizontal="center" vertical="center"/>
      <protection/>
    </xf>
    <xf numFmtId="0" fontId="41" fillId="22" borderId="82" xfId="56" applyFont="1" applyFill="1" applyBorder="1" applyAlignment="1">
      <alignment horizontal="center" vertical="center"/>
      <protection/>
    </xf>
    <xf numFmtId="0" fontId="41" fillId="22" borderId="104" xfId="56" applyFont="1" applyFill="1" applyBorder="1" applyAlignment="1">
      <alignment horizontal="center" vertical="center"/>
      <protection/>
    </xf>
    <xf numFmtId="0" fontId="41" fillId="22" borderId="103" xfId="56" applyFont="1" applyFill="1" applyBorder="1" applyAlignment="1">
      <alignment horizontal="center" vertical="center"/>
      <protection/>
    </xf>
    <xf numFmtId="0" fontId="41" fillId="22" borderId="102" xfId="56" applyFont="1" applyFill="1" applyBorder="1" applyAlignment="1">
      <alignment horizontal="center" vertical="center"/>
      <protection/>
    </xf>
    <xf numFmtId="0" fontId="41" fillId="22" borderId="75" xfId="56" applyFont="1" applyFill="1" applyBorder="1" applyAlignment="1" applyProtection="1">
      <alignment vertical="center" wrapText="1"/>
      <protection locked="0"/>
    </xf>
    <xf numFmtId="0" fontId="41" fillId="22" borderId="79" xfId="56" applyFont="1" applyFill="1" applyBorder="1" applyAlignment="1" applyProtection="1">
      <alignment vertical="center" wrapText="1"/>
      <protection locked="0"/>
    </xf>
    <xf numFmtId="0" fontId="41" fillId="22" borderId="82" xfId="56" applyFont="1" applyFill="1" applyBorder="1" applyAlignment="1" applyProtection="1">
      <alignment vertical="center" wrapText="1"/>
      <protection locked="0"/>
    </xf>
    <xf numFmtId="0" fontId="41" fillId="22" borderId="107" xfId="56" applyFont="1" applyFill="1" applyBorder="1" applyAlignment="1" applyProtection="1">
      <alignment horizontal="center" vertical="center" wrapText="1"/>
      <protection locked="0"/>
    </xf>
    <xf numFmtId="0" fontId="41" fillId="0" borderId="104" xfId="56" applyFont="1" applyFill="1" applyBorder="1" applyAlignment="1" applyProtection="1">
      <alignment horizontal="center" vertical="center" wrapText="1"/>
      <protection locked="0"/>
    </xf>
    <xf numFmtId="0" fontId="41" fillId="0" borderId="103" xfId="56" applyFont="1" applyFill="1" applyBorder="1" applyAlignment="1" applyProtection="1">
      <alignment horizontal="center" vertical="center" wrapText="1"/>
      <protection locked="0"/>
    </xf>
    <xf numFmtId="0" fontId="41" fillId="0" borderId="102" xfId="56" applyFont="1" applyFill="1" applyBorder="1" applyAlignment="1" applyProtection="1">
      <alignment horizontal="center" vertical="center" wrapText="1"/>
      <protection locked="0"/>
    </xf>
    <xf numFmtId="0" fontId="41" fillId="0" borderId="75" xfId="56" applyFont="1" applyFill="1" applyBorder="1" applyAlignment="1" applyProtection="1">
      <alignment vertical="center" wrapText="1"/>
      <protection locked="0"/>
    </xf>
    <xf numFmtId="0" fontId="41" fillId="0" borderId="79" xfId="56" applyFont="1" applyFill="1" applyBorder="1" applyAlignment="1" applyProtection="1">
      <alignment vertical="center" wrapText="1"/>
      <protection locked="0"/>
    </xf>
    <xf numFmtId="0" fontId="41" fillId="0" borderId="82" xfId="56" applyFont="1" applyFill="1" applyBorder="1" applyAlignment="1" applyProtection="1">
      <alignment vertical="center" wrapText="1"/>
      <protection locked="0"/>
    </xf>
    <xf numFmtId="0" fontId="41" fillId="0" borderId="86" xfId="56" applyFont="1" applyFill="1" applyBorder="1" applyAlignment="1" applyProtection="1">
      <alignment vertical="center" wrapText="1"/>
      <protection locked="0"/>
    </xf>
    <xf numFmtId="0" fontId="41" fillId="0" borderId="64" xfId="56" applyFont="1" applyFill="1" applyBorder="1" applyAlignment="1" applyProtection="1">
      <alignment vertical="center" wrapText="1"/>
      <protection locked="0"/>
    </xf>
    <xf numFmtId="0" fontId="41" fillId="0" borderId="108" xfId="56" applyFont="1" applyFill="1" applyBorder="1" applyAlignment="1" applyProtection="1">
      <alignment vertical="center" wrapText="1"/>
      <protection locked="0"/>
    </xf>
    <xf numFmtId="0" fontId="41" fillId="0" borderId="91" xfId="56" applyFont="1" applyFill="1" applyBorder="1" applyAlignment="1" applyProtection="1">
      <alignment horizontal="center"/>
      <protection locked="0"/>
    </xf>
    <xf numFmtId="0" fontId="41" fillId="0" borderId="103" xfId="56" applyFont="1" applyFill="1" applyBorder="1" applyAlignment="1" applyProtection="1">
      <alignment horizontal="center"/>
      <protection locked="0"/>
    </xf>
    <xf numFmtId="0" fontId="41" fillId="0" borderId="102" xfId="56" applyFont="1" applyFill="1" applyBorder="1" applyAlignment="1" applyProtection="1">
      <alignment horizontal="center"/>
      <protection locked="0"/>
    </xf>
    <xf numFmtId="0" fontId="41" fillId="0" borderId="104" xfId="56" applyFont="1" applyFill="1" applyBorder="1" applyAlignment="1" applyProtection="1">
      <alignment horizontal="center"/>
      <protection locked="0"/>
    </xf>
    <xf numFmtId="0" fontId="41" fillId="0" borderId="87" xfId="56" applyFont="1" applyFill="1" applyBorder="1" applyAlignment="1" applyProtection="1">
      <alignment horizontal="center"/>
      <protection locked="0"/>
    </xf>
    <xf numFmtId="3" fontId="41" fillId="0" borderId="109" xfId="56" applyNumberFormat="1" applyFont="1" applyFill="1" applyBorder="1" applyAlignment="1">
      <alignment vertical="center"/>
      <protection/>
    </xf>
    <xf numFmtId="3" fontId="41" fillId="0" borderId="63" xfId="56" applyNumberFormat="1" applyFont="1" applyFill="1" applyBorder="1" applyAlignment="1">
      <alignment vertical="center"/>
      <protection/>
    </xf>
    <xf numFmtId="3" fontId="41" fillId="0" borderId="62" xfId="56" applyNumberFormat="1" applyFont="1" applyFill="1" applyBorder="1" applyAlignment="1">
      <alignment vertical="center"/>
      <protection/>
    </xf>
    <xf numFmtId="3" fontId="41" fillId="0" borderId="106" xfId="56" applyNumberFormat="1" applyFont="1" applyFill="1" applyBorder="1" applyAlignment="1">
      <alignment vertical="center"/>
      <protection/>
    </xf>
    <xf numFmtId="0" fontId="41" fillId="0" borderId="105" xfId="56" applyFont="1" applyFill="1" applyBorder="1" applyAlignment="1" applyProtection="1">
      <alignment vertical="center" wrapText="1"/>
      <protection locked="0"/>
    </xf>
    <xf numFmtId="0" fontId="41" fillId="0" borderId="62" xfId="56" applyFont="1" applyFill="1" applyBorder="1" applyAlignment="1" applyProtection="1">
      <alignment vertical="center" wrapText="1"/>
      <protection locked="0"/>
    </xf>
    <xf numFmtId="0" fontId="41" fillId="0" borderId="106" xfId="56" applyFont="1" applyFill="1" applyBorder="1" applyAlignment="1" applyProtection="1">
      <alignment vertical="center" wrapText="1"/>
      <protection locked="0"/>
    </xf>
    <xf numFmtId="0" fontId="41" fillId="0" borderId="76" xfId="56" applyFont="1" applyBorder="1" applyAlignment="1">
      <alignment horizontal="center" vertical="center" wrapText="1"/>
      <protection/>
    </xf>
    <xf numFmtId="0" fontId="41" fillId="0" borderId="83" xfId="56" applyFont="1" applyBorder="1" applyAlignment="1">
      <alignment horizontal="center" vertical="center" wrapText="1"/>
      <protection/>
    </xf>
    <xf numFmtId="0" fontId="32" fillId="0" borderId="81" xfId="56" applyFont="1" applyFill="1" applyBorder="1" applyAlignment="1">
      <alignment horizontal="left"/>
      <protection/>
    </xf>
    <xf numFmtId="0" fontId="32" fillId="0" borderId="34" xfId="56" applyFont="1" applyFill="1" applyBorder="1" applyAlignment="1">
      <alignment horizontal="left"/>
      <protection/>
    </xf>
    <xf numFmtId="0" fontId="16" fillId="0" borderId="81" xfId="56" applyFill="1" applyBorder="1" applyAlignment="1">
      <alignment horizontal="left"/>
      <protection/>
    </xf>
    <xf numFmtId="0" fontId="16" fillId="0" borderId="34" xfId="56" applyFill="1" applyBorder="1" applyAlignment="1">
      <alignment horizontal="left"/>
      <protection/>
    </xf>
    <xf numFmtId="0" fontId="32" fillId="0" borderId="71" xfId="56" applyFont="1" applyFill="1" applyBorder="1" applyAlignment="1">
      <alignment horizontal="right" vertical="center"/>
      <protection/>
    </xf>
    <xf numFmtId="0" fontId="41" fillId="0" borderId="107" xfId="56" applyFont="1" applyBorder="1" applyAlignment="1">
      <alignment horizontal="center" vertical="center"/>
      <protection/>
    </xf>
    <xf numFmtId="0" fontId="16" fillId="0" borderId="107" xfId="56" applyBorder="1" applyAlignment="1">
      <alignment horizontal="center" vertical="center"/>
      <protection/>
    </xf>
    <xf numFmtId="0" fontId="41" fillId="0" borderId="107" xfId="56" applyFont="1" applyBorder="1" applyAlignment="1">
      <alignment horizontal="center" vertical="center" wrapText="1"/>
      <protection/>
    </xf>
    <xf numFmtId="0" fontId="16" fillId="0" borderId="107" xfId="56" applyBorder="1" applyAlignment="1">
      <alignment horizontal="center" vertical="center" wrapText="1"/>
      <protection/>
    </xf>
    <xf numFmtId="0" fontId="41" fillId="0" borderId="73" xfId="56" applyFont="1" applyBorder="1" applyAlignment="1">
      <alignment horizontal="center" vertical="center" wrapText="1"/>
      <protection/>
    </xf>
    <xf numFmtId="0" fontId="16" fillId="0" borderId="73" xfId="56" applyBorder="1" applyAlignment="1">
      <alignment horizontal="center" vertical="center" wrapText="1"/>
      <protection/>
    </xf>
    <xf numFmtId="3" fontId="41" fillId="0" borderId="91" xfId="56" applyNumberFormat="1" applyFont="1" applyFill="1" applyBorder="1" applyAlignment="1">
      <alignment horizontal="right" vertical="center"/>
      <protection/>
    </xf>
    <xf numFmtId="3" fontId="41" fillId="0" borderId="103" xfId="56" applyNumberFormat="1" applyFont="1" applyFill="1" applyBorder="1" applyAlignment="1">
      <alignment horizontal="right" vertical="center"/>
      <protection/>
    </xf>
    <xf numFmtId="3" fontId="41" fillId="0" borderId="102" xfId="56" applyNumberFormat="1" applyFont="1" applyFill="1" applyBorder="1" applyAlignment="1">
      <alignment horizontal="right" vertical="center"/>
      <protection/>
    </xf>
    <xf numFmtId="0" fontId="41" fillId="0" borderId="75" xfId="56" applyFont="1" applyBorder="1" applyAlignment="1">
      <alignment horizontal="center" vertical="center" wrapText="1"/>
      <protection/>
    </xf>
    <xf numFmtId="0" fontId="41" fillId="0" borderId="82" xfId="56" applyFont="1" applyBorder="1" applyAlignment="1">
      <alignment horizontal="center" vertical="center" wrapText="1"/>
      <protection/>
    </xf>
    <xf numFmtId="3" fontId="41" fillId="0" borderId="104" xfId="57" applyNumberFormat="1" applyFont="1" applyFill="1" applyBorder="1" applyAlignment="1" applyProtection="1">
      <alignment horizontal="center" vertical="center"/>
      <protection locked="0"/>
    </xf>
    <xf numFmtId="3" fontId="41" fillId="0" borderId="103" xfId="57" applyNumberFormat="1" applyFont="1" applyFill="1" applyBorder="1" applyAlignment="1" applyProtection="1">
      <alignment horizontal="center" vertical="center"/>
      <protection locked="0"/>
    </xf>
    <xf numFmtId="3" fontId="41" fillId="0" borderId="102" xfId="57" applyNumberFormat="1" applyFont="1" applyFill="1" applyBorder="1" applyAlignment="1" applyProtection="1">
      <alignment horizontal="center" vertical="center"/>
      <protection locked="0"/>
    </xf>
    <xf numFmtId="3" fontId="41" fillId="0" borderId="91" xfId="57" applyNumberFormat="1" applyFont="1" applyFill="1" applyBorder="1" applyAlignment="1">
      <alignment vertical="center"/>
      <protection/>
    </xf>
    <xf numFmtId="0" fontId="16" fillId="0" borderId="87" xfId="57" applyFill="1" applyBorder="1" applyAlignment="1">
      <alignment vertical="center"/>
      <protection/>
    </xf>
    <xf numFmtId="0" fontId="41" fillId="0" borderId="91" xfId="57" applyFont="1" applyFill="1" applyBorder="1" applyAlignment="1" applyProtection="1">
      <alignment horizontal="center"/>
      <protection locked="0"/>
    </xf>
    <xf numFmtId="0" fontId="41" fillId="0" borderId="103" xfId="57" applyFont="1" applyFill="1" applyBorder="1" applyAlignment="1" applyProtection="1">
      <alignment horizontal="center"/>
      <protection locked="0"/>
    </xf>
    <xf numFmtId="0" fontId="41" fillId="0" borderId="102" xfId="57" applyFont="1" applyFill="1" applyBorder="1" applyAlignment="1" applyProtection="1">
      <alignment horizontal="center"/>
      <protection locked="0"/>
    </xf>
    <xf numFmtId="0" fontId="41" fillId="0" borderId="104" xfId="57" applyFont="1" applyFill="1" applyBorder="1" applyAlignment="1" applyProtection="1">
      <alignment vertical="center" wrapText="1"/>
      <protection locked="0"/>
    </xf>
    <xf numFmtId="0" fontId="41" fillId="0" borderId="103" xfId="57" applyFont="1" applyFill="1" applyBorder="1" applyAlignment="1" applyProtection="1">
      <alignment vertical="center" wrapText="1"/>
      <protection locked="0"/>
    </xf>
    <xf numFmtId="0" fontId="41" fillId="0" borderId="102" xfId="57" applyFont="1" applyFill="1" applyBorder="1" applyAlignment="1" applyProtection="1">
      <alignment vertical="center" wrapText="1"/>
      <protection locked="0"/>
    </xf>
    <xf numFmtId="0" fontId="41" fillId="0" borderId="104" xfId="57" applyFont="1" applyFill="1" applyBorder="1" applyAlignment="1" applyProtection="1">
      <alignment horizontal="center" vertical="center"/>
      <protection locked="0"/>
    </xf>
    <xf numFmtId="0" fontId="41" fillId="0" borderId="103" xfId="57" applyFont="1" applyFill="1" applyBorder="1" applyAlignment="1" applyProtection="1">
      <alignment horizontal="center" vertical="center"/>
      <protection locked="0"/>
    </xf>
    <xf numFmtId="0" fontId="41" fillId="0" borderId="102" xfId="57" applyFont="1" applyFill="1" applyBorder="1" applyAlignment="1" applyProtection="1">
      <alignment horizontal="center" vertical="center"/>
      <protection locked="0"/>
    </xf>
    <xf numFmtId="0" fontId="41" fillId="0" borderId="104" xfId="57" applyFont="1" applyFill="1" applyBorder="1" applyAlignment="1" applyProtection="1">
      <alignment horizontal="center" vertical="center" wrapText="1"/>
      <protection locked="0"/>
    </xf>
    <xf numFmtId="0" fontId="41" fillId="0" borderId="103" xfId="57" applyFont="1" applyFill="1" applyBorder="1" applyAlignment="1" applyProtection="1">
      <alignment horizontal="center" vertical="center" wrapText="1"/>
      <protection locked="0"/>
    </xf>
    <xf numFmtId="0" fontId="41" fillId="0" borderId="102" xfId="57" applyFont="1" applyFill="1" applyBorder="1" applyAlignment="1" applyProtection="1">
      <alignment horizontal="center" vertical="center" wrapText="1"/>
      <protection locked="0"/>
    </xf>
    <xf numFmtId="0" fontId="41" fillId="0" borderId="104" xfId="57" applyFont="1" applyFill="1" applyBorder="1" applyAlignment="1" applyProtection="1">
      <alignment horizontal="center"/>
      <protection locked="0"/>
    </xf>
    <xf numFmtId="0" fontId="41" fillId="0" borderId="87" xfId="57" applyFont="1" applyFill="1" applyBorder="1" applyAlignment="1" applyProtection="1">
      <alignment horizontal="center"/>
      <protection locked="0"/>
    </xf>
    <xf numFmtId="0" fontId="41" fillId="0" borderId="104" xfId="57" applyFont="1" applyFill="1" applyBorder="1" applyAlignment="1">
      <alignment horizontal="center" vertical="center"/>
      <protection/>
    </xf>
    <xf numFmtId="0" fontId="41" fillId="0" borderId="103" xfId="57" applyFont="1" applyFill="1" applyBorder="1" applyAlignment="1">
      <alignment horizontal="center" vertical="center"/>
      <protection/>
    </xf>
    <xf numFmtId="0" fontId="41" fillId="0" borderId="102" xfId="57" applyFont="1" applyFill="1" applyBorder="1" applyAlignment="1">
      <alignment horizontal="center" vertical="center"/>
      <protection/>
    </xf>
    <xf numFmtId="0" fontId="41" fillId="0" borderId="104" xfId="57" applyFont="1" applyFill="1" applyBorder="1" applyAlignment="1">
      <alignment horizontal="center" vertical="center" wrapText="1"/>
      <protection/>
    </xf>
    <xf numFmtId="0" fontId="16" fillId="0" borderId="102" xfId="57" applyFill="1" applyBorder="1" applyAlignment="1">
      <alignment horizontal="center" vertical="center" wrapText="1"/>
      <protection/>
    </xf>
    <xf numFmtId="0" fontId="41" fillId="0" borderId="47" xfId="57" applyFont="1" applyFill="1" applyBorder="1" applyAlignment="1">
      <alignment horizontal="center" vertical="center"/>
      <protection/>
    </xf>
    <xf numFmtId="0" fontId="41" fillId="0" borderId="107" xfId="57" applyFont="1" applyFill="1" applyBorder="1" applyAlignment="1">
      <alignment vertical="center" wrapText="1"/>
      <protection/>
    </xf>
    <xf numFmtId="0" fontId="32" fillId="0" borderId="71" xfId="57" applyFont="1" applyFill="1" applyBorder="1" applyAlignment="1">
      <alignment horizontal="center" vertical="center"/>
      <protection/>
    </xf>
    <xf numFmtId="0" fontId="41" fillId="0" borderId="107" xfId="57" applyFont="1" applyFill="1" applyBorder="1" applyAlignment="1">
      <alignment vertical="center"/>
      <protection/>
    </xf>
    <xf numFmtId="0" fontId="16" fillId="0" borderId="107" xfId="57" applyFill="1" applyBorder="1" applyAlignment="1">
      <alignment vertical="center"/>
      <protection/>
    </xf>
    <xf numFmtId="0" fontId="16" fillId="0" borderId="107" xfId="57" applyFill="1" applyBorder="1" applyAlignment="1">
      <alignment vertical="center" wrapText="1"/>
      <protection/>
    </xf>
    <xf numFmtId="0" fontId="41" fillId="0" borderId="107" xfId="57" applyFont="1" applyFill="1" applyBorder="1" applyAlignment="1">
      <alignment horizontal="center" vertical="center" wrapText="1"/>
      <protection/>
    </xf>
    <xf numFmtId="0" fontId="16" fillId="0" borderId="107" xfId="57" applyFill="1" applyBorder="1" applyAlignment="1">
      <alignment horizontal="center" vertical="center"/>
      <protection/>
    </xf>
    <xf numFmtId="0" fontId="41" fillId="0" borderId="0" xfId="57" applyFont="1" applyFill="1" applyBorder="1" applyAlignment="1">
      <alignment horizontal="center" vertical="center"/>
      <protection/>
    </xf>
    <xf numFmtId="0" fontId="41" fillId="0" borderId="0" xfId="57" applyFont="1" applyFill="1" applyBorder="1" applyAlignment="1" applyProtection="1">
      <alignment vertical="center" wrapText="1"/>
      <protection locked="0"/>
    </xf>
    <xf numFmtId="0" fontId="41" fillId="0" borderId="0" xfId="57" applyFont="1" applyFill="1" applyBorder="1" applyAlignment="1" applyProtection="1">
      <alignment horizontal="center" vertical="center"/>
      <protection locked="0"/>
    </xf>
    <xf numFmtId="0" fontId="41" fillId="0" borderId="0" xfId="57" applyFont="1" applyFill="1" applyBorder="1" applyAlignment="1" applyProtection="1">
      <alignment horizontal="center" vertical="center" wrapText="1"/>
      <protection locked="0"/>
    </xf>
    <xf numFmtId="0" fontId="41" fillId="0" borderId="110" xfId="57" applyFont="1" applyFill="1" applyBorder="1" applyAlignment="1">
      <alignment horizontal="center" vertical="center"/>
      <protection/>
    </xf>
    <xf numFmtId="0" fontId="41" fillId="0" borderId="92" xfId="57" applyFont="1" applyFill="1" applyBorder="1" applyAlignment="1">
      <alignment horizontal="center" vertical="center"/>
      <protection/>
    </xf>
    <xf numFmtId="0" fontId="41" fillId="0" borderId="105" xfId="57" applyFont="1" applyFill="1" applyBorder="1" applyAlignment="1">
      <alignment horizontal="center" vertical="center"/>
      <protection/>
    </xf>
    <xf numFmtId="0" fontId="41" fillId="0" borderId="111" xfId="57" applyFont="1" applyFill="1" applyBorder="1" applyAlignment="1">
      <alignment horizontal="center" vertical="center"/>
      <protection/>
    </xf>
    <xf numFmtId="0" fontId="41" fillId="0" borderId="62" xfId="57" applyFont="1" applyFill="1" applyBorder="1" applyAlignment="1">
      <alignment horizontal="center" vertical="center"/>
      <protection/>
    </xf>
    <xf numFmtId="0" fontId="41" fillId="0" borderId="112" xfId="57" applyFont="1" applyFill="1" applyBorder="1" applyAlignment="1">
      <alignment horizontal="center" vertical="center"/>
      <protection/>
    </xf>
    <xf numFmtId="0" fontId="41" fillId="0" borderId="71" xfId="57" applyFont="1" applyFill="1" applyBorder="1" applyAlignment="1">
      <alignment horizontal="center" vertical="center"/>
      <protection/>
    </xf>
    <xf numFmtId="0" fontId="41" fillId="0" borderId="106" xfId="57" applyFont="1" applyFill="1" applyBorder="1" applyAlignment="1">
      <alignment horizontal="center" vertical="center"/>
      <protection/>
    </xf>
    <xf numFmtId="3" fontId="41" fillId="0" borderId="0" xfId="57" applyNumberFormat="1" applyFont="1" applyFill="1" applyBorder="1" applyAlignment="1" applyProtection="1">
      <alignment horizontal="center" vertical="center"/>
      <protection locked="0"/>
    </xf>
    <xf numFmtId="0" fontId="41" fillId="0" borderId="0" xfId="57" applyFont="1" applyFill="1" applyBorder="1" applyAlignment="1" applyProtection="1">
      <alignment horizontal="center"/>
      <protection locked="0"/>
    </xf>
    <xf numFmtId="3" fontId="41" fillId="0" borderId="0" xfId="57" applyNumberFormat="1" applyFont="1" applyFill="1" applyBorder="1" applyAlignment="1">
      <alignment vertical="center"/>
      <protection/>
    </xf>
    <xf numFmtId="0" fontId="16" fillId="0" borderId="0" xfId="57" applyFill="1" applyBorder="1" applyAlignment="1">
      <alignment vertical="center"/>
      <protection/>
    </xf>
    <xf numFmtId="0" fontId="16" fillId="0" borderId="0" xfId="57" applyFill="1" applyBorder="1" applyAlignment="1">
      <alignment horizontal="center" vertical="center"/>
      <protection/>
    </xf>
    <xf numFmtId="0" fontId="38" fillId="0" borderId="0" xfId="57" applyFont="1" applyFill="1" applyBorder="1" applyAlignment="1" applyProtection="1">
      <alignment horizontal="center"/>
      <protection locked="0"/>
    </xf>
    <xf numFmtId="0" fontId="38" fillId="0" borderId="0" xfId="57" applyFont="1" applyFill="1" applyBorder="1" applyAlignment="1">
      <alignment horizontal="center" vertical="center"/>
      <protection/>
    </xf>
    <xf numFmtId="0" fontId="38" fillId="0" borderId="0" xfId="57" applyFont="1" applyFill="1" applyBorder="1" applyAlignment="1" applyProtection="1">
      <alignment vertical="center" wrapText="1"/>
      <protection locked="0"/>
    </xf>
    <xf numFmtId="0" fontId="38" fillId="0" borderId="0" xfId="57" applyFont="1" applyFill="1" applyBorder="1" applyAlignment="1" applyProtection="1">
      <alignment horizontal="center" vertical="center"/>
      <protection locked="0"/>
    </xf>
    <xf numFmtId="0" fontId="38" fillId="0" borderId="0" xfId="57" applyFont="1" applyFill="1" applyBorder="1" applyAlignment="1" applyProtection="1">
      <alignment horizontal="center" vertical="center" wrapText="1"/>
      <protection locked="0"/>
    </xf>
    <xf numFmtId="0" fontId="38" fillId="0" borderId="104" xfId="57" applyFont="1" applyFill="1" applyBorder="1" applyAlignment="1" applyProtection="1">
      <alignment horizontal="center"/>
      <protection locked="0"/>
    </xf>
    <xf numFmtId="0" fontId="38" fillId="0" borderId="103" xfId="57" applyFont="1" applyFill="1" applyBorder="1" applyAlignment="1" applyProtection="1">
      <alignment horizontal="center"/>
      <protection locked="0"/>
    </xf>
    <xf numFmtId="0" fontId="38" fillId="0" borderId="87" xfId="57" applyFont="1" applyFill="1" applyBorder="1" applyAlignment="1" applyProtection="1">
      <alignment horizontal="center"/>
      <protection locked="0"/>
    </xf>
    <xf numFmtId="3" fontId="41" fillId="0" borderId="87" xfId="57" applyNumberFormat="1" applyFont="1" applyFill="1" applyBorder="1" applyAlignment="1">
      <alignment vertical="center"/>
      <protection/>
    </xf>
    <xf numFmtId="0" fontId="38" fillId="0" borderId="91" xfId="57" applyFont="1" applyFill="1" applyBorder="1" applyAlignment="1" applyProtection="1">
      <alignment horizontal="center"/>
      <protection locked="0"/>
    </xf>
    <xf numFmtId="0" fontId="38" fillId="0" borderId="102" xfId="57" applyFont="1" applyFill="1" applyBorder="1" applyAlignment="1" applyProtection="1">
      <alignment horizontal="center"/>
      <protection locked="0"/>
    </xf>
    <xf numFmtId="0" fontId="38" fillId="0" borderId="104" xfId="57" applyFont="1" applyFill="1" applyBorder="1" applyAlignment="1">
      <alignment horizontal="center" vertical="center"/>
      <protection/>
    </xf>
    <xf numFmtId="0" fontId="38" fillId="0" borderId="103" xfId="57" applyFont="1" applyFill="1" applyBorder="1" applyAlignment="1">
      <alignment horizontal="center" vertical="center"/>
      <protection/>
    </xf>
    <xf numFmtId="0" fontId="38" fillId="0" borderId="102" xfId="57" applyFont="1" applyFill="1" applyBorder="1" applyAlignment="1">
      <alignment horizontal="center" vertical="center"/>
      <protection/>
    </xf>
    <xf numFmtId="0" fontId="38" fillId="0" borderId="104" xfId="57" applyFont="1" applyFill="1" applyBorder="1" applyAlignment="1" applyProtection="1">
      <alignment vertical="center" wrapText="1"/>
      <protection locked="0"/>
    </xf>
    <xf numFmtId="0" fontId="38" fillId="0" borderId="103" xfId="57" applyFont="1" applyFill="1" applyBorder="1" applyAlignment="1" applyProtection="1">
      <alignment vertical="center" wrapText="1"/>
      <protection locked="0"/>
    </xf>
    <xf numFmtId="0" fontId="38" fillId="0" borderId="102" xfId="57" applyFont="1" applyFill="1" applyBorder="1" applyAlignment="1" applyProtection="1">
      <alignment vertical="center" wrapText="1"/>
      <protection locked="0"/>
    </xf>
    <xf numFmtId="0" fontId="38" fillId="0" borderId="104" xfId="57" applyFont="1" applyFill="1" applyBorder="1" applyAlignment="1" applyProtection="1">
      <alignment horizontal="center" vertical="center"/>
      <protection locked="0"/>
    </xf>
    <xf numFmtId="0" fontId="38" fillId="0" borderId="103" xfId="57" applyFont="1" applyFill="1" applyBorder="1" applyAlignment="1" applyProtection="1">
      <alignment horizontal="center" vertical="center"/>
      <protection locked="0"/>
    </xf>
    <xf numFmtId="0" fontId="38" fillId="0" borderId="102" xfId="57" applyFont="1" applyFill="1" applyBorder="1" applyAlignment="1" applyProtection="1">
      <alignment horizontal="center" vertical="center"/>
      <protection locked="0"/>
    </xf>
    <xf numFmtId="0" fontId="38" fillId="0" borderId="104" xfId="57" applyFont="1" applyFill="1" applyBorder="1" applyAlignment="1" applyProtection="1">
      <alignment horizontal="center" vertical="center" wrapText="1"/>
      <protection locked="0"/>
    </xf>
    <xf numFmtId="0" fontId="38" fillId="0" borderId="103" xfId="57" applyFont="1" applyFill="1" applyBorder="1" applyAlignment="1" applyProtection="1">
      <alignment horizontal="center" vertical="center" wrapText="1"/>
      <protection locked="0"/>
    </xf>
    <xf numFmtId="0" fontId="38" fillId="0" borderId="102" xfId="57" applyFont="1" applyFill="1" applyBorder="1" applyAlignment="1" applyProtection="1">
      <alignment horizontal="center" vertical="center" wrapText="1"/>
      <protection locked="0"/>
    </xf>
    <xf numFmtId="0" fontId="38" fillId="0" borderId="107" xfId="57" applyFont="1" applyFill="1" applyBorder="1" applyAlignment="1">
      <alignment vertical="center" wrapText="1"/>
      <protection/>
    </xf>
    <xf numFmtId="0" fontId="32" fillId="0" borderId="107" xfId="57" applyFont="1" applyFill="1" applyBorder="1" applyAlignment="1">
      <alignment vertical="center"/>
      <protection/>
    </xf>
    <xf numFmtId="0" fontId="32" fillId="0" borderId="107" xfId="57" applyFont="1" applyFill="1" applyBorder="1" applyAlignment="1">
      <alignment vertical="center" wrapText="1"/>
      <protection/>
    </xf>
    <xf numFmtId="0" fontId="38" fillId="0" borderId="107" xfId="57" applyFont="1" applyFill="1" applyBorder="1" applyAlignment="1">
      <alignment horizontal="center" vertical="center" wrapText="1"/>
      <protection/>
    </xf>
    <xf numFmtId="0" fontId="16" fillId="0" borderId="107" xfId="57" applyFont="1" applyFill="1" applyBorder="1" applyAlignment="1">
      <alignment horizontal="center" vertical="center"/>
      <protection/>
    </xf>
    <xf numFmtId="0" fontId="32" fillId="0" borderId="107" xfId="57" applyFont="1" applyFill="1" applyBorder="1" applyAlignment="1">
      <alignment horizontal="center" vertical="center"/>
      <protection/>
    </xf>
    <xf numFmtId="0" fontId="32" fillId="0" borderId="102" xfId="57" applyFont="1" applyFill="1" applyBorder="1" applyAlignment="1">
      <alignment horizontal="center" vertical="center" wrapText="1"/>
      <protection/>
    </xf>
    <xf numFmtId="0" fontId="38" fillId="0" borderId="104" xfId="53" applyFont="1" applyBorder="1" applyAlignment="1" applyProtection="1">
      <alignment horizontal="center"/>
      <protection locked="0"/>
    </xf>
    <xf numFmtId="0" fontId="38" fillId="0" borderId="103" xfId="53" applyFont="1" applyBorder="1" applyAlignment="1" applyProtection="1">
      <alignment horizontal="center"/>
      <protection locked="0"/>
    </xf>
    <xf numFmtId="0" fontId="38" fillId="0" borderId="87" xfId="53" applyFont="1" applyBorder="1" applyAlignment="1" applyProtection="1">
      <alignment horizontal="center"/>
      <protection locked="0"/>
    </xf>
    <xf numFmtId="3" fontId="41" fillId="0" borderId="91" xfId="53" applyNumberFormat="1" applyFont="1" applyBorder="1" applyAlignment="1">
      <alignment vertical="center"/>
      <protection/>
    </xf>
    <xf numFmtId="0" fontId="16" fillId="0" borderId="87" xfId="53" applyBorder="1" applyAlignment="1">
      <alignment vertical="center"/>
      <protection/>
    </xf>
    <xf numFmtId="0" fontId="38" fillId="0" borderId="91" xfId="53" applyFont="1" applyBorder="1" applyAlignment="1" applyProtection="1">
      <alignment horizontal="center"/>
      <protection locked="0"/>
    </xf>
    <xf numFmtId="0" fontId="38" fillId="0" borderId="102" xfId="53" applyFont="1" applyBorder="1" applyAlignment="1" applyProtection="1">
      <alignment horizontal="center"/>
      <protection locked="0"/>
    </xf>
    <xf numFmtId="0" fontId="38" fillId="0" borderId="104" xfId="53" applyFont="1" applyBorder="1" applyAlignment="1" applyProtection="1">
      <alignment horizontal="center" vertical="center"/>
      <protection locked="0"/>
    </xf>
    <xf numFmtId="0" fontId="38" fillId="0" borderId="103" xfId="53" applyFont="1" applyBorder="1" applyAlignment="1" applyProtection="1">
      <alignment horizontal="center" vertical="center"/>
      <protection locked="0"/>
    </xf>
    <xf numFmtId="0" fontId="38" fillId="0" borderId="102" xfId="53" applyFont="1" applyBorder="1" applyAlignment="1" applyProtection="1">
      <alignment horizontal="center" vertical="center"/>
      <protection locked="0"/>
    </xf>
    <xf numFmtId="0" fontId="38" fillId="0" borderId="104" xfId="53" applyFont="1" applyBorder="1" applyAlignment="1" applyProtection="1">
      <alignment horizontal="center" vertical="center" wrapText="1"/>
      <protection locked="0"/>
    </xf>
    <xf numFmtId="0" fontId="38" fillId="0" borderId="103" xfId="53" applyFont="1" applyBorder="1" applyAlignment="1" applyProtection="1">
      <alignment horizontal="center" vertical="center" wrapText="1"/>
      <protection locked="0"/>
    </xf>
    <xf numFmtId="0" fontId="38" fillId="0" borderId="102" xfId="53" applyFont="1" applyBorder="1" applyAlignment="1" applyProtection="1">
      <alignment horizontal="center" vertical="center" wrapText="1"/>
      <protection locked="0"/>
    </xf>
    <xf numFmtId="0" fontId="38" fillId="0" borderId="104" xfId="53" applyFont="1" applyBorder="1" applyAlignment="1" applyProtection="1">
      <alignment vertical="center" wrapText="1"/>
      <protection locked="0"/>
    </xf>
    <xf numFmtId="0" fontId="38" fillId="0" borderId="103" xfId="53" applyFont="1" applyBorder="1" applyAlignment="1" applyProtection="1">
      <alignment vertical="center" wrapText="1"/>
      <protection locked="0"/>
    </xf>
    <xf numFmtId="0" fontId="38" fillId="0" borderId="102" xfId="53" applyFont="1" applyBorder="1" applyAlignment="1" applyProtection="1">
      <alignment vertical="center" wrapText="1"/>
      <protection locked="0"/>
    </xf>
    <xf numFmtId="0" fontId="16" fillId="0" borderId="87" xfId="53" applyFont="1" applyBorder="1" applyAlignment="1">
      <alignment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WPF 28.03.201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rzedsięwzięcia pozostałe do WPF ASIA" xfId="53"/>
    <cellStyle name="Normalny_WPF 28.03.2012" xfId="54"/>
    <cellStyle name="Normalny_WPF na wrzesień 2011 AUTOPOPRAWKA" xfId="55"/>
    <cellStyle name="Normalny_WPF UE VI 2012r." xfId="56"/>
    <cellStyle name="Normalny_Zał nr 2 cz 2 i 3 27.06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bahe\Ustawienia%20lokalne\Temporary%20Internet%20Files\Content.IE5\0OQN0WTX\przedsi&#281;wzi&#281;cia%20zadania%20inwestycyjne%20do%20W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bahe\Ustawienia%20lokalne\Temporary%20Internet%20Files\Content.IE5\0OQN0WTX\przedsi&#281;wzi&#281;cia%20umowy%20ci&#261;g&#322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2 do URM cz.2"/>
      <sheetName val="zał. nr 2 do URM cz. 2 RM 25.04"/>
    </sheetNames>
    <sheetDataSet>
      <sheetData sheetId="0"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F319">
            <v>495580118</v>
          </cell>
          <cell r="H319">
            <v>115903179</v>
          </cell>
          <cell r="I319">
            <v>124286217</v>
          </cell>
          <cell r="J319">
            <v>124940722</v>
          </cell>
          <cell r="K319">
            <v>120450000</v>
          </cell>
          <cell r="L319">
            <v>10000000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2 do URM cz. 3 (22.02)"/>
      <sheetName val="zał. nr 2 do URM cz. 3 (28.03)"/>
      <sheetName val="zał. nr 2 do URM cz. 3 (25.04)"/>
    </sheetNames>
    <sheetDataSet>
      <sheetData sheetId="0">
        <row r="472">
          <cell r="M472">
            <v>184800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M478">
            <v>184800</v>
          </cell>
        </row>
        <row r="479">
          <cell r="M479">
            <v>0</v>
          </cell>
        </row>
      </sheetData>
      <sheetData sheetId="1">
        <row r="472">
          <cell r="H472">
            <v>16841356</v>
          </cell>
          <cell r="I472">
            <v>11918039</v>
          </cell>
          <cell r="J472">
            <v>7232147</v>
          </cell>
          <cell r="K472">
            <v>2161734</v>
          </cell>
          <cell r="L472">
            <v>1478378</v>
          </cell>
        </row>
        <row r="473">
          <cell r="H473">
            <v>33648</v>
          </cell>
          <cell r="I473">
            <v>30000</v>
          </cell>
          <cell r="J473">
            <v>0</v>
          </cell>
          <cell r="K473">
            <v>0</v>
          </cell>
          <cell r="L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H476">
            <v>51992</v>
          </cell>
          <cell r="I476">
            <v>376831</v>
          </cell>
          <cell r="J476">
            <v>16556</v>
          </cell>
          <cell r="K476">
            <v>0</v>
          </cell>
          <cell r="L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H478">
            <v>16893348</v>
          </cell>
          <cell r="I478">
            <v>12294870</v>
          </cell>
          <cell r="J478">
            <v>7248703</v>
          </cell>
          <cell r="K478">
            <v>2161734</v>
          </cell>
          <cell r="L478">
            <v>1478378</v>
          </cell>
        </row>
        <row r="479">
          <cell r="H479">
            <v>33648</v>
          </cell>
          <cell r="I479">
            <v>30000</v>
          </cell>
          <cell r="J479">
            <v>0</v>
          </cell>
          <cell r="K479">
            <v>0</v>
          </cell>
          <cell r="L4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8"/>
  <sheetViews>
    <sheetView tabSelected="1" workbookViewId="0" topLeftCell="A10">
      <selection activeCell="B37" sqref="B37"/>
    </sheetView>
  </sheetViews>
  <sheetFormatPr defaultColWidth="9.00390625" defaultRowHeight="12.75"/>
  <cols>
    <col min="1" max="1" width="3.875" style="1" customWidth="1"/>
    <col min="2" max="2" width="42.375" style="1" customWidth="1"/>
    <col min="3" max="3" width="14.25390625" style="1" hidden="1" customWidth="1"/>
    <col min="4" max="4" width="14.125" style="155" hidden="1" customWidth="1"/>
    <col min="5" max="5" width="12.375" style="156" customWidth="1"/>
    <col min="6" max="7" width="12.25390625" style="9" hidden="1" customWidth="1"/>
    <col min="8" max="8" width="12.875" style="156" customWidth="1"/>
    <col min="9" max="10" width="12.25390625" style="8" hidden="1" customWidth="1"/>
    <col min="11" max="11" width="12.25390625" style="156" customWidth="1"/>
    <col min="12" max="12" width="12.25390625" style="9" hidden="1" customWidth="1"/>
    <col min="13" max="13" width="11.875" style="8" hidden="1" customWidth="1"/>
    <col min="14" max="14" width="12.125" style="8" customWidth="1"/>
    <col min="15" max="15" width="12.625" style="9" hidden="1" customWidth="1"/>
    <col min="16" max="16" width="11.875" style="8" hidden="1" customWidth="1"/>
    <col min="17" max="17" width="12.00390625" style="1" customWidth="1"/>
    <col min="18" max="19" width="12.125" style="9" hidden="1" customWidth="1"/>
    <col min="20" max="20" width="11.875" style="8" hidden="1" customWidth="1"/>
    <col min="21" max="21" width="12.125" style="1" customWidth="1"/>
    <col min="22" max="22" width="12.125" style="9" hidden="1" customWidth="1"/>
    <col min="23" max="23" width="11.875" style="8" hidden="1" customWidth="1"/>
    <col min="24" max="24" width="12.125" style="1" customWidth="1"/>
    <col min="25" max="25" width="11.875" style="8" hidden="1" customWidth="1"/>
    <col min="26" max="26" width="13.00390625" style="1" customWidth="1"/>
    <col min="27" max="27" width="11.875" style="8" hidden="1" customWidth="1"/>
    <col min="28" max="28" width="13.625" style="1" customWidth="1"/>
    <col min="29" max="29" width="11.875" style="8" hidden="1" customWidth="1"/>
    <col min="30" max="30" width="13.375" style="1" customWidth="1"/>
    <col min="31" max="31" width="11.875" style="8" hidden="1" customWidth="1"/>
    <col min="32" max="32" width="12.75390625" style="1" customWidth="1"/>
    <col min="33" max="33" width="11.875" style="1" hidden="1" customWidth="1"/>
    <col min="34" max="34" width="11.875" style="8" hidden="1" customWidth="1"/>
    <col min="35" max="35" width="12.125" style="1" customWidth="1"/>
    <col min="36" max="36" width="12.375" style="1" customWidth="1"/>
    <col min="37" max="16384" width="9.125" style="1" customWidth="1"/>
  </cols>
  <sheetData>
    <row r="1" spans="2:15" ht="12" customHeight="1">
      <c r="B1" s="2"/>
      <c r="C1" s="2"/>
      <c r="D1" s="1"/>
      <c r="E1" s="3"/>
      <c r="F1" s="4"/>
      <c r="G1" s="4"/>
      <c r="H1" s="5"/>
      <c r="I1" s="6"/>
      <c r="J1" s="6"/>
      <c r="K1" s="5"/>
      <c r="L1" s="7"/>
      <c r="N1" s="5" t="s">
        <v>93</v>
      </c>
      <c r="O1" s="7"/>
    </row>
    <row r="2" spans="1:15" ht="48" thickBot="1">
      <c r="A2" s="2"/>
      <c r="B2" s="10" t="s">
        <v>95</v>
      </c>
      <c r="C2" s="10"/>
      <c r="D2" s="1"/>
      <c r="E2" s="3"/>
      <c r="F2" s="4"/>
      <c r="G2" s="4"/>
      <c r="H2" s="11" t="s">
        <v>92</v>
      </c>
      <c r="I2" s="12"/>
      <c r="J2" s="12"/>
      <c r="K2" s="13"/>
      <c r="L2" s="14"/>
      <c r="N2" s="15"/>
      <c r="O2" s="16"/>
    </row>
    <row r="3" spans="1:32" ht="15.75" hidden="1" thickBot="1">
      <c r="A3" s="17"/>
      <c r="B3" s="17"/>
      <c r="C3" s="17"/>
      <c r="D3" s="18">
        <v>1090212</v>
      </c>
      <c r="E3" s="18">
        <v>-61500000</v>
      </c>
      <c r="H3" s="18">
        <v>-1878638.0299999714</v>
      </c>
      <c r="K3" s="18">
        <v>-0.1700000762939453</v>
      </c>
      <c r="N3" s="18">
        <v>0.34999990463256836</v>
      </c>
      <c r="Q3" s="18">
        <v>-0.4099998474121094</v>
      </c>
      <c r="U3" s="18">
        <v>0.2999999523162842</v>
      </c>
      <c r="X3" s="18">
        <v>-0.2200000286102295</v>
      </c>
      <c r="Z3" s="18">
        <v>0.1399998664855957</v>
      </c>
      <c r="AB3" s="18">
        <v>0.4700000286102295</v>
      </c>
      <c r="AD3" s="18">
        <v>0.3299999237060547</v>
      </c>
      <c r="AF3" s="18">
        <v>0.40000009536743164</v>
      </c>
    </row>
    <row r="4" spans="1:36" s="20" customFormat="1" ht="13.5" customHeight="1" thickBot="1">
      <c r="A4" s="164" t="s">
        <v>1</v>
      </c>
      <c r="B4" s="165" t="s">
        <v>0</v>
      </c>
      <c r="C4" s="166" t="s">
        <v>40</v>
      </c>
      <c r="D4" s="166" t="s">
        <v>41</v>
      </c>
      <c r="E4" s="167" t="s">
        <v>2</v>
      </c>
      <c r="F4" s="168"/>
      <c r="G4" s="168"/>
      <c r="H4" s="169" t="s">
        <v>3</v>
      </c>
      <c r="I4" s="170"/>
      <c r="J4" s="170"/>
      <c r="K4" s="167" t="s">
        <v>4</v>
      </c>
      <c r="L4" s="171"/>
      <c r="M4" s="172"/>
      <c r="N4" s="166" t="s">
        <v>5</v>
      </c>
      <c r="O4" s="171"/>
      <c r="P4" s="172"/>
      <c r="Q4" s="166" t="s">
        <v>6</v>
      </c>
      <c r="R4" s="171"/>
      <c r="S4" s="171"/>
      <c r="T4" s="172"/>
      <c r="U4" s="166" t="s">
        <v>7</v>
      </c>
      <c r="V4" s="171"/>
      <c r="W4" s="172"/>
      <c r="X4" s="166" t="s">
        <v>8</v>
      </c>
      <c r="Y4" s="172"/>
      <c r="Z4" s="166" t="s">
        <v>9</v>
      </c>
      <c r="AA4" s="172"/>
      <c r="AB4" s="166" t="s">
        <v>10</v>
      </c>
      <c r="AC4" s="172"/>
      <c r="AD4" s="166" t="s">
        <v>11</v>
      </c>
      <c r="AE4" s="172"/>
      <c r="AF4" s="173" t="s">
        <v>12</v>
      </c>
      <c r="AG4" s="174"/>
      <c r="AH4" s="172"/>
      <c r="AI4" s="173" t="s">
        <v>90</v>
      </c>
      <c r="AJ4" s="175" t="s">
        <v>91</v>
      </c>
    </row>
    <row r="5" spans="1:36" s="27" customFormat="1" ht="12.75">
      <c r="A5" s="180">
        <v>1</v>
      </c>
      <c r="B5" s="158" t="s">
        <v>42</v>
      </c>
      <c r="C5" s="159">
        <v>1027957430.39</v>
      </c>
      <c r="D5" s="159">
        <v>1071670081</v>
      </c>
      <c r="E5" s="160">
        <v>1190999797</v>
      </c>
      <c r="F5" s="161">
        <v>111.13493024725022</v>
      </c>
      <c r="G5" s="161">
        <v>111.13493024725022</v>
      </c>
      <c r="H5" s="160">
        <v>1134738827</v>
      </c>
      <c r="I5" s="162">
        <v>95.27615620575962</v>
      </c>
      <c r="J5" s="162">
        <v>95.27615620575962</v>
      </c>
      <c r="K5" s="160">
        <v>1164046466</v>
      </c>
      <c r="L5" s="48">
        <v>102.58276515288394</v>
      </c>
      <c r="M5" s="181">
        <v>102.58276515288394</v>
      </c>
      <c r="N5" s="163">
        <v>1156247237</v>
      </c>
      <c r="O5" s="53">
        <v>99.32998989062692</v>
      </c>
      <c r="P5" s="181">
        <v>99.32998989062692</v>
      </c>
      <c r="Q5" s="163">
        <v>1177488738</v>
      </c>
      <c r="R5" s="53">
        <v>101.83710717918022</v>
      </c>
      <c r="S5" s="53">
        <v>101.83710717918022</v>
      </c>
      <c r="T5" s="181">
        <v>101.83710717918022</v>
      </c>
      <c r="U5" s="163">
        <v>1199611884</v>
      </c>
      <c r="V5" s="53">
        <v>101.87884140935198</v>
      </c>
      <c r="W5" s="181">
        <v>101.87884140935198</v>
      </c>
      <c r="X5" s="163">
        <v>1229470866</v>
      </c>
      <c r="Y5" s="181">
        <v>102.48905353458468</v>
      </c>
      <c r="Z5" s="163">
        <v>1264867289</v>
      </c>
      <c r="AA5" s="181">
        <v>102.87899648367917</v>
      </c>
      <c r="AB5" s="163">
        <v>1299680375</v>
      </c>
      <c r="AC5" s="181">
        <v>102.75231135335336</v>
      </c>
      <c r="AD5" s="163">
        <v>1336539463</v>
      </c>
      <c r="AE5" s="181">
        <v>102.83601173865536</v>
      </c>
      <c r="AF5" s="163">
        <v>1373232672</v>
      </c>
      <c r="AG5" s="182"/>
      <c r="AH5" s="181">
        <v>102.74538911987217</v>
      </c>
      <c r="AI5" s="163">
        <v>1373232672</v>
      </c>
      <c r="AJ5" s="183">
        <v>1373232672</v>
      </c>
    </row>
    <row r="6" spans="1:36" s="27" customFormat="1" ht="13.5" customHeight="1">
      <c r="A6" s="184" t="s">
        <v>13</v>
      </c>
      <c r="B6" s="28" t="s">
        <v>14</v>
      </c>
      <c r="C6" s="29">
        <v>967896557.36</v>
      </c>
      <c r="D6" s="29">
        <v>950628733</v>
      </c>
      <c r="E6" s="30">
        <v>981383848</v>
      </c>
      <c r="F6" s="22">
        <v>103.23523936657615</v>
      </c>
      <c r="G6" s="22">
        <v>103.23523936657615</v>
      </c>
      <c r="H6" s="30">
        <v>1031142805</v>
      </c>
      <c r="I6" s="23">
        <v>105.07028489427512</v>
      </c>
      <c r="J6" s="23">
        <v>105.07028489427512</v>
      </c>
      <c r="K6" s="30">
        <v>1079642597</v>
      </c>
      <c r="L6" s="24">
        <v>104.70349904638087</v>
      </c>
      <c r="M6" s="181">
        <v>104.70349904638087</v>
      </c>
      <c r="N6" s="31">
        <v>1122747237</v>
      </c>
      <c r="O6" s="26">
        <v>103.99249160044026</v>
      </c>
      <c r="P6" s="181">
        <v>103.99249160044026</v>
      </c>
      <c r="Q6" s="31">
        <v>1153988738</v>
      </c>
      <c r="R6" s="26">
        <v>102.78259433383046</v>
      </c>
      <c r="S6" s="26">
        <v>102.78259433383046</v>
      </c>
      <c r="T6" s="181">
        <v>102.78259433383046</v>
      </c>
      <c r="U6" s="31">
        <v>1184611884</v>
      </c>
      <c r="V6" s="26">
        <v>102.65367806388419</v>
      </c>
      <c r="W6" s="181">
        <v>102.65367806388419</v>
      </c>
      <c r="X6" s="31">
        <v>1219470866</v>
      </c>
      <c r="Y6" s="181">
        <v>102.94265003338427</v>
      </c>
      <c r="Z6" s="31">
        <v>1254867289</v>
      </c>
      <c r="AA6" s="181">
        <v>102.902605054937</v>
      </c>
      <c r="AB6" s="31">
        <v>1289680375</v>
      </c>
      <c r="AC6" s="181">
        <v>102.7742444404414</v>
      </c>
      <c r="AD6" s="31">
        <v>1326539463</v>
      </c>
      <c r="AE6" s="181">
        <v>102.85800177427681</v>
      </c>
      <c r="AF6" s="31">
        <v>1363232672</v>
      </c>
      <c r="AG6" s="182"/>
      <c r="AH6" s="181">
        <v>102.76608499207536</v>
      </c>
      <c r="AI6" s="31">
        <v>1363232672</v>
      </c>
      <c r="AJ6" s="185">
        <v>1363232672</v>
      </c>
    </row>
    <row r="7" spans="1:36" s="36" customFormat="1" ht="13.5" customHeight="1">
      <c r="A7" s="186" t="s">
        <v>15</v>
      </c>
      <c r="B7" s="32" t="s">
        <v>16</v>
      </c>
      <c r="C7" s="33">
        <v>60060873.03</v>
      </c>
      <c r="D7" s="33">
        <v>121041348</v>
      </c>
      <c r="E7" s="34">
        <v>209615949</v>
      </c>
      <c r="F7" s="22">
        <v>173.1771435658499</v>
      </c>
      <c r="G7" s="22">
        <v>173.1771435658499</v>
      </c>
      <c r="H7" s="34">
        <v>103596022</v>
      </c>
      <c r="I7" s="23">
        <v>49.42182238241804</v>
      </c>
      <c r="J7" s="23">
        <v>49.42182238241804</v>
      </c>
      <c r="K7" s="34">
        <v>84403869</v>
      </c>
      <c r="L7" s="24">
        <v>81.47404443772948</v>
      </c>
      <c r="M7" s="181">
        <v>81.47404443772948</v>
      </c>
      <c r="N7" s="35">
        <v>33500000</v>
      </c>
      <c r="O7" s="26">
        <v>39.69012368378516</v>
      </c>
      <c r="P7" s="181">
        <v>39.69012368378516</v>
      </c>
      <c r="Q7" s="35">
        <v>23500000</v>
      </c>
      <c r="R7" s="26">
        <v>70.1492537313433</v>
      </c>
      <c r="S7" s="26">
        <v>70.1492537313433</v>
      </c>
      <c r="T7" s="181">
        <v>70.1492537313433</v>
      </c>
      <c r="U7" s="35">
        <v>15000000</v>
      </c>
      <c r="V7" s="26">
        <v>63.829787234042556</v>
      </c>
      <c r="W7" s="181">
        <v>63.829787234042556</v>
      </c>
      <c r="X7" s="35">
        <v>10000000</v>
      </c>
      <c r="Y7" s="181">
        <v>66.66666666666666</v>
      </c>
      <c r="Z7" s="35">
        <v>10000000</v>
      </c>
      <c r="AA7" s="181">
        <v>100</v>
      </c>
      <c r="AB7" s="35">
        <v>10000000</v>
      </c>
      <c r="AC7" s="181">
        <v>100</v>
      </c>
      <c r="AD7" s="35">
        <v>10000000</v>
      </c>
      <c r="AE7" s="181">
        <v>100</v>
      </c>
      <c r="AF7" s="35">
        <v>10000000</v>
      </c>
      <c r="AG7" s="187"/>
      <c r="AH7" s="181">
        <v>100</v>
      </c>
      <c r="AI7" s="35">
        <v>10000000</v>
      </c>
      <c r="AJ7" s="188">
        <v>10000000</v>
      </c>
    </row>
    <row r="8" spans="1:36" s="36" customFormat="1" ht="13.5" customHeight="1">
      <c r="A8" s="186" t="s">
        <v>17</v>
      </c>
      <c r="B8" s="32" t="s">
        <v>18</v>
      </c>
      <c r="C8" s="37">
        <v>12480500</v>
      </c>
      <c r="D8" s="37">
        <v>41480500</v>
      </c>
      <c r="E8" s="38">
        <v>60036369</v>
      </c>
      <c r="F8" s="22">
        <v>144.7339569195164</v>
      </c>
      <c r="G8" s="22">
        <v>144.7339569195164</v>
      </c>
      <c r="H8" s="38">
        <v>60000000</v>
      </c>
      <c r="I8" s="23">
        <v>99.93942171952472</v>
      </c>
      <c r="J8" s="23">
        <v>99.93942171952472</v>
      </c>
      <c r="K8" s="38">
        <v>60000000</v>
      </c>
      <c r="L8" s="24">
        <v>100</v>
      </c>
      <c r="M8" s="181">
        <v>100</v>
      </c>
      <c r="N8" s="39">
        <v>30000000</v>
      </c>
      <c r="O8" s="26">
        <v>50</v>
      </c>
      <c r="P8" s="181">
        <v>50</v>
      </c>
      <c r="Q8" s="39">
        <v>20000000</v>
      </c>
      <c r="R8" s="26">
        <v>66.66666666666666</v>
      </c>
      <c r="S8" s="26">
        <v>66.66666666666666</v>
      </c>
      <c r="T8" s="181">
        <v>66.66666666666666</v>
      </c>
      <c r="U8" s="39">
        <v>15000000</v>
      </c>
      <c r="V8" s="26">
        <v>75</v>
      </c>
      <c r="W8" s="181">
        <v>75</v>
      </c>
      <c r="X8" s="39">
        <v>10000000</v>
      </c>
      <c r="Y8" s="181">
        <v>66.66666666666666</v>
      </c>
      <c r="Z8" s="39">
        <v>10000000</v>
      </c>
      <c r="AA8" s="181">
        <v>100</v>
      </c>
      <c r="AB8" s="39">
        <v>10000000</v>
      </c>
      <c r="AC8" s="181">
        <v>100</v>
      </c>
      <c r="AD8" s="39">
        <v>10000000</v>
      </c>
      <c r="AE8" s="181">
        <v>100</v>
      </c>
      <c r="AF8" s="39">
        <v>10000000</v>
      </c>
      <c r="AG8" s="187"/>
      <c r="AH8" s="181">
        <v>100</v>
      </c>
      <c r="AI8" s="39">
        <v>10000000</v>
      </c>
      <c r="AJ8" s="189">
        <v>10000000</v>
      </c>
    </row>
    <row r="9" spans="1:36" s="27" customFormat="1" ht="38.25">
      <c r="A9" s="184">
        <v>2</v>
      </c>
      <c r="B9" s="40" t="s">
        <v>43</v>
      </c>
      <c r="C9" s="41">
        <v>916990845.76</v>
      </c>
      <c r="D9" s="41">
        <v>972135109</v>
      </c>
      <c r="E9" s="42">
        <v>961655544</v>
      </c>
      <c r="F9" s="22">
        <v>98.92200529504794</v>
      </c>
      <c r="G9" s="22">
        <v>98.92200529504794</v>
      </c>
      <c r="H9" s="42">
        <v>897115842</v>
      </c>
      <c r="I9" s="23">
        <v>93.28868819998193</v>
      </c>
      <c r="J9" s="23">
        <v>93.28868819998193</v>
      </c>
      <c r="K9" s="42">
        <v>908378684</v>
      </c>
      <c r="L9" s="24">
        <v>101.25545012948282</v>
      </c>
      <c r="M9" s="181">
        <v>101.25545012948282</v>
      </c>
      <c r="N9" s="43">
        <v>925527758</v>
      </c>
      <c r="O9" s="26">
        <v>101.88787719285584</v>
      </c>
      <c r="P9" s="181">
        <v>101.88787719285584</v>
      </c>
      <c r="Q9" s="43">
        <v>946437707</v>
      </c>
      <c r="R9" s="26">
        <v>102.25924601604439</v>
      </c>
      <c r="S9" s="26">
        <v>102.25924601604439</v>
      </c>
      <c r="T9" s="181">
        <v>102.25924601604439</v>
      </c>
      <c r="U9" s="43">
        <v>973103738</v>
      </c>
      <c r="V9" s="26">
        <v>102.81751570153787</v>
      </c>
      <c r="W9" s="181">
        <v>102.81751570153787</v>
      </c>
      <c r="X9" s="43">
        <v>1001254400</v>
      </c>
      <c r="Y9" s="181">
        <v>102.8928736886632</v>
      </c>
      <c r="Z9" s="43">
        <v>1026893606</v>
      </c>
      <c r="AA9" s="181">
        <v>102.56070844732368</v>
      </c>
      <c r="AB9" s="43">
        <v>1055724868</v>
      </c>
      <c r="AC9" s="181">
        <v>102.80761919555665</v>
      </c>
      <c r="AD9" s="43">
        <v>1089032416</v>
      </c>
      <c r="AE9" s="181">
        <v>103.15494585848856</v>
      </c>
      <c r="AF9" s="43">
        <v>1116653625</v>
      </c>
      <c r="AG9" s="182"/>
      <c r="AH9" s="181">
        <v>102.53630733063505</v>
      </c>
      <c r="AI9" s="43">
        <v>1116653625</v>
      </c>
      <c r="AJ9" s="190">
        <v>1116653625</v>
      </c>
    </row>
    <row r="10" spans="1:36" s="36" customFormat="1" ht="12.75">
      <c r="A10" s="186" t="s">
        <v>13</v>
      </c>
      <c r="B10" s="44" t="s">
        <v>44</v>
      </c>
      <c r="C10" s="45">
        <v>367486220</v>
      </c>
      <c r="D10" s="45">
        <v>361634666</v>
      </c>
      <c r="E10" s="46">
        <v>367304099</v>
      </c>
      <c r="F10" s="22">
        <v>101.5677238752327</v>
      </c>
      <c r="G10" s="22">
        <v>101.5677238752327</v>
      </c>
      <c r="H10" s="47">
        <v>367823718</v>
      </c>
      <c r="I10" s="23">
        <v>100.14146833683988</v>
      </c>
      <c r="J10" s="23">
        <v>100.14146833683988</v>
      </c>
      <c r="K10" s="47">
        <v>375180192.36</v>
      </c>
      <c r="L10" s="24">
        <v>102</v>
      </c>
      <c r="M10" s="181">
        <v>102</v>
      </c>
      <c r="N10" s="47">
        <v>382683796.20720005</v>
      </c>
      <c r="O10" s="26">
        <v>102</v>
      </c>
      <c r="P10" s="181">
        <v>102</v>
      </c>
      <c r="Q10" s="47">
        <v>390337472.1313441</v>
      </c>
      <c r="R10" s="26">
        <v>102</v>
      </c>
      <c r="S10" s="48"/>
      <c r="T10" s="181">
        <v>102</v>
      </c>
      <c r="U10" s="47">
        <v>398144221.573971</v>
      </c>
      <c r="V10" s="26">
        <v>102</v>
      </c>
      <c r="W10" s="181">
        <v>102</v>
      </c>
      <c r="X10" s="47">
        <v>406107106.0054504</v>
      </c>
      <c r="Y10" s="181">
        <v>102</v>
      </c>
      <c r="Z10" s="47">
        <v>414229248.12555945</v>
      </c>
      <c r="AA10" s="181">
        <v>102</v>
      </c>
      <c r="AB10" s="47">
        <v>422513833.08807063</v>
      </c>
      <c r="AC10" s="181">
        <v>102</v>
      </c>
      <c r="AD10" s="47">
        <v>430964109.74983203</v>
      </c>
      <c r="AE10" s="181">
        <v>102</v>
      </c>
      <c r="AF10" s="49">
        <v>439583391.9448287</v>
      </c>
      <c r="AG10" s="187"/>
      <c r="AH10" s="181">
        <v>102</v>
      </c>
      <c r="AI10" s="49">
        <v>439583392</v>
      </c>
      <c r="AJ10" s="191">
        <v>439583392</v>
      </c>
    </row>
    <row r="11" spans="1:36" s="36" customFormat="1" ht="12.75">
      <c r="A11" s="186" t="s">
        <v>15</v>
      </c>
      <c r="B11" s="44" t="s">
        <v>45</v>
      </c>
      <c r="C11" s="45">
        <v>59705933</v>
      </c>
      <c r="D11" s="45">
        <v>59679296</v>
      </c>
      <c r="E11" s="46">
        <v>59313056</v>
      </c>
      <c r="F11" s="22">
        <v>99.38631983862545</v>
      </c>
      <c r="G11" s="22">
        <v>99.38631983862545</v>
      </c>
      <c r="H11" s="46">
        <v>59757757</v>
      </c>
      <c r="I11" s="23">
        <v>100.7497522973694</v>
      </c>
      <c r="J11" s="23">
        <v>100.7497522973694</v>
      </c>
      <c r="K11" s="46">
        <v>60355334.57</v>
      </c>
      <c r="L11" s="24">
        <v>101</v>
      </c>
      <c r="M11" s="181">
        <v>101</v>
      </c>
      <c r="N11" s="46">
        <v>60958887.9157</v>
      </c>
      <c r="O11" s="26">
        <v>101</v>
      </c>
      <c r="P11" s="181">
        <v>101</v>
      </c>
      <c r="Q11" s="46">
        <v>61568476.794857</v>
      </c>
      <c r="R11" s="26">
        <v>101</v>
      </c>
      <c r="S11" s="50"/>
      <c r="T11" s="181">
        <v>101</v>
      </c>
      <c r="U11" s="46">
        <v>62184161.56280557</v>
      </c>
      <c r="V11" s="26">
        <v>101</v>
      </c>
      <c r="W11" s="181">
        <v>101</v>
      </c>
      <c r="X11" s="46">
        <v>62806003.17843363</v>
      </c>
      <c r="Y11" s="181">
        <v>101</v>
      </c>
      <c r="Z11" s="46">
        <v>63434063.21021796</v>
      </c>
      <c r="AA11" s="181">
        <v>101</v>
      </c>
      <c r="AB11" s="46">
        <v>64068403.84232014</v>
      </c>
      <c r="AC11" s="181">
        <v>101</v>
      </c>
      <c r="AD11" s="46">
        <v>64709087.88074334</v>
      </c>
      <c r="AE11" s="181">
        <v>101</v>
      </c>
      <c r="AF11" s="46">
        <v>65356178.75955077</v>
      </c>
      <c r="AG11" s="187"/>
      <c r="AH11" s="192"/>
      <c r="AI11" s="46">
        <v>65356179</v>
      </c>
      <c r="AJ11" s="193">
        <v>65356179</v>
      </c>
    </row>
    <row r="12" spans="1:36" s="36" customFormat="1" ht="13.5" customHeight="1">
      <c r="A12" s="186" t="s">
        <v>17</v>
      </c>
      <c r="B12" s="32" t="s">
        <v>19</v>
      </c>
      <c r="C12" s="45"/>
      <c r="D12" s="45"/>
      <c r="E12" s="47"/>
      <c r="F12" s="22"/>
      <c r="G12" s="22" t="e">
        <v>#DIV/0!</v>
      </c>
      <c r="H12" s="47"/>
      <c r="I12" s="23" t="e">
        <v>#DIV/0!</v>
      </c>
      <c r="J12" s="23" t="e">
        <v>#DIV/0!</v>
      </c>
      <c r="K12" s="52"/>
      <c r="L12" s="24" t="e">
        <v>#DIV/0!</v>
      </c>
      <c r="M12" s="181" t="e">
        <v>#DIV/0!</v>
      </c>
      <c r="N12" s="49"/>
      <c r="O12" s="26" t="e">
        <v>#DIV/0!</v>
      </c>
      <c r="P12" s="19"/>
      <c r="Q12" s="49"/>
      <c r="R12" s="26" t="e">
        <v>#DIV/0!</v>
      </c>
      <c r="S12" s="53"/>
      <c r="T12" s="181" t="e">
        <v>#DIV/0!</v>
      </c>
      <c r="U12" s="49"/>
      <c r="V12" s="26" t="e">
        <v>#DIV/0!</v>
      </c>
      <c r="W12" s="181" t="e">
        <v>#DIV/0!</v>
      </c>
      <c r="X12" s="49"/>
      <c r="Y12" s="181" t="e">
        <v>#DIV/0!</v>
      </c>
      <c r="Z12" s="49"/>
      <c r="AA12" s="181" t="e">
        <v>#DIV/0!</v>
      </c>
      <c r="AB12" s="49"/>
      <c r="AC12" s="181" t="e">
        <v>#DIV/0!</v>
      </c>
      <c r="AD12" s="49"/>
      <c r="AE12" s="181" t="e">
        <v>#DIV/0!</v>
      </c>
      <c r="AF12" s="49"/>
      <c r="AG12" s="187"/>
      <c r="AH12" s="192"/>
      <c r="AI12" s="49"/>
      <c r="AJ12" s="191"/>
    </row>
    <row r="13" spans="1:36" s="36" customFormat="1" ht="29.25" customHeight="1">
      <c r="A13" s="186" t="s">
        <v>20</v>
      </c>
      <c r="B13" s="32" t="s">
        <v>46</v>
      </c>
      <c r="C13" s="46"/>
      <c r="D13" s="46"/>
      <c r="E13" s="47"/>
      <c r="F13" s="22"/>
      <c r="G13" s="22" t="e">
        <v>#DIV/0!</v>
      </c>
      <c r="H13" s="47"/>
      <c r="I13" s="23" t="e">
        <v>#DIV/0!</v>
      </c>
      <c r="J13" s="23" t="e">
        <v>#DIV/0!</v>
      </c>
      <c r="K13" s="52"/>
      <c r="L13" s="24" t="e">
        <v>#DIV/0!</v>
      </c>
      <c r="M13" s="181" t="e">
        <v>#DIV/0!</v>
      </c>
      <c r="N13" s="49"/>
      <c r="O13" s="26" t="e">
        <v>#DIV/0!</v>
      </c>
      <c r="P13" s="181" t="e">
        <v>#DIV/0!</v>
      </c>
      <c r="Q13" s="49"/>
      <c r="R13" s="26" t="e">
        <v>#DIV/0!</v>
      </c>
      <c r="S13" s="53"/>
      <c r="T13" s="181" t="e">
        <v>#DIV/0!</v>
      </c>
      <c r="U13" s="49"/>
      <c r="V13" s="26" t="e">
        <v>#DIV/0!</v>
      </c>
      <c r="W13" s="181" t="e">
        <v>#DIV/0!</v>
      </c>
      <c r="X13" s="49"/>
      <c r="Y13" s="181" t="e">
        <v>#DIV/0!</v>
      </c>
      <c r="Z13" s="49"/>
      <c r="AA13" s="181" t="e">
        <v>#DIV/0!</v>
      </c>
      <c r="AB13" s="49"/>
      <c r="AC13" s="181" t="e">
        <v>#DIV/0!</v>
      </c>
      <c r="AD13" s="49"/>
      <c r="AE13" s="181" t="e">
        <v>#DIV/0!</v>
      </c>
      <c r="AF13" s="49"/>
      <c r="AG13" s="187"/>
      <c r="AH13" s="192"/>
      <c r="AI13" s="49"/>
      <c r="AJ13" s="191"/>
    </row>
    <row r="14" spans="1:36" s="36" customFormat="1" ht="25.5" customHeight="1">
      <c r="A14" s="186" t="s">
        <v>21</v>
      </c>
      <c r="B14" s="44" t="s">
        <v>47</v>
      </c>
      <c r="C14" s="46">
        <v>213159051</v>
      </c>
      <c r="D14" s="46">
        <v>213159051</v>
      </c>
      <c r="E14" s="47">
        <v>43132050</v>
      </c>
      <c r="F14" s="22">
        <v>20.234679126996113</v>
      </c>
      <c r="G14" s="22">
        <v>20.234679126996113</v>
      </c>
      <c r="H14" s="47">
        <v>10769051</v>
      </c>
      <c r="I14" s="23">
        <v>24.967630798907077</v>
      </c>
      <c r="J14" s="23">
        <v>24.967630798907077</v>
      </c>
      <c r="K14" s="47">
        <v>3037303</v>
      </c>
      <c r="L14" s="24">
        <v>28.203998662463388</v>
      </c>
      <c r="M14" s="181">
        <v>28.203998662463388</v>
      </c>
      <c r="N14" s="49">
        <v>1553378</v>
      </c>
      <c r="O14" s="26">
        <v>51.143333411253344</v>
      </c>
      <c r="P14" s="19"/>
      <c r="Q14" s="49">
        <v>184800</v>
      </c>
      <c r="R14" s="26"/>
      <c r="S14" s="53"/>
      <c r="T14" s="181"/>
      <c r="U14" s="49"/>
      <c r="V14" s="26"/>
      <c r="W14" s="181"/>
      <c r="X14" s="49"/>
      <c r="Y14" s="181" t="s">
        <v>48</v>
      </c>
      <c r="Z14" s="49"/>
      <c r="AA14" s="181" t="e">
        <v>#DIV/0!</v>
      </c>
      <c r="AB14" s="49"/>
      <c r="AC14" s="181" t="e">
        <v>#DIV/0!</v>
      </c>
      <c r="AD14" s="49"/>
      <c r="AE14" s="181" t="e">
        <v>#DIV/0!</v>
      </c>
      <c r="AF14" s="49"/>
      <c r="AG14" s="187"/>
      <c r="AH14" s="192"/>
      <c r="AI14" s="49"/>
      <c r="AJ14" s="191"/>
    </row>
    <row r="15" spans="1:36" s="36" customFormat="1" ht="24.75" customHeight="1">
      <c r="A15" s="186">
        <v>3</v>
      </c>
      <c r="B15" s="32" t="s">
        <v>22</v>
      </c>
      <c r="C15" s="54">
        <v>110966584.63</v>
      </c>
      <c r="D15" s="54">
        <v>99534972</v>
      </c>
      <c r="E15" s="55">
        <v>229344253</v>
      </c>
      <c r="F15" s="22">
        <v>230.41575075743225</v>
      </c>
      <c r="G15" s="22">
        <v>230.41575075743225</v>
      </c>
      <c r="H15" s="55">
        <v>237622985</v>
      </c>
      <c r="I15" s="23">
        <v>103.609740332146</v>
      </c>
      <c r="J15" s="23">
        <v>103.609740332146</v>
      </c>
      <c r="K15" s="55">
        <v>255667782</v>
      </c>
      <c r="L15" s="24">
        <v>107.59387691388524</v>
      </c>
      <c r="M15" s="181">
        <v>107.59387691388524</v>
      </c>
      <c r="N15" s="56">
        <v>230719479</v>
      </c>
      <c r="O15" s="26">
        <v>90.24190580258565</v>
      </c>
      <c r="P15" s="181">
        <v>90.24190580258565</v>
      </c>
      <c r="Q15" s="56">
        <v>231051031</v>
      </c>
      <c r="R15" s="26">
        <v>100.14370351451774</v>
      </c>
      <c r="S15" s="57"/>
      <c r="T15" s="181">
        <v>100.14370351451774</v>
      </c>
      <c r="U15" s="56">
        <v>226508146</v>
      </c>
      <c r="V15" s="26">
        <v>98.03381747298934</v>
      </c>
      <c r="W15" s="181">
        <v>98.03381747298934</v>
      </c>
      <c r="X15" s="56">
        <v>228216466</v>
      </c>
      <c r="Y15" s="181">
        <v>100.75419804107177</v>
      </c>
      <c r="Z15" s="56">
        <v>237973683</v>
      </c>
      <c r="AA15" s="181">
        <v>104.27542200219682</v>
      </c>
      <c r="AB15" s="56">
        <v>243955507</v>
      </c>
      <c r="AC15" s="192"/>
      <c r="AD15" s="56">
        <v>247507047</v>
      </c>
      <c r="AE15" s="181">
        <v>101.45581464574194</v>
      </c>
      <c r="AF15" s="56">
        <v>256579047</v>
      </c>
      <c r="AG15" s="187"/>
      <c r="AH15" s="192"/>
      <c r="AI15" s="56">
        <v>256579047</v>
      </c>
      <c r="AJ15" s="194">
        <v>256579047</v>
      </c>
    </row>
    <row r="16" spans="1:36" s="36" customFormat="1" ht="27.75" customHeight="1">
      <c r="A16" s="186">
        <v>4</v>
      </c>
      <c r="B16" s="32" t="s">
        <v>23</v>
      </c>
      <c r="C16" s="58">
        <v>180324360.56</v>
      </c>
      <c r="D16" s="58">
        <v>180324360.56</v>
      </c>
      <c r="E16" s="59">
        <v>124959184.82999998</v>
      </c>
      <c r="F16" s="22">
        <v>69.29689612758774</v>
      </c>
      <c r="G16" s="22">
        <v>69.29689612758774</v>
      </c>
      <c r="H16" s="59">
        <v>6973275.829999983</v>
      </c>
      <c r="I16" s="23">
        <v>5.580442797771719</v>
      </c>
      <c r="J16" s="23">
        <v>5.580442797771719</v>
      </c>
      <c r="K16" s="59">
        <v>5094637.799999982</v>
      </c>
      <c r="L16" s="24">
        <v>73.05946192580187</v>
      </c>
      <c r="M16" s="181">
        <v>73.05946192580187</v>
      </c>
      <c r="N16" s="60">
        <v>5094637.63</v>
      </c>
      <c r="O16" s="26">
        <v>99.99999666315853</v>
      </c>
      <c r="P16" s="19"/>
      <c r="Q16" s="60">
        <v>5094637.979999989</v>
      </c>
      <c r="R16" s="26">
        <v>100.00000686996837</v>
      </c>
      <c r="S16" s="26"/>
      <c r="T16" s="181">
        <v>100.00000686996837</v>
      </c>
      <c r="U16" s="60">
        <v>5094637.569999993</v>
      </c>
      <c r="V16" s="26">
        <v>99.99999195232324</v>
      </c>
      <c r="W16" s="181">
        <v>99.99999195232324</v>
      </c>
      <c r="X16" s="60">
        <v>5094637.87</v>
      </c>
      <c r="Y16" s="181">
        <v>100.00000588854472</v>
      </c>
      <c r="Z16" s="60">
        <v>5094637.650000006</v>
      </c>
      <c r="AA16" s="181">
        <v>99.99999568173432</v>
      </c>
      <c r="AB16" s="60">
        <v>5094637.790000021</v>
      </c>
      <c r="AC16" s="192"/>
      <c r="AD16" s="60">
        <v>5094638.26000002</v>
      </c>
      <c r="AE16" s="192"/>
      <c r="AF16" s="60">
        <v>5094638.590000033</v>
      </c>
      <c r="AG16" s="60">
        <v>0</v>
      </c>
      <c r="AH16" s="60">
        <v>5094638.990000039</v>
      </c>
      <c r="AI16" s="60">
        <v>5094638.990000039</v>
      </c>
      <c r="AJ16" s="195">
        <v>5094638.990000039</v>
      </c>
    </row>
    <row r="17" spans="1:36" s="36" customFormat="1" ht="40.5" customHeight="1">
      <c r="A17" s="186" t="s">
        <v>13</v>
      </c>
      <c r="B17" s="61" t="s">
        <v>24</v>
      </c>
      <c r="C17" s="62">
        <v>55365175.73000002</v>
      </c>
      <c r="D17" s="62">
        <v>158326087</v>
      </c>
      <c r="E17" s="63">
        <v>56485909</v>
      </c>
      <c r="F17" s="22">
        <v>35.67694374964247</v>
      </c>
      <c r="G17" s="22">
        <v>35.67694374964247</v>
      </c>
      <c r="H17" s="63"/>
      <c r="I17" s="23">
        <v>0</v>
      </c>
      <c r="J17" s="23">
        <v>0</v>
      </c>
      <c r="K17" s="63"/>
      <c r="L17" s="24" t="e">
        <v>#DIV/0!</v>
      </c>
      <c r="M17" s="181" t="e">
        <v>#DIV/0!</v>
      </c>
      <c r="N17" s="64"/>
      <c r="O17" s="26" t="e">
        <v>#DIV/0!</v>
      </c>
      <c r="P17" s="181" t="e">
        <v>#DIV/0!</v>
      </c>
      <c r="Q17" s="64"/>
      <c r="R17" s="26" t="e">
        <v>#DIV/0!</v>
      </c>
      <c r="S17" s="65"/>
      <c r="T17" s="181" t="e">
        <v>#DIV/0!</v>
      </c>
      <c r="U17" s="64"/>
      <c r="V17" s="26" t="e">
        <v>#DIV/0!</v>
      </c>
      <c r="W17" s="181" t="e">
        <v>#DIV/0!</v>
      </c>
      <c r="X17" s="64"/>
      <c r="Y17" s="181" t="e">
        <v>#DIV/0!</v>
      </c>
      <c r="Z17" s="64"/>
      <c r="AA17" s="192"/>
      <c r="AB17" s="64"/>
      <c r="AC17" s="192"/>
      <c r="AD17" s="64"/>
      <c r="AE17" s="192"/>
      <c r="AF17" s="64"/>
      <c r="AG17" s="187"/>
      <c r="AH17" s="192"/>
      <c r="AI17" s="64"/>
      <c r="AJ17" s="196"/>
    </row>
    <row r="18" spans="1:36" s="36" customFormat="1" ht="25.5">
      <c r="A18" s="186">
        <v>5</v>
      </c>
      <c r="B18" s="61" t="s">
        <v>94</v>
      </c>
      <c r="C18" s="66"/>
      <c r="D18" s="66"/>
      <c r="E18" s="67">
        <v>61500000</v>
      </c>
      <c r="F18" s="22"/>
      <c r="G18" s="22" t="e">
        <v>#DIV/0!</v>
      </c>
      <c r="H18" s="63">
        <v>1878638</v>
      </c>
      <c r="I18" s="23">
        <v>3.0546959349593497</v>
      </c>
      <c r="J18" s="23">
        <v>3.0546959349593497</v>
      </c>
      <c r="K18" s="68"/>
      <c r="L18" s="24">
        <v>0</v>
      </c>
      <c r="M18" s="181">
        <v>0</v>
      </c>
      <c r="N18" s="69"/>
      <c r="O18" s="26" t="e">
        <v>#DIV/0!</v>
      </c>
      <c r="P18" s="19"/>
      <c r="Q18" s="69"/>
      <c r="R18" s="26" t="e">
        <v>#DIV/0!</v>
      </c>
      <c r="S18" s="57"/>
      <c r="T18" s="181" t="e">
        <v>#DIV/0!</v>
      </c>
      <c r="U18" s="69"/>
      <c r="V18" s="26" t="e">
        <v>#DIV/0!</v>
      </c>
      <c r="W18" s="181" t="e">
        <v>#DIV/0!</v>
      </c>
      <c r="X18" s="69"/>
      <c r="Y18" s="19"/>
      <c r="Z18" s="69"/>
      <c r="AA18" s="192"/>
      <c r="AB18" s="69"/>
      <c r="AC18" s="192"/>
      <c r="AD18" s="69"/>
      <c r="AE18" s="192"/>
      <c r="AF18" s="69"/>
      <c r="AG18" s="187"/>
      <c r="AH18" s="192"/>
      <c r="AI18" s="69"/>
      <c r="AJ18" s="197"/>
    </row>
    <row r="19" spans="1:36" s="36" customFormat="1" ht="13.5" customHeight="1">
      <c r="A19" s="186">
        <v>6</v>
      </c>
      <c r="B19" s="32" t="s">
        <v>25</v>
      </c>
      <c r="C19" s="66">
        <v>291290945.19</v>
      </c>
      <c r="D19" s="66">
        <v>279859332.56</v>
      </c>
      <c r="E19" s="67">
        <v>354303437.83</v>
      </c>
      <c r="F19" s="22">
        <v>126.60054413373534</v>
      </c>
      <c r="G19" s="22">
        <v>126.60054413373534</v>
      </c>
      <c r="H19" s="67">
        <v>244596260.82999998</v>
      </c>
      <c r="I19" s="23">
        <v>69.03581357496195</v>
      </c>
      <c r="J19" s="23">
        <v>69.03581357496195</v>
      </c>
      <c r="K19" s="67">
        <v>260762419.79999998</v>
      </c>
      <c r="L19" s="24">
        <v>106.60932383640804</v>
      </c>
      <c r="M19" s="181">
        <v>106.60932383640804</v>
      </c>
      <c r="N19" s="69">
        <v>235814116.63</v>
      </c>
      <c r="O19" s="26">
        <v>90.4325542042696</v>
      </c>
      <c r="P19" s="181">
        <v>90.4325542042696</v>
      </c>
      <c r="Q19" s="69">
        <v>236145668.98</v>
      </c>
      <c r="R19" s="26">
        <v>100.14059902551136</v>
      </c>
      <c r="S19" s="57"/>
      <c r="T19" s="181">
        <v>100.14059902551136</v>
      </c>
      <c r="U19" s="69">
        <v>231602783.57</v>
      </c>
      <c r="V19" s="26">
        <v>98.07623598195877</v>
      </c>
      <c r="W19" s="181">
        <v>98.07623598195877</v>
      </c>
      <c r="X19" s="69">
        <v>233311103.87</v>
      </c>
      <c r="Y19" s="181">
        <v>100.7376078446327</v>
      </c>
      <c r="Z19" s="69">
        <v>243068320.65</v>
      </c>
      <c r="AA19" s="192"/>
      <c r="AB19" s="69">
        <v>249050144.79000002</v>
      </c>
      <c r="AC19" s="192"/>
      <c r="AD19" s="69">
        <v>252601685.26000002</v>
      </c>
      <c r="AE19" s="192"/>
      <c r="AF19" s="69">
        <v>261673685.59000003</v>
      </c>
      <c r="AG19" s="187"/>
      <c r="AH19" s="192"/>
      <c r="AI19" s="69">
        <v>261673685.99000004</v>
      </c>
      <c r="AJ19" s="197">
        <v>261673685.99000004</v>
      </c>
    </row>
    <row r="20" spans="1:36" s="27" customFormat="1" ht="19.5" customHeight="1">
      <c r="A20" s="184">
        <v>7</v>
      </c>
      <c r="B20" s="28" t="s">
        <v>26</v>
      </c>
      <c r="C20" s="70">
        <v>131294575</v>
      </c>
      <c r="D20" s="70">
        <v>134878751</v>
      </c>
      <c r="E20" s="70">
        <v>86915000</v>
      </c>
      <c r="F20" s="22">
        <v>64.43935709339421</v>
      </c>
      <c r="G20" s="22">
        <v>64.43935709339421</v>
      </c>
      <c r="H20" s="70">
        <v>53924789.03</v>
      </c>
      <c r="I20" s="23">
        <v>62.04313298049819</v>
      </c>
      <c r="J20" s="23">
        <v>62.04313298049819</v>
      </c>
      <c r="K20" s="70">
        <v>72393831.17</v>
      </c>
      <c r="L20" s="24">
        <v>134.24963263133975</v>
      </c>
      <c r="M20" s="181">
        <v>134.24963263133975</v>
      </c>
      <c r="N20" s="70">
        <v>91713069.65</v>
      </c>
      <c r="O20" s="26">
        <v>126.68630485190553</v>
      </c>
      <c r="P20" s="19"/>
      <c r="Q20" s="70">
        <v>94271268.41</v>
      </c>
      <c r="R20" s="26">
        <v>102.78935027446221</v>
      </c>
      <c r="S20" s="71"/>
      <c r="T20" s="181">
        <v>102.78935027446221</v>
      </c>
      <c r="U20" s="70">
        <v>90246706.7</v>
      </c>
      <c r="V20" s="72"/>
      <c r="W20" s="181">
        <v>95.73087136952844</v>
      </c>
      <c r="X20" s="70">
        <v>86275719.22</v>
      </c>
      <c r="Y20" s="19"/>
      <c r="Z20" s="70">
        <v>86953628.86</v>
      </c>
      <c r="AA20" s="181"/>
      <c r="AB20" s="70">
        <v>39857645.53</v>
      </c>
      <c r="AC20" s="181"/>
      <c r="AD20" s="70">
        <v>20307342.67</v>
      </c>
      <c r="AE20" s="181"/>
      <c r="AF20" s="73">
        <v>19258702.6</v>
      </c>
      <c r="AG20" s="73">
        <v>0</v>
      </c>
      <c r="AH20" s="73">
        <v>0</v>
      </c>
      <c r="AI20" s="73">
        <v>2569948</v>
      </c>
      <c r="AJ20" s="198">
        <v>2456790</v>
      </c>
    </row>
    <row r="21" spans="1:36" s="78" customFormat="1" ht="26.25" customHeight="1">
      <c r="A21" s="199" t="s">
        <v>13</v>
      </c>
      <c r="B21" s="245" t="s">
        <v>27</v>
      </c>
      <c r="C21" s="74">
        <v>113500000</v>
      </c>
      <c r="D21" s="74">
        <v>113500000</v>
      </c>
      <c r="E21" s="75">
        <v>61500000</v>
      </c>
      <c r="F21" s="22">
        <v>54.18502202643172</v>
      </c>
      <c r="G21" s="22">
        <v>54.18502202643172</v>
      </c>
      <c r="H21" s="75">
        <v>26400000</v>
      </c>
      <c r="I21" s="23">
        <v>42.926829268292686</v>
      </c>
      <c r="J21" s="23">
        <v>42.926829268292686</v>
      </c>
      <c r="K21" s="75">
        <v>45800000</v>
      </c>
      <c r="L21" s="24">
        <v>173.4848484848485</v>
      </c>
      <c r="M21" s="181">
        <v>173.4848484848485</v>
      </c>
      <c r="N21" s="76">
        <v>68177000</v>
      </c>
      <c r="O21" s="26">
        <v>148.85807860262008</v>
      </c>
      <c r="P21" s="181">
        <v>148.85807860262008</v>
      </c>
      <c r="Q21" s="76">
        <v>75177000</v>
      </c>
      <c r="R21" s="26">
        <v>110.26739222905084</v>
      </c>
      <c r="S21" s="53"/>
      <c r="T21" s="181">
        <v>110.26739222905084</v>
      </c>
      <c r="U21" s="76">
        <v>75177000</v>
      </c>
      <c r="V21" s="77"/>
      <c r="W21" s="181">
        <v>100</v>
      </c>
      <c r="X21" s="76">
        <v>75177000</v>
      </c>
      <c r="Y21" s="181">
        <v>100</v>
      </c>
      <c r="Z21" s="76">
        <v>79977000</v>
      </c>
      <c r="AA21" s="200"/>
      <c r="AB21" s="76">
        <v>36377000</v>
      </c>
      <c r="AC21" s="200"/>
      <c r="AD21" s="76">
        <v>18377000</v>
      </c>
      <c r="AE21" s="200"/>
      <c r="AF21" s="76">
        <v>18377000</v>
      </c>
      <c r="AG21" s="201"/>
      <c r="AH21" s="200"/>
      <c r="AI21" s="202">
        <v>2377000</v>
      </c>
      <c r="AJ21" s="203">
        <v>2376375</v>
      </c>
    </row>
    <row r="22" spans="1:36" s="36" customFormat="1" ht="20.25" customHeight="1">
      <c r="A22" s="186" t="s">
        <v>15</v>
      </c>
      <c r="B22" s="32" t="s">
        <v>28</v>
      </c>
      <c r="C22" s="79">
        <v>17794575</v>
      </c>
      <c r="D22" s="79">
        <v>21378751</v>
      </c>
      <c r="E22" s="80">
        <v>25415000</v>
      </c>
      <c r="F22" s="22">
        <v>118.87972314191788</v>
      </c>
      <c r="G22" s="22">
        <v>118.87972314191788</v>
      </c>
      <c r="H22" s="80">
        <v>27524789.029999997</v>
      </c>
      <c r="I22" s="23">
        <v>108.30135364941962</v>
      </c>
      <c r="J22" s="23">
        <v>108.30135364941962</v>
      </c>
      <c r="K22" s="63">
        <v>26593831.17</v>
      </c>
      <c r="L22" s="24">
        <v>96.61774751848118</v>
      </c>
      <c r="M22" s="181">
        <v>96.61774751848118</v>
      </c>
      <c r="N22" s="64">
        <v>23536069.650000002</v>
      </c>
      <c r="O22" s="26">
        <v>88.50198942584323</v>
      </c>
      <c r="P22" s="19"/>
      <c r="Q22" s="64">
        <v>19094268.41</v>
      </c>
      <c r="R22" s="26">
        <v>81.12768484265595</v>
      </c>
      <c r="S22" s="65"/>
      <c r="T22" s="181">
        <v>81.12768484265595</v>
      </c>
      <c r="U22" s="64">
        <v>15069706.699999997</v>
      </c>
      <c r="V22" s="81"/>
      <c r="W22" s="181">
        <v>78.9226713295165</v>
      </c>
      <c r="X22" s="64">
        <v>11098719.219999999</v>
      </c>
      <c r="Y22" s="19"/>
      <c r="Z22" s="64">
        <v>6976628.859999999</v>
      </c>
      <c r="AA22" s="192"/>
      <c r="AB22" s="64">
        <v>3480645.53</v>
      </c>
      <c r="AC22" s="192"/>
      <c r="AD22" s="64">
        <v>1930342.67</v>
      </c>
      <c r="AE22" s="192"/>
      <c r="AF22" s="64">
        <v>881702.6</v>
      </c>
      <c r="AG22" s="187"/>
      <c r="AH22" s="192"/>
      <c r="AI22" s="176">
        <v>192948</v>
      </c>
      <c r="AJ22" s="204">
        <v>80415</v>
      </c>
    </row>
    <row r="23" spans="1:36" s="36" customFormat="1" ht="20.25" customHeight="1">
      <c r="A23" s="186"/>
      <c r="B23" s="32" t="s">
        <v>49</v>
      </c>
      <c r="C23" s="82">
        <v>17413585</v>
      </c>
      <c r="D23" s="82"/>
      <c r="E23" s="83">
        <v>24915000</v>
      </c>
      <c r="F23" s="22"/>
      <c r="G23" s="22"/>
      <c r="H23" s="80">
        <v>27524789.029999997</v>
      </c>
      <c r="I23" s="23">
        <v>110.47477033915311</v>
      </c>
      <c r="J23" s="23">
        <v>110.47477033915311</v>
      </c>
      <c r="K23" s="63">
        <v>26593831.17</v>
      </c>
      <c r="L23" s="24">
        <v>96.61774751848118</v>
      </c>
      <c r="M23" s="181">
        <v>96.61774751848118</v>
      </c>
      <c r="N23" s="64">
        <v>23536069.650000002</v>
      </c>
      <c r="O23" s="26">
        <v>88.50198942584323</v>
      </c>
      <c r="P23" s="19"/>
      <c r="Q23" s="64">
        <v>19094268.41</v>
      </c>
      <c r="R23" s="26">
        <v>81.12768484265595</v>
      </c>
      <c r="S23" s="65"/>
      <c r="T23" s="181">
        <v>81.12768484265595</v>
      </c>
      <c r="U23" s="64">
        <v>15069706.699999997</v>
      </c>
      <c r="V23" s="81"/>
      <c r="W23" s="181">
        <v>78.9226713295165</v>
      </c>
      <c r="X23" s="64">
        <v>11098719.219999999</v>
      </c>
      <c r="Y23" s="19"/>
      <c r="Z23" s="64">
        <v>6976628.859999999</v>
      </c>
      <c r="AA23" s="192"/>
      <c r="AB23" s="64">
        <v>3480645.53</v>
      </c>
      <c r="AC23" s="192"/>
      <c r="AD23" s="64">
        <v>1930342.67</v>
      </c>
      <c r="AE23" s="192"/>
      <c r="AF23" s="64">
        <v>881702.6</v>
      </c>
      <c r="AG23" s="187"/>
      <c r="AH23" s="192"/>
      <c r="AI23" s="177">
        <v>192948</v>
      </c>
      <c r="AJ23" s="205">
        <v>80415</v>
      </c>
    </row>
    <row r="24" spans="1:36" s="36" customFormat="1" ht="13.5" customHeight="1">
      <c r="A24" s="186">
        <v>8</v>
      </c>
      <c r="B24" s="32" t="s">
        <v>29</v>
      </c>
      <c r="C24" s="66"/>
      <c r="D24" s="66"/>
      <c r="E24" s="67"/>
      <c r="F24" s="22" t="e">
        <v>#DIV/0!</v>
      </c>
      <c r="G24" s="22" t="e">
        <v>#DIV/0!</v>
      </c>
      <c r="H24" s="67"/>
      <c r="I24" s="23" t="e">
        <v>#DIV/0!</v>
      </c>
      <c r="J24" s="23" t="e">
        <v>#DIV/0!</v>
      </c>
      <c r="K24" s="68"/>
      <c r="L24" s="24" t="e">
        <v>#DIV/0!</v>
      </c>
      <c r="M24" s="181" t="e">
        <v>#DIV/0!</v>
      </c>
      <c r="N24" s="69"/>
      <c r="O24" s="26" t="e">
        <v>#DIV/0!</v>
      </c>
      <c r="P24" s="181" t="e">
        <v>#DIV/0!</v>
      </c>
      <c r="Q24" s="206"/>
      <c r="R24" s="26" t="e">
        <v>#DIV/0!</v>
      </c>
      <c r="S24" s="57"/>
      <c r="T24" s="181" t="e">
        <v>#DIV/0!</v>
      </c>
      <c r="U24" s="69"/>
      <c r="V24" s="84"/>
      <c r="W24" s="181" t="e">
        <v>#DIV/0!</v>
      </c>
      <c r="X24" s="69"/>
      <c r="Y24" s="181" t="e">
        <v>#DIV/0!</v>
      </c>
      <c r="Z24" s="69"/>
      <c r="AA24" s="192"/>
      <c r="AB24" s="69"/>
      <c r="AC24" s="192"/>
      <c r="AD24" s="69"/>
      <c r="AE24" s="192"/>
      <c r="AF24" s="69"/>
      <c r="AG24" s="187"/>
      <c r="AH24" s="192"/>
      <c r="AI24" s="187"/>
      <c r="AJ24" s="207"/>
    </row>
    <row r="25" spans="1:36" s="36" customFormat="1" ht="13.5" customHeight="1">
      <c r="A25" s="186">
        <v>9</v>
      </c>
      <c r="B25" s="32" t="s">
        <v>30</v>
      </c>
      <c r="C25" s="66">
        <v>159996370.19</v>
      </c>
      <c r="D25" s="66">
        <v>144980581.56</v>
      </c>
      <c r="E25" s="67">
        <v>267388437.82999998</v>
      </c>
      <c r="F25" s="22">
        <v>184.43051817897535</v>
      </c>
      <c r="G25" s="22">
        <v>184.43051817897535</v>
      </c>
      <c r="H25" s="67">
        <v>190671471.79999998</v>
      </c>
      <c r="I25" s="23">
        <v>71.30879455648899</v>
      </c>
      <c r="J25" s="23">
        <v>71.30879455648899</v>
      </c>
      <c r="K25" s="67">
        <v>188368588.63</v>
      </c>
      <c r="L25" s="24">
        <v>98.79222457966048</v>
      </c>
      <c r="M25" s="181">
        <v>98.79222457966048</v>
      </c>
      <c r="N25" s="67">
        <v>144101046.98</v>
      </c>
      <c r="O25" s="26">
        <v>76.49950983231508</v>
      </c>
      <c r="P25" s="19"/>
      <c r="Q25" s="69">
        <v>141874400.57</v>
      </c>
      <c r="R25" s="26">
        <v>98.45480205962069</v>
      </c>
      <c r="S25" s="57"/>
      <c r="T25" s="181">
        <v>98.45480205962069</v>
      </c>
      <c r="U25" s="69">
        <v>141356076.87</v>
      </c>
      <c r="V25" s="84"/>
      <c r="W25" s="181">
        <v>99.63466016566939</v>
      </c>
      <c r="X25" s="69">
        <v>147035384.65</v>
      </c>
      <c r="Y25" s="19"/>
      <c r="Z25" s="69">
        <v>156114691.79000002</v>
      </c>
      <c r="AA25" s="192"/>
      <c r="AB25" s="69">
        <v>209192499.26000002</v>
      </c>
      <c r="AC25" s="192"/>
      <c r="AD25" s="69">
        <v>232294342.59000003</v>
      </c>
      <c r="AE25" s="192"/>
      <c r="AF25" s="69">
        <v>242414982.99000004</v>
      </c>
      <c r="AG25" s="69">
        <v>0</v>
      </c>
      <c r="AH25" s="69">
        <v>0</v>
      </c>
      <c r="AI25" s="69">
        <v>259103737.99000004</v>
      </c>
      <c r="AJ25" s="197">
        <v>259216895.99000004</v>
      </c>
    </row>
    <row r="26" spans="1:36" s="27" customFormat="1" ht="19.5" customHeight="1">
      <c r="A26" s="184">
        <v>10</v>
      </c>
      <c r="B26" s="21" t="s">
        <v>70</v>
      </c>
      <c r="C26" s="85">
        <v>175037185.36</v>
      </c>
      <c r="D26" s="85">
        <v>261892096</v>
      </c>
      <c r="E26" s="86">
        <v>350415162</v>
      </c>
      <c r="F26" s="22">
        <v>133.8013507669968</v>
      </c>
      <c r="G26" s="22">
        <v>133.8013507669968</v>
      </c>
      <c r="H26" s="86">
        <v>203203171</v>
      </c>
      <c r="I26" s="23">
        <v>57.98926331846337</v>
      </c>
      <c r="J26" s="23">
        <v>57.98926331846337</v>
      </c>
      <c r="K26" s="86">
        <v>189416989</v>
      </c>
      <c r="L26" s="24">
        <v>93.21556748737942</v>
      </c>
      <c r="M26" s="181">
        <v>93.21556748737942</v>
      </c>
      <c r="N26" s="87">
        <v>139006409</v>
      </c>
      <c r="O26" s="26">
        <v>73.38645267980688</v>
      </c>
      <c r="P26" s="181">
        <v>73.38645267980688</v>
      </c>
      <c r="Q26" s="87">
        <v>136779763</v>
      </c>
      <c r="R26" s="26">
        <v>98.39817025990507</v>
      </c>
      <c r="S26" s="26"/>
      <c r="T26" s="181">
        <v>98.39817025990507</v>
      </c>
      <c r="U26" s="87">
        <v>136261439</v>
      </c>
      <c r="V26" s="88"/>
      <c r="W26" s="181">
        <v>99.6210521288884</v>
      </c>
      <c r="X26" s="87">
        <v>141940747</v>
      </c>
      <c r="Y26" s="181">
        <v>104.16794952532389</v>
      </c>
      <c r="Z26" s="87">
        <v>151020054</v>
      </c>
      <c r="AA26" s="181"/>
      <c r="AB26" s="87">
        <v>204097861</v>
      </c>
      <c r="AC26" s="181"/>
      <c r="AD26" s="87">
        <v>227199704</v>
      </c>
      <c r="AE26" s="181"/>
      <c r="AF26" s="87">
        <v>237320344</v>
      </c>
      <c r="AG26" s="182"/>
      <c r="AH26" s="181"/>
      <c r="AI26" s="87">
        <v>254009099</v>
      </c>
      <c r="AJ26" s="208">
        <v>254122257</v>
      </c>
    </row>
    <row r="27" spans="1:36" s="36" customFormat="1" ht="13.5" customHeight="1">
      <c r="A27" s="186" t="s">
        <v>13</v>
      </c>
      <c r="B27" s="32" t="s">
        <v>31</v>
      </c>
      <c r="C27" s="62">
        <v>173508673</v>
      </c>
      <c r="D27" s="62">
        <v>173508673</v>
      </c>
      <c r="E27" s="63">
        <v>310766468</v>
      </c>
      <c r="F27" s="22">
        <v>189643336</v>
      </c>
      <c r="G27" s="22">
        <v>138019252</v>
      </c>
      <c r="H27" s="63">
        <v>199741804</v>
      </c>
      <c r="I27" s="23">
        <v>64.27392417382688</v>
      </c>
      <c r="J27" s="23">
        <v>64.27392417382688</v>
      </c>
      <c r="K27" s="89">
        <v>163614969</v>
      </c>
      <c r="L27" s="24">
        <v>81.91323284533868</v>
      </c>
      <c r="M27" s="181">
        <v>81.91323284533868</v>
      </c>
      <c r="N27" s="64">
        <v>11400000</v>
      </c>
      <c r="O27" s="26">
        <v>6.96757764260555</v>
      </c>
      <c r="P27" s="19"/>
      <c r="Q27" s="64"/>
      <c r="R27" s="26">
        <v>0</v>
      </c>
      <c r="S27" s="65"/>
      <c r="T27" s="181">
        <v>0</v>
      </c>
      <c r="U27" s="64"/>
      <c r="V27" s="81"/>
      <c r="W27" s="181" t="e">
        <v>#DIV/0!</v>
      </c>
      <c r="X27" s="64"/>
      <c r="Y27" s="19"/>
      <c r="Z27" s="64"/>
      <c r="AA27" s="192"/>
      <c r="AB27" s="64"/>
      <c r="AC27" s="192"/>
      <c r="AD27" s="64"/>
      <c r="AE27" s="192"/>
      <c r="AF27" s="64"/>
      <c r="AG27" s="187"/>
      <c r="AH27" s="192"/>
      <c r="AI27" s="64"/>
      <c r="AJ27" s="196"/>
    </row>
    <row r="28" spans="1:36" s="27" customFormat="1" ht="12.75">
      <c r="A28" s="184">
        <v>11</v>
      </c>
      <c r="B28" s="21" t="s">
        <v>50</v>
      </c>
      <c r="C28" s="90">
        <v>140000000</v>
      </c>
      <c r="D28" s="90">
        <v>140000000</v>
      </c>
      <c r="E28" s="91">
        <v>90000000</v>
      </c>
      <c r="F28" s="22">
        <v>64.28571428571429</v>
      </c>
      <c r="G28" s="22">
        <v>64.28571428571429</v>
      </c>
      <c r="H28" s="91">
        <v>17626337</v>
      </c>
      <c r="I28" s="23">
        <v>19.58481888888889</v>
      </c>
      <c r="J28" s="23">
        <v>19.58481888888889</v>
      </c>
      <c r="K28" s="91">
        <v>6143038</v>
      </c>
      <c r="L28" s="24">
        <v>34.851472543614705</v>
      </c>
      <c r="M28" s="181">
        <v>34.851472543614705</v>
      </c>
      <c r="N28" s="92"/>
      <c r="O28" s="26">
        <v>0</v>
      </c>
      <c r="P28" s="181">
        <v>0</v>
      </c>
      <c r="Q28" s="92"/>
      <c r="R28" s="26" t="e">
        <v>#DIV/0!</v>
      </c>
      <c r="S28" s="57"/>
      <c r="T28" s="181" t="e">
        <v>#DIV/0!</v>
      </c>
      <c r="U28" s="92"/>
      <c r="V28" s="93"/>
      <c r="W28" s="181" t="e">
        <v>#DIV/0!</v>
      </c>
      <c r="X28" s="92"/>
      <c r="Y28" s="181" t="e">
        <v>#DIV/0!</v>
      </c>
      <c r="Z28" s="92"/>
      <c r="AA28" s="181"/>
      <c r="AB28" s="92"/>
      <c r="AC28" s="181"/>
      <c r="AD28" s="92"/>
      <c r="AE28" s="181"/>
      <c r="AF28" s="92"/>
      <c r="AG28" s="182"/>
      <c r="AH28" s="181"/>
      <c r="AI28" s="92"/>
      <c r="AJ28" s="209"/>
    </row>
    <row r="29" spans="1:36" s="99" customFormat="1" ht="12.75">
      <c r="A29" s="210">
        <v>12</v>
      </c>
      <c r="B29" s="94" t="s">
        <v>51</v>
      </c>
      <c r="C29" s="95">
        <v>124959184.82999998</v>
      </c>
      <c r="D29" s="95">
        <v>23088485.560000002</v>
      </c>
      <c r="E29" s="95">
        <v>6973275.829999983</v>
      </c>
      <c r="F29" s="22">
        <v>30.202395960005884</v>
      </c>
      <c r="G29" s="22">
        <v>30.202395960005884</v>
      </c>
      <c r="H29" s="95">
        <v>5094637.799999982</v>
      </c>
      <c r="I29" s="23">
        <v>73.05946192580187</v>
      </c>
      <c r="J29" s="23">
        <v>73.05946192580187</v>
      </c>
      <c r="K29" s="95">
        <v>5094637.63</v>
      </c>
      <c r="L29" s="24">
        <v>99.99999666315853</v>
      </c>
      <c r="M29" s="181">
        <v>99.99999666315853</v>
      </c>
      <c r="N29" s="95">
        <v>5094637.979999989</v>
      </c>
      <c r="O29" s="26">
        <v>100.00000686996837</v>
      </c>
      <c r="P29" s="19"/>
      <c r="Q29" s="95">
        <v>5094637.569999993</v>
      </c>
      <c r="R29" s="26">
        <v>99.99999195232324</v>
      </c>
      <c r="S29" s="96"/>
      <c r="T29" s="181">
        <v>99.99999195232324</v>
      </c>
      <c r="U29" s="95">
        <v>5094637.87</v>
      </c>
      <c r="V29" s="97"/>
      <c r="W29" s="181">
        <v>100.00000588854472</v>
      </c>
      <c r="X29" s="95">
        <v>5094637.650000006</v>
      </c>
      <c r="Y29" s="19"/>
      <c r="Z29" s="95">
        <v>5094637.790000021</v>
      </c>
      <c r="AA29" s="211"/>
      <c r="AB29" s="95">
        <v>5094638.26000002</v>
      </c>
      <c r="AC29" s="211"/>
      <c r="AD29" s="95">
        <v>5094638.590000033</v>
      </c>
      <c r="AE29" s="211"/>
      <c r="AF29" s="98">
        <v>5094638.990000039</v>
      </c>
      <c r="AG29" s="98">
        <v>0</v>
      </c>
      <c r="AH29" s="98">
        <v>0</v>
      </c>
      <c r="AI29" s="98">
        <v>5094638.990000039</v>
      </c>
      <c r="AJ29" s="212">
        <v>5094638.990000039</v>
      </c>
    </row>
    <row r="30" spans="1:36" s="27" customFormat="1" ht="12.75">
      <c r="A30" s="184">
        <v>13</v>
      </c>
      <c r="B30" s="21" t="s">
        <v>52</v>
      </c>
      <c r="C30" s="100">
        <v>471500000</v>
      </c>
      <c r="D30" s="100">
        <v>471500000</v>
      </c>
      <c r="E30" s="101">
        <v>500000000</v>
      </c>
      <c r="F30" s="101">
        <v>500000010.1006922</v>
      </c>
      <c r="G30" s="101">
        <v>500000020.2013844</v>
      </c>
      <c r="H30" s="101">
        <v>491226337</v>
      </c>
      <c r="I30" s="101">
        <v>499999986.75868183</v>
      </c>
      <c r="J30" s="101">
        <v>499999996.85937405</v>
      </c>
      <c r="K30" s="101">
        <v>451569375</v>
      </c>
      <c r="L30" s="101">
        <v>499999848.1253059</v>
      </c>
      <c r="M30" s="101">
        <v>499999858.2259981</v>
      </c>
      <c r="N30" s="101">
        <v>383392375</v>
      </c>
      <c r="O30" s="101">
        <v>499999699.2672273</v>
      </c>
      <c r="P30" s="101">
        <v>499999709.3679195</v>
      </c>
      <c r="Q30" s="101">
        <v>308215375</v>
      </c>
      <c r="R30" s="101" t="e">
        <v>#DIV/0!</v>
      </c>
      <c r="S30" s="101">
        <v>499999709.3679195</v>
      </c>
      <c r="T30" s="101" t="e">
        <v>#DIV/0!</v>
      </c>
      <c r="U30" s="101">
        <v>233038375</v>
      </c>
      <c r="V30" s="101">
        <v>499999709.3679195</v>
      </c>
      <c r="W30" s="101" t="e">
        <v>#DIV/0!</v>
      </c>
      <c r="X30" s="101">
        <v>157861375</v>
      </c>
      <c r="Y30" s="101" t="e">
        <v>#DIV/0!</v>
      </c>
      <c r="Z30" s="101">
        <v>77884375</v>
      </c>
      <c r="AA30" s="101" t="e">
        <v>#DIV/0!</v>
      </c>
      <c r="AB30" s="101">
        <v>41507375</v>
      </c>
      <c r="AC30" s="101" t="e">
        <v>#DIV/0!</v>
      </c>
      <c r="AD30" s="101">
        <v>23130375</v>
      </c>
      <c r="AE30" s="101" t="e">
        <v>#DIV/0!</v>
      </c>
      <c r="AF30" s="101">
        <v>4753375</v>
      </c>
      <c r="AG30" s="182"/>
      <c r="AH30" s="181"/>
      <c r="AI30" s="101">
        <v>2376375</v>
      </c>
      <c r="AJ30" s="213">
        <v>0</v>
      </c>
    </row>
    <row r="31" spans="1:36" s="105" customFormat="1" ht="25.5">
      <c r="A31" s="214" t="s">
        <v>13</v>
      </c>
      <c r="B31" s="102" t="s">
        <v>53</v>
      </c>
      <c r="C31" s="103"/>
      <c r="D31" s="103"/>
      <c r="E31" s="103"/>
      <c r="F31" s="103"/>
      <c r="G31" s="22"/>
      <c r="H31" s="103"/>
      <c r="I31" s="103"/>
      <c r="J31" s="23"/>
      <c r="K31" s="103"/>
      <c r="L31" s="103"/>
      <c r="M31" s="181"/>
      <c r="N31" s="103"/>
      <c r="O31" s="103"/>
      <c r="P31" s="19"/>
      <c r="Q31" s="103"/>
      <c r="R31" s="103"/>
      <c r="S31" s="103"/>
      <c r="T31" s="181"/>
      <c r="U31" s="103"/>
      <c r="V31" s="104"/>
      <c r="W31" s="181"/>
      <c r="X31" s="103"/>
      <c r="Y31" s="19"/>
      <c r="Z31" s="103"/>
      <c r="AA31" s="215"/>
      <c r="AB31" s="103"/>
      <c r="AC31" s="215"/>
      <c r="AD31" s="103"/>
      <c r="AE31" s="215"/>
      <c r="AF31" s="103"/>
      <c r="AG31" s="216"/>
      <c r="AH31" s="215"/>
      <c r="AI31" s="103"/>
      <c r="AJ31" s="217"/>
    </row>
    <row r="32" spans="1:36" s="105" customFormat="1" ht="27.75" customHeight="1">
      <c r="A32" s="214" t="s">
        <v>15</v>
      </c>
      <c r="B32" s="106" t="s">
        <v>32</v>
      </c>
      <c r="C32" s="107"/>
      <c r="D32" s="107"/>
      <c r="E32" s="107"/>
      <c r="F32" s="107"/>
      <c r="G32" s="22" t="e">
        <v>#DIV/0!</v>
      </c>
      <c r="H32" s="107"/>
      <c r="I32" s="107"/>
      <c r="J32" s="23" t="e">
        <v>#DIV/0!</v>
      </c>
      <c r="K32" s="107"/>
      <c r="L32" s="24" t="e">
        <v>#DIV/0!</v>
      </c>
      <c r="M32" s="181" t="e">
        <v>#DIV/0!</v>
      </c>
      <c r="N32" s="108"/>
      <c r="O32" s="26" t="e">
        <v>#DIV/0!</v>
      </c>
      <c r="P32" s="181" t="e">
        <v>#DIV/0!</v>
      </c>
      <c r="Q32" s="108"/>
      <c r="R32" s="109"/>
      <c r="S32" s="109"/>
      <c r="T32" s="181" t="e">
        <v>#DIV/0!</v>
      </c>
      <c r="U32" s="108"/>
      <c r="V32" s="109"/>
      <c r="W32" s="181" t="e">
        <v>#DIV/0!</v>
      </c>
      <c r="X32" s="108"/>
      <c r="Y32" s="181" t="e">
        <v>#DIV/0!</v>
      </c>
      <c r="Z32" s="108"/>
      <c r="AA32" s="215"/>
      <c r="AB32" s="108"/>
      <c r="AC32" s="215"/>
      <c r="AD32" s="108"/>
      <c r="AE32" s="215"/>
      <c r="AF32" s="108"/>
      <c r="AG32" s="216"/>
      <c r="AH32" s="215"/>
      <c r="AI32" s="108"/>
      <c r="AJ32" s="218"/>
    </row>
    <row r="33" spans="1:36" s="36" customFormat="1" ht="26.25" customHeight="1">
      <c r="A33" s="186">
        <v>14</v>
      </c>
      <c r="B33" s="44" t="s">
        <v>54</v>
      </c>
      <c r="C33" s="110">
        <v>4.435167765916423</v>
      </c>
      <c r="D33" s="110">
        <v>-0.13106897588195335</v>
      </c>
      <c r="E33" s="110">
        <v>4.563365429356156</v>
      </c>
      <c r="F33" s="110">
        <v>27.14490195117853</v>
      </c>
      <c r="G33" s="110">
        <v>27.14490195117853</v>
      </c>
      <c r="H33" s="110">
        <v>14.673171483009456</v>
      </c>
      <c r="I33" s="110">
        <v>3.589213608715621</v>
      </c>
      <c r="J33" s="111">
        <v>321.542767287863</v>
      </c>
      <c r="K33" s="110">
        <v>17.582638477766743</v>
      </c>
      <c r="L33" s="110">
        <v>6.658332311706887</v>
      </c>
      <c r="M33" s="219">
        <v>119.82848083065241</v>
      </c>
      <c r="N33" s="110">
        <v>17.615904525616607</v>
      </c>
      <c r="O33" s="110">
        <v>-36.642886059221674</v>
      </c>
      <c r="P33" s="112"/>
      <c r="Q33" s="110">
        <v>17.703503724720974</v>
      </c>
      <c r="R33" s="110">
        <v>-13.686238979353737</v>
      </c>
      <c r="S33" s="110">
        <v>65.97792970123683</v>
      </c>
      <c r="T33" s="219">
        <v>100.49727335304857</v>
      </c>
      <c r="U33" s="110">
        <v>17.625570579959344</v>
      </c>
      <c r="V33" s="110">
        <v>73.45603986764293</v>
      </c>
      <c r="W33" s="219">
        <v>99.55978688753682</v>
      </c>
      <c r="X33" s="110">
        <v>17.659446253198162</v>
      </c>
      <c r="Y33" s="112"/>
      <c r="Z33" s="110">
        <v>18.262552613138215</v>
      </c>
      <c r="AA33" s="220"/>
      <c r="AB33" s="110">
        <v>18.5026154195796</v>
      </c>
      <c r="AC33" s="110">
        <v>97.28893095271701</v>
      </c>
      <c r="AD33" s="110">
        <v>18.374070585149642</v>
      </c>
      <c r="AE33" s="110">
        <v>96.95344483912007</v>
      </c>
      <c r="AF33" s="110">
        <v>18.6201034692539</v>
      </c>
      <c r="AG33" s="187"/>
      <c r="AH33" s="192"/>
      <c r="AI33" s="110">
        <v>18.670259179501958</v>
      </c>
      <c r="AJ33" s="221">
        <v>18.67845393063878</v>
      </c>
    </row>
    <row r="34" spans="1:36" s="36" customFormat="1" ht="12.75">
      <c r="A34" s="186" t="s">
        <v>33</v>
      </c>
      <c r="B34" s="44" t="s">
        <v>55</v>
      </c>
      <c r="C34" s="113">
        <v>12.772374722773078</v>
      </c>
      <c r="D34" s="113">
        <v>12.58584646444002</v>
      </c>
      <c r="E34" s="113">
        <v>7.255668742989718</v>
      </c>
      <c r="F34" s="22">
        <v>57.649429964761154</v>
      </c>
      <c r="G34" s="22">
        <v>57.649429964761154</v>
      </c>
      <c r="H34" s="113">
        <v>4.752176249451629</v>
      </c>
      <c r="I34" s="23">
        <v>65.49604754273113</v>
      </c>
      <c r="J34" s="23">
        <v>65.49604754273113</v>
      </c>
      <c r="K34" s="113">
        <v>6.219153039377038</v>
      </c>
      <c r="L34" s="24">
        <v>130.86957875551627</v>
      </c>
      <c r="M34" s="181">
        <v>130.86957875551627</v>
      </c>
      <c r="N34" s="113">
        <v>7.931960113302308</v>
      </c>
      <c r="O34" s="26">
        <v>127.54084138274943</v>
      </c>
      <c r="P34" s="181">
        <v>127.54084138274943</v>
      </c>
      <c r="Q34" s="113">
        <v>8.006129092166315</v>
      </c>
      <c r="R34" s="114"/>
      <c r="S34" s="114"/>
      <c r="T34" s="181">
        <v>100.93506494995634</v>
      </c>
      <c r="U34" s="113">
        <v>7.522992052986364</v>
      </c>
      <c r="V34" s="114"/>
      <c r="W34" s="181">
        <v>93.96541032978493</v>
      </c>
      <c r="X34" s="113">
        <v>7.017304891549989</v>
      </c>
      <c r="Y34" s="181">
        <v>93.27811118402504</v>
      </c>
      <c r="Z34" s="113">
        <v>6.874525858657098</v>
      </c>
      <c r="AA34" s="192"/>
      <c r="AB34" s="113">
        <v>3.0667267350251404</v>
      </c>
      <c r="AC34" s="192"/>
      <c r="AD34" s="113">
        <v>1.5193971620125668</v>
      </c>
      <c r="AE34" s="192"/>
      <c r="AF34" s="115">
        <v>1.4024355080302082</v>
      </c>
      <c r="AG34" s="187"/>
      <c r="AH34" s="192"/>
      <c r="AI34" s="115">
        <v>0.18714585316828233</v>
      </c>
      <c r="AJ34" s="222">
        <v>0.17890558898674383</v>
      </c>
    </row>
    <row r="35" spans="1:36" s="27" customFormat="1" ht="25.5">
      <c r="A35" s="184" t="s">
        <v>13</v>
      </c>
      <c r="B35" s="21" t="s">
        <v>56</v>
      </c>
      <c r="C35" s="116">
        <v>8.12</v>
      </c>
      <c r="D35" s="116">
        <v>8.12</v>
      </c>
      <c r="E35" s="116">
        <v>5.19</v>
      </c>
      <c r="F35" s="22">
        <v>63.91625615763547</v>
      </c>
      <c r="G35" s="22">
        <v>63.91625615763547</v>
      </c>
      <c r="H35" s="116">
        <v>4.59</v>
      </c>
      <c r="I35" s="23">
        <v>88.4393063583815</v>
      </c>
      <c r="J35" s="23">
        <v>88.4393063583815</v>
      </c>
      <c r="K35" s="116">
        <v>6.36848931216122</v>
      </c>
      <c r="L35" s="116">
        <v>11.765826996416768</v>
      </c>
      <c r="M35" s="181">
        <v>138.74704383793508</v>
      </c>
      <c r="N35" s="116">
        <v>12.273058463377453</v>
      </c>
      <c r="O35" s="26">
        <v>192.71538133762604</v>
      </c>
      <c r="P35" s="19"/>
      <c r="Q35" s="116">
        <v>16.623904828797603</v>
      </c>
      <c r="R35" s="116">
        <v>-8.798446712933055</v>
      </c>
      <c r="S35" s="116">
        <v>147.12374937283846</v>
      </c>
      <c r="T35" s="116">
        <v>17.634015576034773</v>
      </c>
      <c r="U35" s="116">
        <v>17.634015576034773</v>
      </c>
      <c r="V35" s="117"/>
      <c r="W35" s="181">
        <v>106.07625439173205</v>
      </c>
      <c r="X35" s="116">
        <v>17.64832627676564</v>
      </c>
      <c r="Y35" s="19"/>
      <c r="Z35" s="116">
        <v>17.662840185959492</v>
      </c>
      <c r="AA35" s="181"/>
      <c r="AB35" s="116">
        <v>17.84918981543191</v>
      </c>
      <c r="AC35" s="181"/>
      <c r="AD35" s="116">
        <v>18.141538095305325</v>
      </c>
      <c r="AE35" s="181"/>
      <c r="AF35" s="118">
        <v>18.379746205955822</v>
      </c>
      <c r="AG35" s="182"/>
      <c r="AH35" s="181"/>
      <c r="AI35" s="118">
        <v>64.74745859727902</v>
      </c>
      <c r="AJ35" s="223">
        <v>12.331391351467849</v>
      </c>
    </row>
    <row r="36" spans="1:36" s="36" customFormat="1" ht="25.5">
      <c r="A36" s="186">
        <v>16</v>
      </c>
      <c r="B36" s="44" t="s">
        <v>57</v>
      </c>
      <c r="C36" s="95" t="s">
        <v>34</v>
      </c>
      <c r="D36" s="95" t="s">
        <v>34</v>
      </c>
      <c r="E36" s="95" t="s">
        <v>34</v>
      </c>
      <c r="F36" s="22" t="e">
        <v>#VALUE!</v>
      </c>
      <c r="G36" s="22" t="e">
        <v>#VALUE!</v>
      </c>
      <c r="H36" s="95" t="s">
        <v>34</v>
      </c>
      <c r="I36" s="23" t="e">
        <v>#VALUE!</v>
      </c>
      <c r="J36" s="23" t="e">
        <v>#VALUE!</v>
      </c>
      <c r="K36" s="95" t="s">
        <v>34</v>
      </c>
      <c r="L36" s="24" t="e">
        <v>#VALUE!</v>
      </c>
      <c r="M36" s="181" t="e">
        <v>#VALUE!</v>
      </c>
      <c r="N36" s="95" t="s">
        <v>34</v>
      </c>
      <c r="O36" s="26" t="e">
        <v>#VALUE!</v>
      </c>
      <c r="P36" s="181" t="e">
        <v>#VALUE!</v>
      </c>
      <c r="Q36" s="95" t="s">
        <v>34</v>
      </c>
      <c r="R36" s="97"/>
      <c r="S36" s="97"/>
      <c r="T36" s="181" t="e">
        <v>#VALUE!</v>
      </c>
      <c r="U36" s="95" t="s">
        <v>34</v>
      </c>
      <c r="V36" s="97"/>
      <c r="W36" s="181" t="e">
        <v>#VALUE!</v>
      </c>
      <c r="X36" s="95" t="s">
        <v>34</v>
      </c>
      <c r="Y36" s="181" t="e">
        <v>#VALUE!</v>
      </c>
      <c r="Z36" s="95" t="s">
        <v>34</v>
      </c>
      <c r="AA36" s="192"/>
      <c r="AB36" s="95" t="s">
        <v>34</v>
      </c>
      <c r="AC36" s="192"/>
      <c r="AD36" s="95" t="s">
        <v>34</v>
      </c>
      <c r="AE36" s="192"/>
      <c r="AF36" s="95" t="s">
        <v>34</v>
      </c>
      <c r="AG36" s="187"/>
      <c r="AH36" s="192"/>
      <c r="AI36" s="95" t="s">
        <v>34</v>
      </c>
      <c r="AJ36" s="212" t="s">
        <v>34</v>
      </c>
    </row>
    <row r="37" spans="1:36" s="27" customFormat="1" ht="15.75" customHeight="1">
      <c r="A37" s="184">
        <v>17</v>
      </c>
      <c r="B37" s="21" t="s">
        <v>71</v>
      </c>
      <c r="C37" s="119">
        <v>12.772374722773078</v>
      </c>
      <c r="D37" s="119">
        <v>12.58584646444002</v>
      </c>
      <c r="E37" s="119">
        <v>7.255668742989718</v>
      </c>
      <c r="F37" s="22">
        <v>57.649429964761154</v>
      </c>
      <c r="G37" s="22">
        <v>57.649429964761154</v>
      </c>
      <c r="H37" s="119">
        <v>4.752176249451629</v>
      </c>
      <c r="I37" s="23">
        <v>65.49604754273113</v>
      </c>
      <c r="J37" s="23">
        <v>65.49604754273113</v>
      </c>
      <c r="K37" s="119">
        <v>6.219153039377038</v>
      </c>
      <c r="L37" s="24">
        <v>130.86957875551627</v>
      </c>
      <c r="M37" s="181">
        <v>130.86957875551627</v>
      </c>
      <c r="N37" s="119">
        <v>7.931960113302308</v>
      </c>
      <c r="O37" s="26">
        <v>127.54084138274943</v>
      </c>
      <c r="P37" s="19"/>
      <c r="Q37" s="119">
        <v>8.006129092166315</v>
      </c>
      <c r="R37" s="120"/>
      <c r="S37" s="120"/>
      <c r="T37" s="181">
        <v>100.93506494995634</v>
      </c>
      <c r="U37" s="119">
        <v>7.522992052986364</v>
      </c>
      <c r="V37" s="120"/>
      <c r="W37" s="181">
        <v>93.96541032978493</v>
      </c>
      <c r="X37" s="119">
        <v>7.017304891549989</v>
      </c>
      <c r="Y37" s="19"/>
      <c r="Z37" s="119">
        <v>6.874525858657098</v>
      </c>
      <c r="AA37" s="181"/>
      <c r="AB37" s="119">
        <v>3.0667267350251404</v>
      </c>
      <c r="AC37" s="181"/>
      <c r="AD37" s="119">
        <v>1.5193971620125668</v>
      </c>
      <c r="AE37" s="181"/>
      <c r="AF37" s="121">
        <v>1.4024355080302082</v>
      </c>
      <c r="AG37" s="182"/>
      <c r="AH37" s="181"/>
      <c r="AI37" s="121">
        <v>0.18714585316828233</v>
      </c>
      <c r="AJ37" s="224">
        <v>0.17890558898674383</v>
      </c>
    </row>
    <row r="38" spans="1:36" s="27" customFormat="1" ht="15.75" customHeight="1">
      <c r="A38" s="184">
        <v>18</v>
      </c>
      <c r="B38" s="21" t="s">
        <v>72</v>
      </c>
      <c r="C38" s="119">
        <v>45.86765814038779</v>
      </c>
      <c r="D38" s="119">
        <v>43.99674940631286</v>
      </c>
      <c r="E38" s="119">
        <v>41.98153528316681</v>
      </c>
      <c r="F38" s="22">
        <v>95.41962951731861</v>
      </c>
      <c r="G38" s="22">
        <v>95.41962951731861</v>
      </c>
      <c r="H38" s="119">
        <v>43.289814828905996</v>
      </c>
      <c r="I38" s="23">
        <v>103.11632134678925</v>
      </c>
      <c r="J38" s="23">
        <v>103.11632134678925</v>
      </c>
      <c r="K38" s="119">
        <v>38.79307125528441</v>
      </c>
      <c r="L38" s="24">
        <v>89.61246752522727</v>
      </c>
      <c r="M38" s="181">
        <v>89.61246752522727</v>
      </c>
      <c r="N38" s="119">
        <v>33.15833869534254</v>
      </c>
      <c r="O38" s="26">
        <v>85.47489956940623</v>
      </c>
      <c r="P38" s="181">
        <v>85.47489956940623</v>
      </c>
      <c r="Q38" s="119">
        <v>26.175653749649708</v>
      </c>
      <c r="R38" s="120"/>
      <c r="S38" s="120"/>
      <c r="T38" s="181">
        <v>78.94139085239023</v>
      </c>
      <c r="U38" s="119">
        <v>19.42614758224586</v>
      </c>
      <c r="V38" s="120"/>
      <c r="W38" s="181">
        <v>74.2145650612674</v>
      </c>
      <c r="X38" s="119">
        <v>12.839781678893397</v>
      </c>
      <c r="Y38" s="181">
        <v>66.09535742757386</v>
      </c>
      <c r="Z38" s="119">
        <v>6.157513572951605</v>
      </c>
      <c r="AA38" s="181"/>
      <c r="AB38" s="119">
        <v>3.1936602104959846</v>
      </c>
      <c r="AC38" s="119" t="e">
        <v>#DIV/0!</v>
      </c>
      <c r="AD38" s="119">
        <v>1.730616688869141</v>
      </c>
      <c r="AE38" s="119" t="e">
        <v>#DIV/0!</v>
      </c>
      <c r="AF38" s="119">
        <v>0.34614491024868366</v>
      </c>
      <c r="AG38" s="182"/>
      <c r="AH38" s="181"/>
      <c r="AI38" s="119">
        <v>0.17304969860198607</v>
      </c>
      <c r="AJ38" s="224">
        <v>0</v>
      </c>
    </row>
    <row r="39" spans="1:36" s="36" customFormat="1" ht="13.5" customHeight="1">
      <c r="A39" s="186">
        <v>19</v>
      </c>
      <c r="B39" s="32" t="s">
        <v>35</v>
      </c>
      <c r="C39" s="122">
        <v>934785420.76</v>
      </c>
      <c r="D39" s="122">
        <v>993513860</v>
      </c>
      <c r="E39" s="68">
        <v>987070544</v>
      </c>
      <c r="F39" s="22">
        <v>99.35146189102989</v>
      </c>
      <c r="G39" s="22">
        <v>99.35146189102989</v>
      </c>
      <c r="H39" s="68">
        <v>924640631.03</v>
      </c>
      <c r="I39" s="23">
        <v>93.67523290513672</v>
      </c>
      <c r="J39" s="23">
        <v>93.67523290513672</v>
      </c>
      <c r="K39" s="68">
        <v>934972515.17</v>
      </c>
      <c r="L39" s="24">
        <v>101.11739456317108</v>
      </c>
      <c r="M39" s="181">
        <v>101.11739456317108</v>
      </c>
      <c r="N39" s="123">
        <v>949063827.65</v>
      </c>
      <c r="O39" s="26">
        <v>101.50713654694307</v>
      </c>
      <c r="P39" s="19"/>
      <c r="Q39" s="123">
        <v>965531975.41</v>
      </c>
      <c r="R39" s="124"/>
      <c r="S39" s="124"/>
      <c r="T39" s="181">
        <v>101.73519918052057</v>
      </c>
      <c r="U39" s="123">
        <v>988173444.7</v>
      </c>
      <c r="V39" s="124"/>
      <c r="W39" s="181">
        <v>102.34497353444827</v>
      </c>
      <c r="X39" s="123">
        <v>1012353119.22</v>
      </c>
      <c r="Y39" s="19"/>
      <c r="Z39" s="123">
        <v>1033870234.86</v>
      </c>
      <c r="AA39" s="192"/>
      <c r="AB39" s="123">
        <v>1059205513.53</v>
      </c>
      <c r="AC39" s="192"/>
      <c r="AD39" s="123">
        <v>1090962758.67</v>
      </c>
      <c r="AE39" s="192"/>
      <c r="AF39" s="123">
        <v>1117535327.6</v>
      </c>
      <c r="AG39" s="187"/>
      <c r="AH39" s="192"/>
      <c r="AI39" s="123">
        <v>1116846573</v>
      </c>
      <c r="AJ39" s="225">
        <v>1116734040</v>
      </c>
    </row>
    <row r="40" spans="1:36" s="36" customFormat="1" ht="13.5" customHeight="1">
      <c r="A40" s="186">
        <v>20</v>
      </c>
      <c r="B40" s="32" t="s">
        <v>36</v>
      </c>
      <c r="C40" s="122">
        <v>1109822606.12</v>
      </c>
      <c r="D40" s="122">
        <v>1255405956</v>
      </c>
      <c r="E40" s="68">
        <v>1337485706</v>
      </c>
      <c r="F40" s="22">
        <v>106.53810423693737</v>
      </c>
      <c r="G40" s="22">
        <v>106.53810423693737</v>
      </c>
      <c r="H40" s="68">
        <v>1127843802.03</v>
      </c>
      <c r="I40" s="23">
        <v>84.32567144235334</v>
      </c>
      <c r="J40" s="23">
        <v>84.32567144235334</v>
      </c>
      <c r="K40" s="68">
        <v>1124389504.17</v>
      </c>
      <c r="L40" s="24">
        <v>99.69372550934956</v>
      </c>
      <c r="M40" s="181">
        <v>99.69372550934956</v>
      </c>
      <c r="N40" s="123">
        <v>1088070236.65</v>
      </c>
      <c r="O40" s="26">
        <v>96.7698677917836</v>
      </c>
      <c r="P40" s="181">
        <v>96.7698677917836</v>
      </c>
      <c r="Q40" s="123">
        <v>1102311738.4099998</v>
      </c>
      <c r="R40" s="124"/>
      <c r="S40" s="124"/>
      <c r="T40" s="181">
        <v>101.30887706329024</v>
      </c>
      <c r="U40" s="123">
        <v>1124434883.7</v>
      </c>
      <c r="V40" s="124"/>
      <c r="W40" s="181">
        <v>102.00697720246643</v>
      </c>
      <c r="X40" s="123">
        <v>1154293866.22</v>
      </c>
      <c r="Y40" s="181">
        <v>102.65546568795054</v>
      </c>
      <c r="Z40" s="123">
        <v>1184890288.8600001</v>
      </c>
      <c r="AA40" s="192"/>
      <c r="AB40" s="123">
        <v>1263303374.53</v>
      </c>
      <c r="AC40" s="192"/>
      <c r="AD40" s="123">
        <v>1318162462.67</v>
      </c>
      <c r="AE40" s="192"/>
      <c r="AF40" s="123">
        <v>1354855671.6</v>
      </c>
      <c r="AG40" s="187"/>
      <c r="AH40" s="192"/>
      <c r="AI40" s="123">
        <v>1370855672</v>
      </c>
      <c r="AJ40" s="225">
        <v>1370856297</v>
      </c>
    </row>
    <row r="41" spans="1:36" s="27" customFormat="1" ht="15" customHeight="1">
      <c r="A41" s="184">
        <v>21</v>
      </c>
      <c r="B41" s="28" t="s">
        <v>37</v>
      </c>
      <c r="C41" s="90">
        <v>-81865175.7299999</v>
      </c>
      <c r="D41" s="90">
        <v>-183735875</v>
      </c>
      <c r="E41" s="90">
        <v>-146485909</v>
      </c>
      <c r="F41" s="22">
        <v>79.72635120931065</v>
      </c>
      <c r="G41" s="22">
        <v>79.72635120931065</v>
      </c>
      <c r="H41" s="91">
        <v>6895024.970000029</v>
      </c>
      <c r="I41" s="23">
        <v>-4.706954421124579</v>
      </c>
      <c r="J41" s="23">
        <v>-4.706954421124579</v>
      </c>
      <c r="K41" s="91">
        <v>39656961.82999992</v>
      </c>
      <c r="L41" s="24">
        <v>575.1532735928548</v>
      </c>
      <c r="M41" s="181">
        <v>575.1532735928548</v>
      </c>
      <c r="N41" s="92">
        <v>68177000.3499999</v>
      </c>
      <c r="O41" s="26">
        <v>171.9168519319727</v>
      </c>
      <c r="P41" s="19"/>
      <c r="Q41" s="92">
        <v>75176999.59000015</v>
      </c>
      <c r="R41" s="93"/>
      <c r="S41" s="93"/>
      <c r="T41" s="181">
        <v>110.26739106159613</v>
      </c>
      <c r="U41" s="92">
        <v>75177000.29999995</v>
      </c>
      <c r="V41" s="93"/>
      <c r="W41" s="181">
        <v>100.00000094443753</v>
      </c>
      <c r="X41" s="92">
        <v>75176999.77999997</v>
      </c>
      <c r="Y41" s="19"/>
      <c r="Z41" s="92">
        <v>79977000.13999987</v>
      </c>
      <c r="AA41" s="181"/>
      <c r="AB41" s="92">
        <v>36377000.47000003</v>
      </c>
      <c r="AC41" s="181"/>
      <c r="AD41" s="92">
        <v>18377000.329999924</v>
      </c>
      <c r="AE41" s="181"/>
      <c r="AF41" s="92">
        <v>18377000.400000095</v>
      </c>
      <c r="AG41" s="182"/>
      <c r="AH41" s="181"/>
      <c r="AI41" s="92">
        <v>2377000</v>
      </c>
      <c r="AJ41" s="209">
        <v>2376375</v>
      </c>
    </row>
    <row r="42" spans="1:36" s="36" customFormat="1" ht="13.5" customHeight="1">
      <c r="A42" s="186">
        <v>22</v>
      </c>
      <c r="B42" s="32" t="s">
        <v>38</v>
      </c>
      <c r="C42" s="66">
        <v>195365175.73000002</v>
      </c>
      <c r="D42" s="66">
        <v>298326087</v>
      </c>
      <c r="E42" s="66">
        <v>207985909</v>
      </c>
      <c r="F42" s="22">
        <v>69.71764054948369</v>
      </c>
      <c r="G42" s="22">
        <v>69.71764054948369</v>
      </c>
      <c r="H42" s="66">
        <v>19504975</v>
      </c>
      <c r="I42" s="23">
        <v>9.378027143175357</v>
      </c>
      <c r="J42" s="23">
        <v>9.378027143175357</v>
      </c>
      <c r="K42" s="66">
        <v>6143038</v>
      </c>
      <c r="L42" s="24">
        <v>31.49472378200946</v>
      </c>
      <c r="M42" s="181">
        <v>31.49472378200946</v>
      </c>
      <c r="N42" s="66">
        <v>0</v>
      </c>
      <c r="O42" s="26">
        <v>0</v>
      </c>
      <c r="P42" s="181">
        <v>0</v>
      </c>
      <c r="Q42" s="66">
        <v>0</v>
      </c>
      <c r="R42" s="125"/>
      <c r="S42" s="125"/>
      <c r="T42" s="181" t="e">
        <v>#DIV/0!</v>
      </c>
      <c r="U42" s="66">
        <v>0</v>
      </c>
      <c r="V42" s="125"/>
      <c r="W42" s="181" t="e">
        <v>#DIV/0!</v>
      </c>
      <c r="X42" s="66">
        <v>0</v>
      </c>
      <c r="Y42" s="181" t="e">
        <v>#DIV/0!</v>
      </c>
      <c r="Z42" s="66">
        <v>0</v>
      </c>
      <c r="AA42" s="192"/>
      <c r="AB42" s="66">
        <v>0</v>
      </c>
      <c r="AC42" s="192"/>
      <c r="AD42" s="66">
        <v>0</v>
      </c>
      <c r="AE42" s="192"/>
      <c r="AF42" s="66">
        <v>0</v>
      </c>
      <c r="AG42" s="187"/>
      <c r="AH42" s="192"/>
      <c r="AI42" s="66">
        <v>0</v>
      </c>
      <c r="AJ42" s="226">
        <v>0</v>
      </c>
    </row>
    <row r="43" spans="1:36" s="36" customFormat="1" ht="13.5" customHeight="1" thickBot="1">
      <c r="A43" s="227">
        <v>23</v>
      </c>
      <c r="B43" s="228" t="s">
        <v>39</v>
      </c>
      <c r="C43" s="229">
        <v>113500000</v>
      </c>
      <c r="D43" s="229">
        <v>113500000</v>
      </c>
      <c r="E43" s="230">
        <v>61500000</v>
      </c>
      <c r="F43" s="231">
        <v>54.18502202643172</v>
      </c>
      <c r="G43" s="231">
        <v>54.18502202643172</v>
      </c>
      <c r="H43" s="230">
        <v>26400000</v>
      </c>
      <c r="I43" s="232">
        <v>42.926829268292686</v>
      </c>
      <c r="J43" s="232">
        <v>42.926829268292686</v>
      </c>
      <c r="K43" s="230">
        <v>45800000</v>
      </c>
      <c r="L43" s="233">
        <v>173.4848484848485</v>
      </c>
      <c r="M43" s="234">
        <v>173.4848484848485</v>
      </c>
      <c r="N43" s="230">
        <v>68177000</v>
      </c>
      <c r="O43" s="235">
        <v>148.85807860262008</v>
      </c>
      <c r="P43" s="236"/>
      <c r="Q43" s="157">
        <v>75177000</v>
      </c>
      <c r="R43" s="237"/>
      <c r="S43" s="237"/>
      <c r="T43" s="234">
        <v>110.26739222905084</v>
      </c>
      <c r="U43" s="157">
        <v>75177000</v>
      </c>
      <c r="V43" s="237"/>
      <c r="W43" s="234">
        <v>100</v>
      </c>
      <c r="X43" s="157">
        <v>75177000</v>
      </c>
      <c r="Y43" s="236"/>
      <c r="Z43" s="157">
        <v>79977000</v>
      </c>
      <c r="AA43" s="238"/>
      <c r="AB43" s="157">
        <v>36377000</v>
      </c>
      <c r="AC43" s="238"/>
      <c r="AD43" s="157">
        <v>18377000</v>
      </c>
      <c r="AE43" s="238"/>
      <c r="AF43" s="157">
        <v>18377000</v>
      </c>
      <c r="AG43" s="239"/>
      <c r="AH43" s="238"/>
      <c r="AI43" s="157">
        <v>2377000</v>
      </c>
      <c r="AJ43" s="240">
        <v>2376375</v>
      </c>
    </row>
    <row r="44" spans="1:34" s="36" customFormat="1" ht="27" customHeight="1" hidden="1">
      <c r="A44" s="178">
        <v>24</v>
      </c>
      <c r="B44" s="179" t="s">
        <v>58</v>
      </c>
      <c r="C44" s="126"/>
      <c r="D44" s="127">
        <v>298326087</v>
      </c>
      <c r="E44" s="127">
        <v>146485909</v>
      </c>
      <c r="F44" s="161">
        <v>49.10261468350905</v>
      </c>
      <c r="G44" s="161">
        <v>49.10261468350905</v>
      </c>
      <c r="H44" s="127">
        <v>19504975</v>
      </c>
      <c r="I44" s="128"/>
      <c r="J44" s="128"/>
      <c r="K44" s="127">
        <v>6143038</v>
      </c>
      <c r="L44" s="129"/>
      <c r="M44" s="25">
        <v>31.49472378200946</v>
      </c>
      <c r="N44" s="127">
        <v>0</v>
      </c>
      <c r="O44" s="129"/>
      <c r="P44" s="25">
        <v>0</v>
      </c>
      <c r="Q44" s="127">
        <v>0</v>
      </c>
      <c r="R44" s="129"/>
      <c r="S44" s="129"/>
      <c r="T44" s="51"/>
      <c r="U44" s="127">
        <v>0</v>
      </c>
      <c r="V44" s="129"/>
      <c r="W44" s="25" t="e">
        <v>#DIV/0!</v>
      </c>
      <c r="X44" s="127">
        <v>0</v>
      </c>
      <c r="Y44" s="25" t="e">
        <v>#DIV/0!</v>
      </c>
      <c r="Z44" s="127">
        <v>0</v>
      </c>
      <c r="AA44" s="51"/>
      <c r="AB44" s="127">
        <v>0</v>
      </c>
      <c r="AC44" s="51"/>
      <c r="AD44" s="127">
        <v>0</v>
      </c>
      <c r="AE44" s="51"/>
      <c r="AF44" s="127">
        <v>0</v>
      </c>
      <c r="AH44" s="51"/>
    </row>
    <row r="45" spans="1:36" s="244" customFormat="1" ht="13.5" customHeight="1" hidden="1">
      <c r="A45" s="241" t="s">
        <v>13</v>
      </c>
      <c r="B45" s="242" t="s">
        <v>59</v>
      </c>
      <c r="C45" s="243"/>
      <c r="D45" s="127"/>
      <c r="E45" s="127">
        <v>0</v>
      </c>
      <c r="F45" s="127">
        <v>50.374462019237896</v>
      </c>
      <c r="G45" s="127" t="e">
        <v>#DIV/0!</v>
      </c>
      <c r="H45" s="127">
        <v>-0.029999971389770508</v>
      </c>
      <c r="I45" s="127">
        <v>-9.336829681038168</v>
      </c>
      <c r="J45" s="127">
        <v>-9.336829681038168</v>
      </c>
      <c r="K45" s="127">
        <v>-0.1700000762939453</v>
      </c>
      <c r="L45" s="127" t="e">
        <v>#DIV/0!</v>
      </c>
      <c r="M45" s="127" t="e">
        <v>#DIV/0!</v>
      </c>
      <c r="N45" s="127">
        <v>0.34999990463256836</v>
      </c>
      <c r="O45" s="127" t="e">
        <v>#DIV/0!</v>
      </c>
      <c r="P45" s="127" t="e">
        <v>#DIV/0!</v>
      </c>
      <c r="Q45" s="127">
        <v>-0.4099998474121094</v>
      </c>
      <c r="R45" s="127" t="e">
        <v>#DIV/0!</v>
      </c>
      <c r="S45" s="127">
        <v>101.83710717918022</v>
      </c>
      <c r="T45" s="127" t="e">
        <v>#DIV/0!</v>
      </c>
      <c r="U45" s="127">
        <v>0.2999999523162842</v>
      </c>
      <c r="V45" s="127" t="e">
        <v>#DIV/0!</v>
      </c>
      <c r="W45" s="127" t="e">
        <v>#DIV/0!</v>
      </c>
      <c r="X45" s="127">
        <v>-0.2200000286102295</v>
      </c>
      <c r="Y45" s="127" t="e">
        <v>#DIV/0!</v>
      </c>
      <c r="Z45" s="127">
        <v>0.1399998664855957</v>
      </c>
      <c r="AA45" s="127">
        <v>102.87899648367917</v>
      </c>
      <c r="AB45" s="127">
        <v>0.4700000286102295</v>
      </c>
      <c r="AC45" s="127">
        <v>102.75231135335336</v>
      </c>
      <c r="AD45" s="127">
        <v>0.3299999237060547</v>
      </c>
      <c r="AE45" s="127">
        <v>102.83601173865536</v>
      </c>
      <c r="AF45" s="127">
        <v>0.40000009536743164</v>
      </c>
      <c r="AG45" s="127">
        <v>0</v>
      </c>
      <c r="AH45" s="127">
        <v>102.74538911987217</v>
      </c>
      <c r="AI45" s="127">
        <v>0</v>
      </c>
      <c r="AJ45" s="127">
        <v>0</v>
      </c>
    </row>
    <row r="46" spans="1:34" s="36" customFormat="1" ht="13.5" customHeight="1" hidden="1">
      <c r="A46" s="130" t="s">
        <v>15</v>
      </c>
      <c r="B46" s="131" t="s">
        <v>60</v>
      </c>
      <c r="C46" s="126"/>
      <c r="D46" s="132"/>
      <c r="E46" s="132"/>
      <c r="F46" s="22" t="e">
        <v>#DIV/0!</v>
      </c>
      <c r="G46" s="22" t="e">
        <v>#DIV/0!</v>
      </c>
      <c r="H46" s="132"/>
      <c r="I46" s="128"/>
      <c r="J46" s="128"/>
      <c r="K46" s="133"/>
      <c r="L46" s="129"/>
      <c r="M46" s="25" t="e">
        <v>#DIV/0!</v>
      </c>
      <c r="N46" s="128"/>
      <c r="O46" s="129"/>
      <c r="P46" s="25" t="e">
        <v>#DIV/0!</v>
      </c>
      <c r="Q46" s="134"/>
      <c r="R46" s="129"/>
      <c r="S46" s="129"/>
      <c r="T46" s="51"/>
      <c r="U46" s="134"/>
      <c r="V46" s="129"/>
      <c r="W46" s="25" t="e">
        <v>#DIV/0!</v>
      </c>
      <c r="X46" s="135"/>
      <c r="Y46" s="25" t="e">
        <v>#DIV/0!</v>
      </c>
      <c r="Z46" s="1"/>
      <c r="AA46" s="51"/>
      <c r="AB46" s="1"/>
      <c r="AC46" s="51"/>
      <c r="AD46" s="1"/>
      <c r="AE46" s="51"/>
      <c r="AF46" s="1"/>
      <c r="AH46" s="51"/>
    </row>
    <row r="47" spans="1:34" s="36" customFormat="1" ht="13.5" customHeight="1" hidden="1">
      <c r="A47" s="130" t="s">
        <v>17</v>
      </c>
      <c r="B47" s="131" t="s">
        <v>61</v>
      </c>
      <c r="C47" s="126"/>
      <c r="D47" s="132"/>
      <c r="E47" s="133"/>
      <c r="F47" s="22" t="e">
        <v>#DIV/0!</v>
      </c>
      <c r="G47" s="22" t="e">
        <v>#DIV/0!</v>
      </c>
      <c r="H47" s="133"/>
      <c r="I47" s="128"/>
      <c r="J47" s="128"/>
      <c r="K47" s="133"/>
      <c r="L47" s="129"/>
      <c r="M47" s="25" t="e">
        <v>#DIV/0!</v>
      </c>
      <c r="N47" s="128"/>
      <c r="O47" s="129"/>
      <c r="P47" s="19"/>
      <c r="Q47" s="134"/>
      <c r="R47" s="129"/>
      <c r="S47" s="129"/>
      <c r="T47" s="51"/>
      <c r="U47" s="134"/>
      <c r="V47" s="129"/>
      <c r="W47" s="25" t="e">
        <v>#DIV/0!</v>
      </c>
      <c r="X47" s="135"/>
      <c r="Y47" s="19"/>
      <c r="Z47" s="1"/>
      <c r="AA47" s="51"/>
      <c r="AB47" s="1"/>
      <c r="AC47" s="51"/>
      <c r="AD47" s="1"/>
      <c r="AE47" s="51"/>
      <c r="AF47" s="1"/>
      <c r="AH47" s="51"/>
    </row>
    <row r="48" spans="1:34" s="36" customFormat="1" ht="13.5" customHeight="1" hidden="1">
      <c r="A48" s="130" t="s">
        <v>20</v>
      </c>
      <c r="B48" s="131" t="s">
        <v>62</v>
      </c>
      <c r="C48" s="126"/>
      <c r="D48" s="132"/>
      <c r="E48" s="133"/>
      <c r="F48" s="22" t="e">
        <v>#DIV/0!</v>
      </c>
      <c r="G48" s="22" t="e">
        <v>#DIV/0!</v>
      </c>
      <c r="H48" s="133"/>
      <c r="I48" s="128"/>
      <c r="J48" s="128"/>
      <c r="K48" s="133"/>
      <c r="L48" s="129"/>
      <c r="M48" s="25" t="e">
        <v>#DIV/0!</v>
      </c>
      <c r="N48" s="128"/>
      <c r="O48" s="129"/>
      <c r="P48" s="25" t="e">
        <v>#DIV/0!</v>
      </c>
      <c r="Q48" s="134"/>
      <c r="R48" s="129"/>
      <c r="S48" s="129"/>
      <c r="T48" s="51"/>
      <c r="U48" s="134"/>
      <c r="V48" s="129"/>
      <c r="W48" s="25" t="e">
        <v>#DIV/0!</v>
      </c>
      <c r="X48" s="135"/>
      <c r="Y48" s="25" t="e">
        <v>#DIV/0!</v>
      </c>
      <c r="Z48" s="1"/>
      <c r="AA48" s="51"/>
      <c r="AB48" s="1"/>
      <c r="AC48" s="51"/>
      <c r="AD48" s="1"/>
      <c r="AE48" s="51"/>
      <c r="AF48" s="1"/>
      <c r="AH48" s="51"/>
    </row>
    <row r="49" spans="1:34" s="36" customFormat="1" ht="13.5" customHeight="1" hidden="1">
      <c r="A49" s="130" t="s">
        <v>21</v>
      </c>
      <c r="B49" s="131" t="s">
        <v>63</v>
      </c>
      <c r="C49" s="126"/>
      <c r="D49" s="132"/>
      <c r="E49" s="133"/>
      <c r="F49" s="22" t="e">
        <v>#DIV/0!</v>
      </c>
      <c r="G49" s="22" t="e">
        <v>#DIV/0!</v>
      </c>
      <c r="H49" s="133"/>
      <c r="I49" s="128"/>
      <c r="J49" s="128"/>
      <c r="K49" s="133"/>
      <c r="L49" s="129"/>
      <c r="M49" s="25" t="e">
        <v>#DIV/0!</v>
      </c>
      <c r="N49" s="128"/>
      <c r="O49" s="129"/>
      <c r="P49" s="19"/>
      <c r="Q49" s="134"/>
      <c r="R49" s="129"/>
      <c r="S49" s="129"/>
      <c r="T49" s="51"/>
      <c r="U49" s="134"/>
      <c r="V49" s="129"/>
      <c r="W49" s="25" t="e">
        <v>#DIV/0!</v>
      </c>
      <c r="X49" s="135"/>
      <c r="Y49" s="19"/>
      <c r="Z49" s="1"/>
      <c r="AA49" s="51"/>
      <c r="AB49" s="1"/>
      <c r="AC49" s="51"/>
      <c r="AD49" s="1"/>
      <c r="AE49" s="51"/>
      <c r="AF49" s="1"/>
      <c r="AH49" s="51"/>
    </row>
    <row r="50" spans="1:25" ht="13.5" customHeight="1" hidden="1">
      <c r="A50" s="136" t="s">
        <v>64</v>
      </c>
      <c r="B50" s="137" t="s">
        <v>65</v>
      </c>
      <c r="C50" s="126"/>
      <c r="D50" s="132"/>
      <c r="E50" s="133"/>
      <c r="F50" s="22" t="e">
        <v>#DIV/0!</v>
      </c>
      <c r="G50" s="22" t="e">
        <v>#DIV/0!</v>
      </c>
      <c r="H50" s="133"/>
      <c r="I50" s="128"/>
      <c r="J50" s="128"/>
      <c r="K50" s="133"/>
      <c r="L50" s="129"/>
      <c r="M50" s="25" t="e">
        <v>#DIV/0!</v>
      </c>
      <c r="N50" s="128"/>
      <c r="O50" s="129"/>
      <c r="P50" s="25" t="e">
        <v>#DIV/0!</v>
      </c>
      <c r="Q50" s="134"/>
      <c r="R50" s="129"/>
      <c r="S50" s="129"/>
      <c r="U50" s="134"/>
      <c r="V50" s="129"/>
      <c r="W50" s="25" t="e">
        <v>#DIV/0!</v>
      </c>
      <c r="X50" s="135"/>
      <c r="Y50" s="25" t="e">
        <v>#DIV/0!</v>
      </c>
    </row>
    <row r="51" spans="1:25" ht="12.75" customHeight="1" hidden="1">
      <c r="A51" s="138"/>
      <c r="B51" s="139" t="s">
        <v>66</v>
      </c>
      <c r="C51" s="140"/>
      <c r="D51" s="132"/>
      <c r="E51" s="133"/>
      <c r="F51" s="22" t="e">
        <v>#DIV/0!</v>
      </c>
      <c r="G51" s="22" t="e">
        <v>#DIV/0!</v>
      </c>
      <c r="H51" s="133"/>
      <c r="I51" s="128"/>
      <c r="J51" s="128"/>
      <c r="K51" s="133"/>
      <c r="L51" s="129"/>
      <c r="M51" s="25" t="e">
        <v>#DIV/0!</v>
      </c>
      <c r="N51" s="128"/>
      <c r="O51" s="129"/>
      <c r="P51" s="19"/>
      <c r="Q51" s="134"/>
      <c r="R51" s="129"/>
      <c r="S51" s="129"/>
      <c r="U51" s="134"/>
      <c r="V51" s="129"/>
      <c r="W51" s="25" t="e">
        <v>#DIV/0!</v>
      </c>
      <c r="X51" s="135"/>
      <c r="Y51" s="19"/>
    </row>
    <row r="52" spans="1:25" ht="12.75" customHeight="1" hidden="1">
      <c r="A52" s="141"/>
      <c r="B52" s="142" t="s">
        <v>67</v>
      </c>
      <c r="C52" s="140"/>
      <c r="D52" s="132"/>
      <c r="E52" s="133"/>
      <c r="F52" s="22" t="e">
        <v>#DIV/0!</v>
      </c>
      <c r="G52" s="22" t="e">
        <v>#DIV/0!</v>
      </c>
      <c r="H52" s="133"/>
      <c r="I52" s="128"/>
      <c r="J52" s="128"/>
      <c r="K52" s="133"/>
      <c r="L52" s="129"/>
      <c r="M52" s="25" t="e">
        <v>#DIV/0!</v>
      </c>
      <c r="N52" s="128"/>
      <c r="O52" s="129"/>
      <c r="P52" s="25" t="e">
        <v>#DIV/0!</v>
      </c>
      <c r="Q52" s="134"/>
      <c r="R52" s="129"/>
      <c r="S52" s="129"/>
      <c r="U52" s="134"/>
      <c r="V52" s="129"/>
      <c r="W52" s="25" t="e">
        <v>#DIV/0!</v>
      </c>
      <c r="X52" s="135"/>
      <c r="Y52" s="25" t="e">
        <v>#DIV/0!</v>
      </c>
    </row>
    <row r="53" spans="1:25" ht="9.75" customHeight="1" hidden="1">
      <c r="A53" s="143"/>
      <c r="B53" s="144"/>
      <c r="C53" s="144"/>
      <c r="D53" s="132"/>
      <c r="E53" s="133"/>
      <c r="F53" s="22" t="e">
        <v>#DIV/0!</v>
      </c>
      <c r="G53" s="22" t="e">
        <v>#DIV/0!</v>
      </c>
      <c r="H53" s="133"/>
      <c r="I53" s="128"/>
      <c r="J53" s="128"/>
      <c r="K53" s="133"/>
      <c r="L53" s="129"/>
      <c r="M53" s="25" t="e">
        <v>#DIV/0!</v>
      </c>
      <c r="N53" s="128"/>
      <c r="O53" s="129"/>
      <c r="P53" s="19"/>
      <c r="Q53" s="134"/>
      <c r="R53" s="129"/>
      <c r="S53" s="129"/>
      <c r="U53" s="134"/>
      <c r="V53" s="129"/>
      <c r="W53" s="25" t="e">
        <v>#DIV/0!</v>
      </c>
      <c r="X53" s="135"/>
      <c r="Y53" s="19"/>
    </row>
    <row r="54" spans="1:25" ht="25.5" customHeight="1" hidden="1">
      <c r="A54" s="145" t="s">
        <v>68</v>
      </c>
      <c r="B54" s="146"/>
      <c r="C54" s="146"/>
      <c r="D54" s="132"/>
      <c r="E54" s="133"/>
      <c r="F54" s="22" t="e">
        <v>#DIV/0!</v>
      </c>
      <c r="G54" s="22" t="e">
        <v>#DIV/0!</v>
      </c>
      <c r="H54" s="133"/>
      <c r="I54" s="128"/>
      <c r="J54" s="128"/>
      <c r="K54" s="133"/>
      <c r="L54" s="129"/>
      <c r="M54" s="25" t="e">
        <v>#DIV/0!</v>
      </c>
      <c r="N54" s="128"/>
      <c r="O54" s="129"/>
      <c r="P54" s="25" t="e">
        <v>#DIV/0!</v>
      </c>
      <c r="Q54" s="134"/>
      <c r="R54" s="129"/>
      <c r="S54" s="129"/>
      <c r="U54" s="134"/>
      <c r="V54" s="129"/>
      <c r="W54" s="25" t="e">
        <v>#DIV/0!</v>
      </c>
      <c r="X54" s="135"/>
      <c r="Y54" s="25" t="e">
        <v>#DIV/0!</v>
      </c>
    </row>
    <row r="55" spans="1:25" ht="12.75" customHeight="1" hidden="1">
      <c r="A55" s="99" t="s">
        <v>69</v>
      </c>
      <c r="B55" s="99"/>
      <c r="C55" s="99"/>
      <c r="D55" s="132"/>
      <c r="E55" s="133"/>
      <c r="F55" s="22" t="e">
        <v>#DIV/0!</v>
      </c>
      <c r="G55" s="22" t="e">
        <v>#DIV/0!</v>
      </c>
      <c r="H55" s="133"/>
      <c r="I55" s="128"/>
      <c r="J55" s="128"/>
      <c r="K55" s="133"/>
      <c r="L55" s="129"/>
      <c r="M55" s="25" t="e">
        <v>#DIV/0!</v>
      </c>
      <c r="N55" s="128"/>
      <c r="O55" s="129"/>
      <c r="P55" s="19"/>
      <c r="Q55" s="134"/>
      <c r="R55" s="129"/>
      <c r="S55" s="129"/>
      <c r="U55" s="134"/>
      <c r="V55" s="129"/>
      <c r="W55" s="25" t="e">
        <v>#DIV/0!</v>
      </c>
      <c r="X55" s="135"/>
      <c r="Y55" s="19"/>
    </row>
    <row r="56" spans="2:25" ht="12.75" customHeight="1" hidden="1">
      <c r="B56" s="147"/>
      <c r="C56" s="147"/>
      <c r="D56" s="107"/>
      <c r="E56" s="148"/>
      <c r="F56" s="22" t="e">
        <v>#DIV/0!</v>
      </c>
      <c r="G56" s="22" t="e">
        <v>#DIV/0!</v>
      </c>
      <c r="H56" s="148"/>
      <c r="I56" s="149"/>
      <c r="J56" s="149"/>
      <c r="K56" s="148"/>
      <c r="L56" s="150"/>
      <c r="M56" s="25" t="e">
        <v>#DIV/0!</v>
      </c>
      <c r="N56" s="149"/>
      <c r="O56" s="150"/>
      <c r="P56" s="25" t="e">
        <v>#DIV/0!</v>
      </c>
      <c r="Q56" s="135"/>
      <c r="R56" s="150"/>
      <c r="S56" s="150"/>
      <c r="U56" s="135"/>
      <c r="V56" s="150"/>
      <c r="W56" s="25" t="e">
        <v>#DIV/0!</v>
      </c>
      <c r="X56" s="135"/>
      <c r="Y56" s="25" t="e">
        <v>#DIV/0!</v>
      </c>
    </row>
    <row r="57" spans="1:25" ht="12.75" customHeight="1" hidden="1">
      <c r="A57" s="151" t="s">
        <v>73</v>
      </c>
      <c r="B57" s="152"/>
      <c r="C57" s="152"/>
      <c r="D57" s="107"/>
      <c r="E57" s="148"/>
      <c r="F57" s="22" t="e">
        <v>#DIV/0!</v>
      </c>
      <c r="G57" s="22" t="e">
        <v>#DIV/0!</v>
      </c>
      <c r="H57" s="148"/>
      <c r="I57" s="149"/>
      <c r="J57" s="149"/>
      <c r="K57" s="148"/>
      <c r="L57" s="150"/>
      <c r="M57" s="25" t="e">
        <v>#DIV/0!</v>
      </c>
      <c r="N57" s="149"/>
      <c r="O57" s="150"/>
      <c r="P57" s="19"/>
      <c r="Q57" s="135"/>
      <c r="R57" s="150"/>
      <c r="S57" s="150"/>
      <c r="U57" s="135"/>
      <c r="V57" s="150"/>
      <c r="W57" s="25" t="e">
        <v>#DIV/0!</v>
      </c>
      <c r="X57" s="135"/>
      <c r="Y57" s="19"/>
    </row>
    <row r="58" spans="1:25" ht="12.75" customHeight="1" hidden="1">
      <c r="A58" s="151" t="s">
        <v>74</v>
      </c>
      <c r="B58" s="153"/>
      <c r="C58" s="153"/>
      <c r="D58" s="107"/>
      <c r="E58" s="148"/>
      <c r="F58" s="22" t="e">
        <v>#DIV/0!</v>
      </c>
      <c r="G58" s="22" t="e">
        <v>#DIV/0!</v>
      </c>
      <c r="H58" s="148"/>
      <c r="I58" s="149"/>
      <c r="J58" s="149"/>
      <c r="K58" s="148"/>
      <c r="L58" s="150"/>
      <c r="M58" s="25" t="e">
        <v>#DIV/0!</v>
      </c>
      <c r="N58" s="149"/>
      <c r="O58" s="150"/>
      <c r="P58" s="25" t="e">
        <v>#DIV/0!</v>
      </c>
      <c r="Q58" s="135"/>
      <c r="R58" s="150"/>
      <c r="S58" s="150"/>
      <c r="U58" s="135"/>
      <c r="V58" s="150"/>
      <c r="W58" s="25" t="e">
        <v>#DIV/0!</v>
      </c>
      <c r="X58" s="135"/>
      <c r="Y58" s="25" t="e">
        <v>#DIV/0!</v>
      </c>
    </row>
    <row r="59" spans="1:25" ht="12.75" customHeight="1" hidden="1">
      <c r="A59" s="151" t="s">
        <v>75</v>
      </c>
      <c r="B59" s="153"/>
      <c r="C59" s="153"/>
      <c r="D59" s="107"/>
      <c r="E59" s="148"/>
      <c r="F59" s="22" t="e">
        <v>#DIV/0!</v>
      </c>
      <c r="G59" s="22" t="e">
        <v>#DIV/0!</v>
      </c>
      <c r="H59" s="148"/>
      <c r="I59" s="149"/>
      <c r="J59" s="149"/>
      <c r="K59" s="148"/>
      <c r="L59" s="150"/>
      <c r="M59" s="25" t="e">
        <v>#DIV/0!</v>
      </c>
      <c r="N59" s="149"/>
      <c r="O59" s="150"/>
      <c r="P59" s="19"/>
      <c r="Q59" s="135"/>
      <c r="R59" s="150"/>
      <c r="S59" s="150"/>
      <c r="U59" s="135"/>
      <c r="V59" s="150"/>
      <c r="W59" s="25" t="e">
        <v>#DIV/0!</v>
      </c>
      <c r="X59" s="135"/>
      <c r="Y59" s="19"/>
    </row>
    <row r="60" spans="1:25" ht="12.75" customHeight="1" hidden="1">
      <c r="A60" s="151" t="s">
        <v>76</v>
      </c>
      <c r="B60" s="153"/>
      <c r="C60" s="153"/>
      <c r="D60" s="107"/>
      <c r="E60" s="148"/>
      <c r="F60" s="22" t="e">
        <v>#DIV/0!</v>
      </c>
      <c r="G60" s="22" t="e">
        <v>#DIV/0!</v>
      </c>
      <c r="H60" s="148"/>
      <c r="I60" s="149"/>
      <c r="J60" s="149"/>
      <c r="K60" s="148"/>
      <c r="L60" s="150"/>
      <c r="M60" s="25" t="e">
        <v>#DIV/0!</v>
      </c>
      <c r="N60" s="149"/>
      <c r="O60" s="150"/>
      <c r="P60" s="25" t="e">
        <v>#DIV/0!</v>
      </c>
      <c r="Q60" s="135"/>
      <c r="R60" s="150"/>
      <c r="S60" s="150"/>
      <c r="U60" s="135"/>
      <c r="V60" s="150"/>
      <c r="W60" s="25" t="e">
        <v>#DIV/0!</v>
      </c>
      <c r="X60" s="135"/>
      <c r="Y60" s="25" t="e">
        <v>#DIV/0!</v>
      </c>
    </row>
    <row r="61" spans="1:25" ht="12.75" customHeight="1" hidden="1">
      <c r="A61" s="151" t="s">
        <v>77</v>
      </c>
      <c r="B61" s="153"/>
      <c r="C61" s="153"/>
      <c r="D61" s="107"/>
      <c r="E61" s="148"/>
      <c r="F61" s="22" t="e">
        <v>#DIV/0!</v>
      </c>
      <c r="G61" s="22" t="e">
        <v>#DIV/0!</v>
      </c>
      <c r="H61" s="148"/>
      <c r="I61" s="149"/>
      <c r="J61" s="149"/>
      <c r="K61" s="148"/>
      <c r="L61" s="150"/>
      <c r="M61" s="25" t="e">
        <v>#DIV/0!</v>
      </c>
      <c r="N61" s="149"/>
      <c r="O61" s="150"/>
      <c r="P61" s="19"/>
      <c r="Q61" s="135"/>
      <c r="R61" s="150"/>
      <c r="S61" s="150"/>
      <c r="U61" s="135"/>
      <c r="V61" s="150"/>
      <c r="W61" s="25" t="e">
        <v>#DIV/0!</v>
      </c>
      <c r="X61" s="135"/>
      <c r="Y61" s="19"/>
    </row>
    <row r="62" spans="1:25" ht="12.75" customHeight="1" hidden="1">
      <c r="A62" s="151" t="s">
        <v>78</v>
      </c>
      <c r="B62" s="153"/>
      <c r="C62" s="153"/>
      <c r="D62" s="107"/>
      <c r="E62" s="148"/>
      <c r="F62" s="22" t="e">
        <v>#DIV/0!</v>
      </c>
      <c r="G62" s="22" t="e">
        <v>#DIV/0!</v>
      </c>
      <c r="H62" s="148"/>
      <c r="I62" s="149"/>
      <c r="J62" s="149"/>
      <c r="K62" s="148"/>
      <c r="L62" s="150"/>
      <c r="M62" s="25" t="e">
        <v>#DIV/0!</v>
      </c>
      <c r="N62" s="149"/>
      <c r="O62" s="150"/>
      <c r="P62" s="25" t="e">
        <v>#DIV/0!</v>
      </c>
      <c r="Q62" s="135"/>
      <c r="R62" s="150"/>
      <c r="S62" s="150"/>
      <c r="U62" s="135"/>
      <c r="V62" s="150"/>
      <c r="W62" s="25" t="e">
        <v>#DIV/0!</v>
      </c>
      <c r="X62" s="135"/>
      <c r="Y62" s="25" t="e">
        <v>#DIV/0!</v>
      </c>
    </row>
    <row r="63" spans="1:25" ht="12.75" customHeight="1" hidden="1">
      <c r="A63" s="151" t="s">
        <v>79</v>
      </c>
      <c r="B63" s="153"/>
      <c r="C63" s="153"/>
      <c r="D63" s="107"/>
      <c r="E63" s="148"/>
      <c r="F63" s="22" t="e">
        <v>#DIV/0!</v>
      </c>
      <c r="G63" s="22" t="e">
        <v>#DIV/0!</v>
      </c>
      <c r="H63" s="148"/>
      <c r="I63" s="149"/>
      <c r="J63" s="149"/>
      <c r="K63" s="148"/>
      <c r="L63" s="150"/>
      <c r="M63" s="25" t="e">
        <v>#DIV/0!</v>
      </c>
      <c r="N63" s="149"/>
      <c r="O63" s="150"/>
      <c r="P63" s="19"/>
      <c r="Q63" s="135"/>
      <c r="R63" s="150"/>
      <c r="S63" s="150"/>
      <c r="U63" s="135"/>
      <c r="V63" s="150"/>
      <c r="W63" s="25" t="e">
        <v>#DIV/0!</v>
      </c>
      <c r="X63" s="135"/>
      <c r="Y63" s="19"/>
    </row>
    <row r="64" spans="1:25" ht="12.75" customHeight="1" hidden="1">
      <c r="A64" s="151" t="s">
        <v>80</v>
      </c>
      <c r="B64" s="153"/>
      <c r="C64" s="153"/>
      <c r="D64" s="107"/>
      <c r="E64" s="148"/>
      <c r="F64" s="22" t="e">
        <v>#DIV/0!</v>
      </c>
      <c r="G64" s="22" t="e">
        <v>#DIV/0!</v>
      </c>
      <c r="H64" s="148"/>
      <c r="I64" s="149"/>
      <c r="J64" s="149"/>
      <c r="K64" s="148"/>
      <c r="L64" s="150"/>
      <c r="M64" s="25" t="e">
        <v>#DIV/0!</v>
      </c>
      <c r="N64" s="149"/>
      <c r="O64" s="150"/>
      <c r="P64" s="25" t="e">
        <v>#DIV/0!</v>
      </c>
      <c r="Q64" s="135"/>
      <c r="R64" s="150"/>
      <c r="S64" s="150"/>
      <c r="U64" s="135"/>
      <c r="V64" s="150"/>
      <c r="W64" s="25" t="e">
        <v>#DIV/0!</v>
      </c>
      <c r="X64" s="135"/>
      <c r="Y64" s="25" t="e">
        <v>#DIV/0!</v>
      </c>
    </row>
    <row r="65" spans="1:25" ht="26.25" customHeight="1" hidden="1">
      <c r="A65" s="151" t="s">
        <v>81</v>
      </c>
      <c r="B65" s="153"/>
      <c r="C65" s="153"/>
      <c r="D65" s="107"/>
      <c r="E65" s="148"/>
      <c r="F65" s="22" t="e">
        <v>#DIV/0!</v>
      </c>
      <c r="G65" s="22" t="e">
        <v>#DIV/0!</v>
      </c>
      <c r="H65" s="148"/>
      <c r="I65" s="149"/>
      <c r="J65" s="149"/>
      <c r="K65" s="148"/>
      <c r="L65" s="150"/>
      <c r="M65" s="25" t="e">
        <v>#DIV/0!</v>
      </c>
      <c r="N65" s="149"/>
      <c r="O65" s="150"/>
      <c r="P65" s="19"/>
      <c r="Q65" s="135"/>
      <c r="R65" s="150"/>
      <c r="S65" s="150"/>
      <c r="U65" s="135"/>
      <c r="V65" s="150"/>
      <c r="W65" s="25" t="e">
        <v>#DIV/0!</v>
      </c>
      <c r="X65" s="135"/>
      <c r="Y65" s="19"/>
    </row>
    <row r="66" spans="1:25" ht="39.75" customHeight="1" hidden="1">
      <c r="A66" s="151" t="s">
        <v>82</v>
      </c>
      <c r="B66" s="153"/>
      <c r="C66" s="153"/>
      <c r="D66" s="107"/>
      <c r="E66" s="148"/>
      <c r="F66" s="22" t="e">
        <v>#DIV/0!</v>
      </c>
      <c r="G66" s="22" t="e">
        <v>#DIV/0!</v>
      </c>
      <c r="H66" s="148"/>
      <c r="I66" s="149"/>
      <c r="J66" s="149"/>
      <c r="K66" s="148"/>
      <c r="L66" s="150"/>
      <c r="M66" s="25" t="e">
        <v>#DIV/0!</v>
      </c>
      <c r="N66" s="149"/>
      <c r="O66" s="150"/>
      <c r="P66" s="25" t="e">
        <v>#DIV/0!</v>
      </c>
      <c r="Q66" s="135"/>
      <c r="R66" s="150"/>
      <c r="S66" s="150"/>
      <c r="U66" s="135"/>
      <c r="V66" s="150"/>
      <c r="W66" s="25" t="e">
        <v>#DIV/0!</v>
      </c>
      <c r="X66" s="135"/>
      <c r="Y66" s="25" t="e">
        <v>#DIV/0!</v>
      </c>
    </row>
    <row r="67" spans="1:25" ht="12.75" customHeight="1" hidden="1">
      <c r="A67" s="151" t="s">
        <v>83</v>
      </c>
      <c r="B67" s="153"/>
      <c r="C67" s="153"/>
      <c r="D67" s="107"/>
      <c r="E67" s="148"/>
      <c r="F67" s="22" t="e">
        <v>#DIV/0!</v>
      </c>
      <c r="G67" s="22" t="e">
        <v>#DIV/0!</v>
      </c>
      <c r="H67" s="148"/>
      <c r="I67" s="149"/>
      <c r="J67" s="149"/>
      <c r="K67" s="148"/>
      <c r="L67" s="150"/>
      <c r="M67" s="25" t="e">
        <v>#DIV/0!</v>
      </c>
      <c r="N67" s="149"/>
      <c r="O67" s="150"/>
      <c r="P67" s="19"/>
      <c r="Q67" s="135"/>
      <c r="R67" s="150"/>
      <c r="S67" s="150"/>
      <c r="U67" s="135"/>
      <c r="V67" s="150"/>
      <c r="W67" s="25" t="e">
        <v>#DIV/0!</v>
      </c>
      <c r="X67" s="135"/>
      <c r="Y67" s="19"/>
    </row>
    <row r="68" spans="1:25" ht="12.75" customHeight="1" hidden="1">
      <c r="A68" s="151" t="s">
        <v>84</v>
      </c>
      <c r="B68" s="153"/>
      <c r="C68" s="153"/>
      <c r="D68" s="107"/>
      <c r="E68" s="148"/>
      <c r="F68" s="22" t="e">
        <v>#DIV/0!</v>
      </c>
      <c r="G68" s="22" t="e">
        <v>#DIV/0!</v>
      </c>
      <c r="H68" s="148"/>
      <c r="I68" s="149"/>
      <c r="J68" s="149"/>
      <c r="K68" s="148"/>
      <c r="L68" s="150"/>
      <c r="M68" s="25" t="e">
        <v>#DIV/0!</v>
      </c>
      <c r="N68" s="149"/>
      <c r="O68" s="150"/>
      <c r="P68" s="25" t="e">
        <v>#DIV/0!</v>
      </c>
      <c r="Q68" s="135"/>
      <c r="R68" s="150"/>
      <c r="S68" s="150"/>
      <c r="U68" s="135"/>
      <c r="V68" s="150"/>
      <c r="W68" s="25" t="e">
        <v>#DIV/0!</v>
      </c>
      <c r="X68" s="135"/>
      <c r="Y68" s="25" t="e">
        <v>#DIV/0!</v>
      </c>
    </row>
    <row r="69" spans="1:25" ht="12.75" customHeight="1" hidden="1">
      <c r="A69" s="151" t="s">
        <v>85</v>
      </c>
      <c r="B69" s="153"/>
      <c r="C69" s="153"/>
      <c r="D69" s="107"/>
      <c r="E69" s="148"/>
      <c r="F69" s="22" t="e">
        <v>#DIV/0!</v>
      </c>
      <c r="G69" s="22" t="e">
        <v>#DIV/0!</v>
      </c>
      <c r="H69" s="148"/>
      <c r="I69" s="149"/>
      <c r="J69" s="149"/>
      <c r="K69" s="148"/>
      <c r="L69" s="150"/>
      <c r="M69" s="25" t="e">
        <v>#DIV/0!</v>
      </c>
      <c r="N69" s="149"/>
      <c r="O69" s="150"/>
      <c r="P69" s="19"/>
      <c r="Q69" s="135"/>
      <c r="R69" s="150"/>
      <c r="S69" s="150"/>
      <c r="U69" s="135"/>
      <c r="V69" s="150"/>
      <c r="W69" s="25" t="e">
        <v>#DIV/0!</v>
      </c>
      <c r="X69" s="135"/>
      <c r="Y69" s="19"/>
    </row>
    <row r="70" spans="1:25" ht="12.75" customHeight="1" hidden="1">
      <c r="A70" s="151" t="s">
        <v>86</v>
      </c>
      <c r="B70" s="153"/>
      <c r="C70" s="153"/>
      <c r="D70" s="107"/>
      <c r="E70" s="148"/>
      <c r="F70" s="22" t="e">
        <v>#DIV/0!</v>
      </c>
      <c r="G70" s="22" t="e">
        <v>#DIV/0!</v>
      </c>
      <c r="H70" s="148"/>
      <c r="I70" s="149"/>
      <c r="J70" s="149"/>
      <c r="K70" s="148"/>
      <c r="L70" s="150"/>
      <c r="M70" s="25" t="e">
        <v>#DIV/0!</v>
      </c>
      <c r="N70" s="149"/>
      <c r="O70" s="150"/>
      <c r="P70" s="25" t="e">
        <v>#DIV/0!</v>
      </c>
      <c r="Q70" s="135"/>
      <c r="R70" s="150"/>
      <c r="S70" s="150"/>
      <c r="U70" s="135"/>
      <c r="V70" s="150"/>
      <c r="W70" s="25" t="e">
        <v>#DIV/0!</v>
      </c>
      <c r="X70" s="135"/>
      <c r="Y70" s="25" t="e">
        <v>#DIV/0!</v>
      </c>
    </row>
    <row r="71" spans="1:25" ht="25.5" customHeight="1" hidden="1">
      <c r="A71" s="151" t="s">
        <v>87</v>
      </c>
      <c r="B71" s="153"/>
      <c r="C71" s="153"/>
      <c r="D71" s="107"/>
      <c r="E71" s="148"/>
      <c r="F71" s="22" t="e">
        <v>#DIV/0!</v>
      </c>
      <c r="G71" s="22" t="e">
        <v>#DIV/0!</v>
      </c>
      <c r="H71" s="148"/>
      <c r="I71" s="149"/>
      <c r="J71" s="149"/>
      <c r="K71" s="148"/>
      <c r="L71" s="150"/>
      <c r="M71" s="25" t="e">
        <v>#DIV/0!</v>
      </c>
      <c r="N71" s="149"/>
      <c r="O71" s="150"/>
      <c r="P71" s="19"/>
      <c r="Q71" s="135"/>
      <c r="R71" s="150"/>
      <c r="S71" s="150"/>
      <c r="U71" s="135"/>
      <c r="V71" s="150"/>
      <c r="W71" s="25" t="e">
        <v>#DIV/0!</v>
      </c>
      <c r="X71" s="135"/>
      <c r="Y71" s="19"/>
    </row>
    <row r="72" spans="1:25" ht="12.75" customHeight="1" hidden="1">
      <c r="A72" s="151" t="s">
        <v>88</v>
      </c>
      <c r="B72" s="153"/>
      <c r="C72" s="153"/>
      <c r="D72" s="107"/>
      <c r="E72" s="148"/>
      <c r="F72" s="22" t="e">
        <v>#DIV/0!</v>
      </c>
      <c r="G72" s="22" t="e">
        <v>#DIV/0!</v>
      </c>
      <c r="H72" s="148"/>
      <c r="I72" s="149"/>
      <c r="J72" s="149"/>
      <c r="K72" s="148"/>
      <c r="L72" s="150"/>
      <c r="M72" s="25" t="e">
        <v>#DIV/0!</v>
      </c>
      <c r="N72" s="149"/>
      <c r="O72" s="150"/>
      <c r="P72" s="25" t="e">
        <v>#DIV/0!</v>
      </c>
      <c r="Q72" s="135"/>
      <c r="R72" s="150"/>
      <c r="S72" s="150"/>
      <c r="U72" s="135"/>
      <c r="V72" s="150"/>
      <c r="W72" s="25" t="e">
        <v>#DIV/0!</v>
      </c>
      <c r="X72" s="135"/>
      <c r="Y72" s="25" t="e">
        <v>#DIV/0!</v>
      </c>
    </row>
    <row r="73" spans="1:25" ht="12.75" customHeight="1" hidden="1">
      <c r="A73" s="151" t="s">
        <v>89</v>
      </c>
      <c r="B73" s="153"/>
      <c r="C73" s="153"/>
      <c r="D73" s="107"/>
      <c r="E73" s="148"/>
      <c r="F73" s="22" t="e">
        <v>#DIV/0!</v>
      </c>
      <c r="G73" s="22" t="e">
        <v>#DIV/0!</v>
      </c>
      <c r="H73" s="148"/>
      <c r="I73" s="149"/>
      <c r="J73" s="149"/>
      <c r="K73" s="148"/>
      <c r="L73" s="150"/>
      <c r="M73" s="25" t="e">
        <v>#DIV/0!</v>
      </c>
      <c r="N73" s="149"/>
      <c r="O73" s="150"/>
      <c r="P73" s="19"/>
      <c r="Q73" s="135"/>
      <c r="R73" s="150"/>
      <c r="S73" s="150"/>
      <c r="U73" s="135"/>
      <c r="V73" s="150"/>
      <c r="W73" s="25" t="e">
        <v>#DIV/0!</v>
      </c>
      <c r="X73" s="135"/>
      <c r="Y73" s="19"/>
    </row>
    <row r="74" spans="2:24" ht="12.75" hidden="1">
      <c r="B74" s="147"/>
      <c r="C74" s="147"/>
      <c r="D74" s="107"/>
      <c r="E74" s="148"/>
      <c r="F74" s="150"/>
      <c r="G74" s="150"/>
      <c r="H74" s="148"/>
      <c r="I74" s="149"/>
      <c r="J74" s="149"/>
      <c r="K74" s="148"/>
      <c r="L74" s="150"/>
      <c r="N74" s="149"/>
      <c r="O74" s="150"/>
      <c r="Q74" s="135"/>
      <c r="R74" s="150"/>
      <c r="S74" s="150"/>
      <c r="U74" s="135"/>
      <c r="V74" s="150"/>
      <c r="X74" s="135"/>
    </row>
    <row r="75" spans="3:25" ht="12.75" hidden="1">
      <c r="C75" s="18">
        <v>-55365175.73000002</v>
      </c>
      <c r="D75" s="18">
        <v>-157235875</v>
      </c>
      <c r="E75" s="18">
        <v>-117985909</v>
      </c>
      <c r="F75" s="18">
        <v>14.697518269595413</v>
      </c>
      <c r="G75" s="18">
        <v>14.697518269595413</v>
      </c>
      <c r="H75" s="18">
        <v>-1878638.0299999714</v>
      </c>
      <c r="I75" s="18">
        <v>-12.391525615997516</v>
      </c>
      <c r="J75" s="18">
        <v>-12.391525615997516</v>
      </c>
      <c r="K75" s="18">
        <v>-0.1700000762939453</v>
      </c>
      <c r="L75" s="18">
        <v>-135.74433629769942</v>
      </c>
      <c r="M75" s="18">
        <v>-135.74433629769942</v>
      </c>
      <c r="N75" s="18">
        <v>0.34999990463256836</v>
      </c>
      <c r="O75" s="18">
        <v>-146.29795650377676</v>
      </c>
      <c r="P75" s="18">
        <v>2.5601220988433226</v>
      </c>
      <c r="Q75" s="18">
        <v>-0.4099998474121094</v>
      </c>
      <c r="R75" s="18" t="e">
        <v>#DIV/0!</v>
      </c>
      <c r="S75" s="18">
        <v>101.83710717918022</v>
      </c>
      <c r="T75" s="18" t="e">
        <v>#DIV/0!</v>
      </c>
      <c r="U75" s="18">
        <v>0.2999999523162842</v>
      </c>
      <c r="V75" s="18">
        <v>101.87884140935198</v>
      </c>
      <c r="W75" s="18" t="e">
        <v>#DIV/0!</v>
      </c>
      <c r="X75" s="18">
        <v>-0.2200000286102295</v>
      </c>
      <c r="Y75" s="18" t="e">
        <v>#DIV/0!</v>
      </c>
    </row>
    <row r="76" spans="3:25" ht="12.75" hidden="1">
      <c r="C76" s="154">
        <v>0</v>
      </c>
      <c r="D76" s="154">
        <v>1090212</v>
      </c>
      <c r="E76" s="154">
        <v>0</v>
      </c>
      <c r="F76" s="154">
        <v>20.129444533364826</v>
      </c>
      <c r="G76" s="154">
        <v>20.129444533364826</v>
      </c>
      <c r="H76" s="154">
        <v>-0.029999971389770508</v>
      </c>
      <c r="I76" s="154">
        <v>-22.598317361711047</v>
      </c>
      <c r="J76" s="154">
        <v>-22.598317361711047</v>
      </c>
      <c r="K76" s="154">
        <v>-0.1700000762939453</v>
      </c>
      <c r="L76" s="154">
        <v>-139.1010850593047</v>
      </c>
      <c r="M76" s="154">
        <v>-139.1010850593047</v>
      </c>
      <c r="N76" s="154">
        <v>0.34999990463256836</v>
      </c>
      <c r="O76" s="154">
        <v>-146.29795650377676</v>
      </c>
      <c r="P76" s="154">
        <v>-146.29795650377676</v>
      </c>
      <c r="Q76" s="154">
        <v>-0.4099998474121094</v>
      </c>
      <c r="R76" s="154">
        <v>-8.43028504987062</v>
      </c>
      <c r="S76" s="154">
        <v>101.83710717918022</v>
      </c>
      <c r="T76" s="154" t="e">
        <v>#DIV/0!</v>
      </c>
      <c r="U76" s="154">
        <v>0.2999999523162842</v>
      </c>
      <c r="V76" s="154">
        <v>101.87884140935198</v>
      </c>
      <c r="W76" s="154" t="e">
        <v>#DIV/0!</v>
      </c>
      <c r="X76" s="154">
        <v>-0.2200000286102295</v>
      </c>
      <c r="Y76" s="154" t="e">
        <v>#DIV/0!</v>
      </c>
    </row>
    <row r="77" spans="3:24" ht="12.75" hidden="1">
      <c r="C77" s="18">
        <v>124959184.82999998</v>
      </c>
      <c r="D77" s="18">
        <v>23088485.560000002</v>
      </c>
      <c r="E77" s="18">
        <v>6973275.829999983</v>
      </c>
      <c r="F77" s="18">
        <v>83.99441439718316</v>
      </c>
      <c r="G77" s="18">
        <v>83.99441439718316</v>
      </c>
      <c r="H77" s="18">
        <v>5094637.800000012</v>
      </c>
      <c r="I77" s="18">
        <v>-6.811082818225797</v>
      </c>
      <c r="J77" s="18">
        <v>-6.811082818225797</v>
      </c>
      <c r="K77" s="18">
        <v>5094637.629999906</v>
      </c>
      <c r="L77" s="18">
        <v>-62.68487437189755</v>
      </c>
      <c r="M77" s="18">
        <v>-62.68487437189755</v>
      </c>
      <c r="N77" s="18">
        <v>5094637.9799999</v>
      </c>
      <c r="O77" s="18">
        <v>-46.29795984061823</v>
      </c>
      <c r="P77" s="18">
        <v>2.5601220988433226</v>
      </c>
      <c r="Q77" s="18">
        <v>5094637.570000142</v>
      </c>
      <c r="R77" s="18" t="e">
        <v>#DIV/0!</v>
      </c>
      <c r="S77" s="18">
        <v>101.83710717918022</v>
      </c>
      <c r="T77" s="18" t="e">
        <v>#DIV/0!</v>
      </c>
      <c r="U77" s="18">
        <v>5094637.869999945</v>
      </c>
      <c r="V77" s="18">
        <v>201.87883336167522</v>
      </c>
      <c r="W77" s="18" t="e">
        <v>#DIV/0!</v>
      </c>
      <c r="X77" s="135"/>
    </row>
    <row r="78" spans="4:24" ht="12.75" hidden="1">
      <c r="D78" s="107"/>
      <c r="E78" s="148"/>
      <c r="F78" s="150"/>
      <c r="G78" s="150"/>
      <c r="H78" s="148"/>
      <c r="I78" s="149"/>
      <c r="J78" s="149"/>
      <c r="K78" s="148"/>
      <c r="L78" s="150"/>
      <c r="N78" s="149"/>
      <c r="O78" s="150"/>
      <c r="Q78" s="135"/>
      <c r="R78" s="150"/>
      <c r="S78" s="150"/>
      <c r="U78" s="135"/>
      <c r="V78" s="150"/>
      <c r="X78" s="135"/>
    </row>
    <row r="79" spans="3:32" ht="12.75" hidden="1">
      <c r="C79" s="18">
        <v>0</v>
      </c>
      <c r="D79" s="18">
        <v>1090212</v>
      </c>
      <c r="E79" s="18">
        <v>0</v>
      </c>
      <c r="F79" s="18">
        <v>50.374462019237896</v>
      </c>
      <c r="G79" s="18" t="e">
        <v>#DIV/0!</v>
      </c>
      <c r="H79" s="18">
        <v>-0.029999971389770508</v>
      </c>
      <c r="I79" s="18">
        <v>-9.336829681038168</v>
      </c>
      <c r="J79" s="18">
        <v>-9.336829681038168</v>
      </c>
      <c r="K79" s="18">
        <v>-0.1700000762939453</v>
      </c>
      <c r="L79" s="18" t="e">
        <v>#DIV/0!</v>
      </c>
      <c r="M79" s="18" t="e">
        <v>#DIV/0!</v>
      </c>
      <c r="N79" s="18">
        <v>0.34999990463256836</v>
      </c>
      <c r="O79" s="18" t="e">
        <v>#DIV/0!</v>
      </c>
      <c r="P79" s="18" t="e">
        <v>#DIV/0!</v>
      </c>
      <c r="Q79" s="18">
        <v>-0.4099998474121094</v>
      </c>
      <c r="R79" s="18" t="e">
        <v>#DIV/0!</v>
      </c>
      <c r="S79" s="18">
        <v>101.83710717918022</v>
      </c>
      <c r="T79" s="18" t="e">
        <v>#DIV/0!</v>
      </c>
      <c r="U79" s="18">
        <v>0.2999999523162842</v>
      </c>
      <c r="V79" s="18" t="e">
        <v>#DIV/0!</v>
      </c>
      <c r="W79" s="18" t="e">
        <v>#DIV/0!</v>
      </c>
      <c r="X79" s="18">
        <v>-0.2200000286102295</v>
      </c>
      <c r="Y79" s="18" t="e">
        <v>#DIV/0!</v>
      </c>
      <c r="Z79" s="18">
        <v>0.1399998664855957</v>
      </c>
      <c r="AA79" s="18">
        <v>102.87899648367917</v>
      </c>
      <c r="AB79" s="18">
        <v>0.4700000286102295</v>
      </c>
      <c r="AC79" s="18">
        <v>102.75231135335336</v>
      </c>
      <c r="AD79" s="18">
        <v>0.3299999237060547</v>
      </c>
      <c r="AE79" s="18">
        <v>102.83601173865536</v>
      </c>
      <c r="AF79" s="18">
        <v>0.40000009536743164</v>
      </c>
    </row>
    <row r="80" spans="4:36" ht="12.75" hidden="1">
      <c r="D80" s="107"/>
      <c r="E80" s="148"/>
      <c r="F80" s="150"/>
      <c r="G80" s="150"/>
      <c r="H80" s="154">
        <v>17626337</v>
      </c>
      <c r="I80" s="154">
        <v>21.758235578622376</v>
      </c>
      <c r="J80" s="154">
        <v>21.758235578622376</v>
      </c>
      <c r="K80" s="154">
        <v>6143038</v>
      </c>
      <c r="L80" s="154">
        <v>34.851472543614705</v>
      </c>
      <c r="M80" s="154">
        <v>34.851472543614705</v>
      </c>
      <c r="N80" s="154">
        <v>0</v>
      </c>
      <c r="O80" s="154">
        <v>0</v>
      </c>
      <c r="P80" s="154">
        <v>0</v>
      </c>
      <c r="Q80" s="154">
        <v>0</v>
      </c>
      <c r="R80" s="154" t="e">
        <v>#DIV/0!</v>
      </c>
      <c r="S80" s="154">
        <v>0</v>
      </c>
      <c r="T80" s="154" t="e">
        <v>#DIV/0!</v>
      </c>
      <c r="U80" s="154">
        <v>0</v>
      </c>
      <c r="V80" s="154">
        <v>0</v>
      </c>
      <c r="W80" s="154" t="e">
        <v>#DIV/0!</v>
      </c>
      <c r="X80" s="154">
        <v>0</v>
      </c>
      <c r="Y80" s="154" t="e">
        <v>#DIV/0!</v>
      </c>
      <c r="Z80" s="154">
        <v>0</v>
      </c>
      <c r="AA80" s="154">
        <v>0</v>
      </c>
      <c r="AB80" s="154">
        <v>0</v>
      </c>
      <c r="AC80" s="154">
        <v>0</v>
      </c>
      <c r="AD80" s="154">
        <v>0</v>
      </c>
      <c r="AE80" s="154">
        <v>0</v>
      </c>
      <c r="AF80" s="154">
        <v>0</v>
      </c>
      <c r="AG80" s="154">
        <v>0</v>
      </c>
      <c r="AH80" s="154">
        <v>0</v>
      </c>
      <c r="AI80" s="154">
        <v>0</v>
      </c>
      <c r="AJ80" s="154">
        <v>0</v>
      </c>
    </row>
    <row r="81" spans="4:36" s="18" customFormat="1" ht="12.75" hidden="1">
      <c r="D81" s="154"/>
      <c r="E81" s="154">
        <v>0</v>
      </c>
      <c r="F81" s="154">
        <v>50.374462019237896</v>
      </c>
      <c r="G81" s="154" t="e">
        <v>#DIV/0!</v>
      </c>
      <c r="H81" s="154">
        <v>-0.029999971389770508</v>
      </c>
      <c r="I81" s="154">
        <v>-9.336829681038168</v>
      </c>
      <c r="J81" s="154">
        <v>-9.336829681038168</v>
      </c>
      <c r="K81" s="154">
        <v>-0.1700000762939453</v>
      </c>
      <c r="L81" s="154" t="e">
        <v>#DIV/0!</v>
      </c>
      <c r="M81" s="154" t="e">
        <v>#DIV/0!</v>
      </c>
      <c r="N81" s="154">
        <v>0.34999990463256836</v>
      </c>
      <c r="O81" s="154" t="e">
        <v>#DIV/0!</v>
      </c>
      <c r="P81" s="154" t="e">
        <v>#DIV/0!</v>
      </c>
      <c r="Q81" s="154">
        <v>-0.4099998474121094</v>
      </c>
      <c r="R81" s="154" t="e">
        <v>#DIV/0!</v>
      </c>
      <c r="S81" s="154">
        <v>101.83710717918022</v>
      </c>
      <c r="T81" s="154" t="e">
        <v>#DIV/0!</v>
      </c>
      <c r="U81" s="154">
        <v>0.2999999523162842</v>
      </c>
      <c r="V81" s="154" t="e">
        <v>#DIV/0!</v>
      </c>
      <c r="W81" s="154" t="e">
        <v>#DIV/0!</v>
      </c>
      <c r="X81" s="154">
        <v>-0.2200000286102295</v>
      </c>
      <c r="Y81" s="154" t="e">
        <v>#DIV/0!</v>
      </c>
      <c r="Z81" s="154">
        <v>0.1399998664855957</v>
      </c>
      <c r="AA81" s="154">
        <v>102.87899648367917</v>
      </c>
      <c r="AB81" s="154">
        <v>0.4700000286102295</v>
      </c>
      <c r="AC81" s="154">
        <v>102.75231135335336</v>
      </c>
      <c r="AD81" s="154">
        <v>0.3299999237060547</v>
      </c>
      <c r="AE81" s="154">
        <v>102.83601173865536</v>
      </c>
      <c r="AF81" s="154">
        <v>0.40000009536743164</v>
      </c>
      <c r="AG81" s="154">
        <v>0</v>
      </c>
      <c r="AH81" s="154">
        <v>102.74538911987217</v>
      </c>
      <c r="AI81" s="154">
        <v>0</v>
      </c>
      <c r="AJ81" s="154">
        <v>0</v>
      </c>
    </row>
    <row r="82" spans="4:24" ht="12.75" hidden="1">
      <c r="D82" s="107"/>
      <c r="E82" s="148"/>
      <c r="F82" s="150"/>
      <c r="G82" s="150"/>
      <c r="H82" s="148"/>
      <c r="I82" s="149"/>
      <c r="J82" s="149"/>
      <c r="K82" s="148"/>
      <c r="L82" s="150"/>
      <c r="N82" s="149"/>
      <c r="O82" s="150"/>
      <c r="Q82" s="135"/>
      <c r="R82" s="150"/>
      <c r="S82" s="150"/>
      <c r="U82" s="135"/>
      <c r="V82" s="150"/>
      <c r="X82" s="135"/>
    </row>
    <row r="83" spans="4:24" ht="12.75" hidden="1">
      <c r="D83" s="107"/>
      <c r="E83" s="148"/>
      <c r="F83" s="150"/>
      <c r="G83" s="150"/>
      <c r="H83" s="148"/>
      <c r="I83" s="149"/>
      <c r="J83" s="149"/>
      <c r="K83" s="148"/>
      <c r="L83" s="150"/>
      <c r="N83" s="149"/>
      <c r="O83" s="150"/>
      <c r="Q83" s="135"/>
      <c r="R83" s="150"/>
      <c r="S83" s="150"/>
      <c r="U83" s="135"/>
      <c r="V83" s="150"/>
      <c r="X83" s="135"/>
    </row>
    <row r="84" spans="4:24" ht="12.75" hidden="1">
      <c r="D84" s="107"/>
      <c r="E84" s="148"/>
      <c r="F84" s="150"/>
      <c r="G84" s="150"/>
      <c r="H84" s="148"/>
      <c r="I84" s="149"/>
      <c r="J84" s="149"/>
      <c r="K84" s="148"/>
      <c r="L84" s="150"/>
      <c r="N84" s="149"/>
      <c r="O84" s="150"/>
      <c r="Q84" s="135"/>
      <c r="R84" s="150"/>
      <c r="S84" s="150"/>
      <c r="U84" s="135"/>
      <c r="V84" s="150"/>
      <c r="X84" s="135"/>
    </row>
    <row r="85" spans="4:24" ht="12.75" hidden="1">
      <c r="D85" s="107"/>
      <c r="E85" s="148"/>
      <c r="F85" s="150"/>
      <c r="G85" s="150"/>
      <c r="H85" s="148"/>
      <c r="I85" s="149"/>
      <c r="J85" s="149"/>
      <c r="K85" s="148"/>
      <c r="L85" s="150"/>
      <c r="N85" s="149"/>
      <c r="O85" s="150"/>
      <c r="Q85" s="135"/>
      <c r="R85" s="150"/>
      <c r="S85" s="150"/>
      <c r="U85" s="135"/>
      <c r="V85" s="150"/>
      <c r="X85" s="135"/>
    </row>
    <row r="86" spans="4:24" ht="12.75" hidden="1">
      <c r="D86" s="107"/>
      <c r="E86" s="148"/>
      <c r="F86" s="150"/>
      <c r="G86" s="150"/>
      <c r="H86" s="148"/>
      <c r="I86" s="149"/>
      <c r="J86" s="149"/>
      <c r="K86" s="148"/>
      <c r="L86" s="150"/>
      <c r="N86" s="149"/>
      <c r="O86" s="150"/>
      <c r="Q86" s="135"/>
      <c r="R86" s="150"/>
      <c r="S86" s="150"/>
      <c r="U86" s="135"/>
      <c r="V86" s="150"/>
      <c r="X86" s="135"/>
    </row>
    <row r="87" spans="4:24" ht="12.75" hidden="1">
      <c r="D87" s="107"/>
      <c r="E87" s="148"/>
      <c r="F87" s="150"/>
      <c r="G87" s="150"/>
      <c r="H87" s="148"/>
      <c r="I87" s="149"/>
      <c r="J87" s="149"/>
      <c r="K87" s="148"/>
      <c r="L87" s="150"/>
      <c r="N87" s="149"/>
      <c r="O87" s="150"/>
      <c r="Q87" s="135"/>
      <c r="R87" s="150"/>
      <c r="S87" s="150"/>
      <c r="U87" s="135"/>
      <c r="V87" s="150"/>
      <c r="X87" s="135"/>
    </row>
    <row r="88" spans="4:24" ht="12.75" hidden="1">
      <c r="D88" s="107"/>
      <c r="E88" s="148"/>
      <c r="F88" s="150"/>
      <c r="G88" s="150"/>
      <c r="H88" s="148"/>
      <c r="I88" s="149"/>
      <c r="J88" s="149"/>
      <c r="K88" s="148"/>
      <c r="L88" s="150"/>
      <c r="N88" s="149"/>
      <c r="O88" s="150"/>
      <c r="Q88" s="135"/>
      <c r="R88" s="150"/>
      <c r="S88" s="150"/>
      <c r="U88" s="135"/>
      <c r="V88" s="150"/>
      <c r="X88" s="135"/>
    </row>
    <row r="89" spans="4:24" ht="12.75" hidden="1">
      <c r="D89" s="107"/>
      <c r="E89" s="148"/>
      <c r="F89" s="150"/>
      <c r="G89" s="150"/>
      <c r="H89" s="148"/>
      <c r="I89" s="149"/>
      <c r="J89" s="149"/>
      <c r="K89" s="148"/>
      <c r="L89" s="150"/>
      <c r="N89" s="149"/>
      <c r="O89" s="150"/>
      <c r="Q89" s="135"/>
      <c r="R89" s="150"/>
      <c r="S89" s="150"/>
      <c r="U89" s="135"/>
      <c r="V89" s="150"/>
      <c r="X89" s="135"/>
    </row>
    <row r="90" spans="4:24" ht="12.75" hidden="1">
      <c r="D90" s="107"/>
      <c r="E90" s="148"/>
      <c r="F90" s="150"/>
      <c r="G90" s="150"/>
      <c r="H90" s="148"/>
      <c r="I90" s="149"/>
      <c r="J90" s="149"/>
      <c r="K90" s="148"/>
      <c r="L90" s="150"/>
      <c r="N90" s="149"/>
      <c r="O90" s="150"/>
      <c r="Q90" s="135"/>
      <c r="R90" s="150"/>
      <c r="S90" s="150"/>
      <c r="U90" s="135"/>
      <c r="V90" s="150"/>
      <c r="X90" s="135"/>
    </row>
    <row r="91" spans="4:24" ht="12.75" hidden="1">
      <c r="D91" s="107"/>
      <c r="E91" s="148"/>
      <c r="F91" s="150"/>
      <c r="G91" s="150"/>
      <c r="H91" s="148"/>
      <c r="I91" s="149"/>
      <c r="J91" s="149"/>
      <c r="K91" s="148"/>
      <c r="L91" s="150"/>
      <c r="N91" s="149"/>
      <c r="O91" s="150"/>
      <c r="Q91" s="135"/>
      <c r="R91" s="150"/>
      <c r="S91" s="150"/>
      <c r="U91" s="135"/>
      <c r="V91" s="150"/>
      <c r="X91" s="135"/>
    </row>
    <row r="92" spans="4:24" ht="12.75" hidden="1">
      <c r="D92" s="107"/>
      <c r="E92" s="148"/>
      <c r="F92" s="150"/>
      <c r="G92" s="150"/>
      <c r="H92" s="148"/>
      <c r="I92" s="149"/>
      <c r="J92" s="149"/>
      <c r="K92" s="148"/>
      <c r="L92" s="150"/>
      <c r="N92" s="149"/>
      <c r="O92" s="150"/>
      <c r="Q92" s="135"/>
      <c r="R92" s="150"/>
      <c r="S92" s="150"/>
      <c r="U92" s="135"/>
      <c r="V92" s="150"/>
      <c r="X92" s="135"/>
    </row>
    <row r="93" spans="4:24" ht="12.75" hidden="1">
      <c r="D93" s="107"/>
      <c r="E93" s="148"/>
      <c r="F93" s="150"/>
      <c r="G93" s="150"/>
      <c r="H93" s="148"/>
      <c r="I93" s="149"/>
      <c r="J93" s="149"/>
      <c r="K93" s="148"/>
      <c r="L93" s="150"/>
      <c r="N93" s="149"/>
      <c r="O93" s="150"/>
      <c r="Q93" s="135"/>
      <c r="R93" s="150"/>
      <c r="S93" s="150"/>
      <c r="U93" s="135"/>
      <c r="V93" s="150"/>
      <c r="X93" s="135"/>
    </row>
    <row r="94" spans="4:24" ht="12.75" hidden="1">
      <c r="D94" s="107"/>
      <c r="E94" s="148"/>
      <c r="F94" s="150"/>
      <c r="G94" s="150"/>
      <c r="H94" s="148"/>
      <c r="I94" s="149"/>
      <c r="J94" s="149"/>
      <c r="K94" s="148"/>
      <c r="L94" s="150"/>
      <c r="N94" s="149"/>
      <c r="O94" s="150"/>
      <c r="Q94" s="135"/>
      <c r="R94" s="150"/>
      <c r="S94" s="150"/>
      <c r="U94" s="135"/>
      <c r="V94" s="150"/>
      <c r="X94" s="135"/>
    </row>
    <row r="95" spans="4:24" ht="12.75" hidden="1">
      <c r="D95" s="107"/>
      <c r="E95" s="148"/>
      <c r="F95" s="150"/>
      <c r="G95" s="150"/>
      <c r="H95" s="148"/>
      <c r="I95" s="149"/>
      <c r="J95" s="149"/>
      <c r="K95" s="148"/>
      <c r="L95" s="150"/>
      <c r="N95" s="149"/>
      <c r="O95" s="150"/>
      <c r="Q95" s="135"/>
      <c r="R95" s="150"/>
      <c r="S95" s="150"/>
      <c r="U95" s="135"/>
      <c r="V95" s="150"/>
      <c r="X95" s="135"/>
    </row>
    <row r="96" spans="4:24" ht="12.75" hidden="1">
      <c r="D96" s="107"/>
      <c r="E96" s="148"/>
      <c r="F96" s="150"/>
      <c r="G96" s="150"/>
      <c r="H96" s="148"/>
      <c r="I96" s="149"/>
      <c r="J96" s="149"/>
      <c r="K96" s="148"/>
      <c r="L96" s="150"/>
      <c r="N96" s="149"/>
      <c r="O96" s="150"/>
      <c r="Q96" s="135"/>
      <c r="R96" s="150"/>
      <c r="S96" s="150"/>
      <c r="U96" s="135"/>
      <c r="V96" s="150"/>
      <c r="X96" s="135"/>
    </row>
    <row r="97" spans="4:24" ht="12.75" hidden="1">
      <c r="D97" s="107"/>
      <c r="E97" s="148"/>
      <c r="F97" s="150"/>
      <c r="G97" s="150"/>
      <c r="H97" s="148"/>
      <c r="I97" s="149"/>
      <c r="J97" s="149"/>
      <c r="K97" s="148"/>
      <c r="L97" s="150"/>
      <c r="N97" s="149"/>
      <c r="O97" s="150"/>
      <c r="Q97" s="135"/>
      <c r="R97" s="150"/>
      <c r="S97" s="150"/>
      <c r="U97" s="135"/>
      <c r="V97" s="150"/>
      <c r="X97" s="135"/>
    </row>
    <row r="98" spans="4:24" ht="12.75" hidden="1">
      <c r="D98" s="107"/>
      <c r="E98" s="148"/>
      <c r="F98" s="150"/>
      <c r="G98" s="150"/>
      <c r="H98" s="148"/>
      <c r="I98" s="149"/>
      <c r="J98" s="149"/>
      <c r="K98" s="148"/>
      <c r="L98" s="150"/>
      <c r="N98" s="149"/>
      <c r="O98" s="150"/>
      <c r="Q98" s="135"/>
      <c r="R98" s="150"/>
      <c r="S98" s="150"/>
      <c r="U98" s="135"/>
      <c r="V98" s="150"/>
      <c r="X98" s="135"/>
    </row>
    <row r="99" spans="4:24" ht="12.75" hidden="1">
      <c r="D99" s="107"/>
      <c r="E99" s="148"/>
      <c r="F99" s="150"/>
      <c r="G99" s="150"/>
      <c r="H99" s="148"/>
      <c r="I99" s="149"/>
      <c r="J99" s="149"/>
      <c r="K99" s="148"/>
      <c r="L99" s="150"/>
      <c r="N99" s="149"/>
      <c r="O99" s="150"/>
      <c r="Q99" s="135"/>
      <c r="R99" s="150"/>
      <c r="S99" s="150"/>
      <c r="U99" s="135"/>
      <c r="V99" s="150"/>
      <c r="X99" s="135"/>
    </row>
    <row r="100" spans="4:24" ht="12.75" hidden="1">
      <c r="D100" s="107"/>
      <c r="E100" s="148"/>
      <c r="F100" s="150"/>
      <c r="G100" s="150"/>
      <c r="H100" s="148"/>
      <c r="I100" s="149"/>
      <c r="J100" s="149"/>
      <c r="K100" s="148"/>
      <c r="L100" s="150"/>
      <c r="N100" s="149"/>
      <c r="O100" s="150"/>
      <c r="Q100" s="135"/>
      <c r="R100" s="150"/>
      <c r="S100" s="150"/>
      <c r="U100" s="135"/>
      <c r="V100" s="150"/>
      <c r="X100" s="135"/>
    </row>
    <row r="101" spans="4:24" ht="12.75" hidden="1">
      <c r="D101" s="107"/>
      <c r="E101" s="148"/>
      <c r="F101" s="150"/>
      <c r="G101" s="150"/>
      <c r="H101" s="148"/>
      <c r="I101" s="149"/>
      <c r="J101" s="149"/>
      <c r="K101" s="148"/>
      <c r="L101" s="150"/>
      <c r="N101" s="149"/>
      <c r="O101" s="150"/>
      <c r="Q101" s="135"/>
      <c r="R101" s="150"/>
      <c r="S101" s="150"/>
      <c r="U101" s="135"/>
      <c r="V101" s="150"/>
      <c r="X101" s="135"/>
    </row>
    <row r="102" spans="4:24" ht="12.75" hidden="1">
      <c r="D102" s="107"/>
      <c r="E102" s="148"/>
      <c r="F102" s="150"/>
      <c r="G102" s="150"/>
      <c r="H102" s="148"/>
      <c r="I102" s="149"/>
      <c r="J102" s="149"/>
      <c r="K102" s="148"/>
      <c r="L102" s="150"/>
      <c r="N102" s="149"/>
      <c r="O102" s="150"/>
      <c r="Q102" s="135"/>
      <c r="R102" s="150"/>
      <c r="S102" s="150"/>
      <c r="U102" s="135"/>
      <c r="V102" s="150"/>
      <c r="X102" s="135"/>
    </row>
    <row r="103" spans="4:24" ht="12.75" hidden="1">
      <c r="D103" s="107"/>
      <c r="E103" s="148"/>
      <c r="F103" s="150"/>
      <c r="G103" s="150"/>
      <c r="H103" s="148"/>
      <c r="I103" s="149"/>
      <c r="J103" s="149"/>
      <c r="K103" s="148"/>
      <c r="L103" s="150"/>
      <c r="N103" s="149"/>
      <c r="O103" s="150"/>
      <c r="Q103" s="135"/>
      <c r="R103" s="150"/>
      <c r="S103" s="150"/>
      <c r="U103" s="135"/>
      <c r="V103" s="150"/>
      <c r="X103" s="135"/>
    </row>
    <row r="104" spans="4:24" ht="12.75" hidden="1">
      <c r="D104" s="107"/>
      <c r="E104" s="148"/>
      <c r="F104" s="150"/>
      <c r="G104" s="150"/>
      <c r="H104" s="148"/>
      <c r="I104" s="149"/>
      <c r="J104" s="149"/>
      <c r="K104" s="148"/>
      <c r="L104" s="150"/>
      <c r="N104" s="149"/>
      <c r="O104" s="150"/>
      <c r="Q104" s="135"/>
      <c r="R104" s="150"/>
      <c r="S104" s="150"/>
      <c r="U104" s="135"/>
      <c r="V104" s="150"/>
      <c r="X104" s="135"/>
    </row>
    <row r="105" spans="4:24" ht="12.75" hidden="1">
      <c r="D105" s="107"/>
      <c r="E105" s="148"/>
      <c r="F105" s="150"/>
      <c r="G105" s="150"/>
      <c r="H105" s="148"/>
      <c r="I105" s="149"/>
      <c r="J105" s="149"/>
      <c r="K105" s="148"/>
      <c r="L105" s="150"/>
      <c r="N105" s="149"/>
      <c r="O105" s="150"/>
      <c r="Q105" s="135"/>
      <c r="R105" s="150"/>
      <c r="S105" s="150"/>
      <c r="U105" s="135"/>
      <c r="V105" s="150"/>
      <c r="X105" s="135"/>
    </row>
    <row r="106" spans="4:24" ht="12.75" hidden="1">
      <c r="D106" s="107"/>
      <c r="E106" s="148"/>
      <c r="F106" s="150"/>
      <c r="G106" s="150"/>
      <c r="H106" s="148"/>
      <c r="I106" s="149"/>
      <c r="J106" s="149"/>
      <c r="K106" s="148"/>
      <c r="L106" s="150"/>
      <c r="N106" s="149"/>
      <c r="O106" s="150"/>
      <c r="Q106" s="135"/>
      <c r="R106" s="150"/>
      <c r="S106" s="150"/>
      <c r="U106" s="135"/>
      <c r="V106" s="150"/>
      <c r="X106" s="135"/>
    </row>
    <row r="107" spans="4:24" ht="12.75" hidden="1">
      <c r="D107" s="107"/>
      <c r="E107" s="148"/>
      <c r="F107" s="150"/>
      <c r="G107" s="150"/>
      <c r="H107" s="148"/>
      <c r="I107" s="149"/>
      <c r="J107" s="149"/>
      <c r="K107" s="148"/>
      <c r="L107" s="150"/>
      <c r="N107" s="149"/>
      <c r="O107" s="150"/>
      <c r="Q107" s="135"/>
      <c r="R107" s="150"/>
      <c r="S107" s="150"/>
      <c r="U107" s="135"/>
      <c r="V107" s="150"/>
      <c r="X107" s="135"/>
    </row>
    <row r="108" spans="4:24" ht="12.75" hidden="1">
      <c r="D108" s="107"/>
      <c r="E108" s="148"/>
      <c r="F108" s="150"/>
      <c r="G108" s="150"/>
      <c r="H108" s="148"/>
      <c r="I108" s="149"/>
      <c r="J108" s="149"/>
      <c r="K108" s="148"/>
      <c r="L108" s="150"/>
      <c r="N108" s="149"/>
      <c r="O108" s="150"/>
      <c r="Q108" s="135"/>
      <c r="R108" s="150"/>
      <c r="S108" s="150"/>
      <c r="U108" s="135"/>
      <c r="V108" s="150"/>
      <c r="X108" s="135"/>
    </row>
    <row r="109" spans="4:24" ht="12.75" hidden="1">
      <c r="D109" s="107"/>
      <c r="E109" s="148"/>
      <c r="F109" s="150"/>
      <c r="G109" s="150"/>
      <c r="H109" s="148"/>
      <c r="I109" s="149"/>
      <c r="J109" s="149"/>
      <c r="K109" s="148"/>
      <c r="L109" s="150"/>
      <c r="N109" s="149"/>
      <c r="O109" s="150"/>
      <c r="Q109" s="135"/>
      <c r="R109" s="150"/>
      <c r="S109" s="150"/>
      <c r="U109" s="135"/>
      <c r="V109" s="150"/>
      <c r="X109" s="135"/>
    </row>
    <row r="110" spans="4:24" ht="12.75" hidden="1">
      <c r="D110" s="107"/>
      <c r="E110" s="148"/>
      <c r="F110" s="150"/>
      <c r="G110" s="150"/>
      <c r="H110" s="148"/>
      <c r="I110" s="149"/>
      <c r="J110" s="149"/>
      <c r="K110" s="148"/>
      <c r="L110" s="150"/>
      <c r="N110" s="149"/>
      <c r="O110" s="150"/>
      <c r="Q110" s="135"/>
      <c r="R110" s="150"/>
      <c r="S110" s="150"/>
      <c r="U110" s="135"/>
      <c r="V110" s="150"/>
      <c r="X110" s="135"/>
    </row>
    <row r="111" spans="4:24" ht="12.75" hidden="1">
      <c r="D111" s="107"/>
      <c r="E111" s="148"/>
      <c r="F111" s="150"/>
      <c r="G111" s="150"/>
      <c r="H111" s="148"/>
      <c r="I111" s="149"/>
      <c r="J111" s="149"/>
      <c r="K111" s="148"/>
      <c r="L111" s="150"/>
      <c r="N111" s="149"/>
      <c r="O111" s="150"/>
      <c r="Q111" s="135"/>
      <c r="R111" s="150"/>
      <c r="S111" s="150"/>
      <c r="U111" s="135"/>
      <c r="V111" s="150"/>
      <c r="X111" s="135"/>
    </row>
    <row r="112" spans="4:24" ht="12.75" hidden="1">
      <c r="D112" s="107"/>
      <c r="E112" s="148"/>
      <c r="F112" s="150"/>
      <c r="G112" s="150"/>
      <c r="H112" s="148"/>
      <c r="I112" s="149"/>
      <c r="J112" s="149"/>
      <c r="K112" s="148"/>
      <c r="L112" s="150"/>
      <c r="N112" s="149"/>
      <c r="O112" s="150"/>
      <c r="Q112" s="135"/>
      <c r="R112" s="150"/>
      <c r="S112" s="150"/>
      <c r="U112" s="135"/>
      <c r="V112" s="150"/>
      <c r="X112" s="135"/>
    </row>
    <row r="113" spans="4:24" ht="12.75" hidden="1">
      <c r="D113" s="107"/>
      <c r="E113" s="148"/>
      <c r="F113" s="150"/>
      <c r="G113" s="150"/>
      <c r="H113" s="148"/>
      <c r="I113" s="149"/>
      <c r="J113" s="149"/>
      <c r="K113" s="148"/>
      <c r="L113" s="150"/>
      <c r="N113" s="149"/>
      <c r="O113" s="150"/>
      <c r="Q113" s="135"/>
      <c r="R113" s="150"/>
      <c r="S113" s="150"/>
      <c r="U113" s="135"/>
      <c r="V113" s="150"/>
      <c r="X113" s="135"/>
    </row>
    <row r="114" spans="4:24" ht="12.75" hidden="1">
      <c r="D114" s="107"/>
      <c r="E114" s="148"/>
      <c r="F114" s="150"/>
      <c r="G114" s="150"/>
      <c r="H114" s="148"/>
      <c r="I114" s="149"/>
      <c r="J114" s="149"/>
      <c r="K114" s="148"/>
      <c r="L114" s="150"/>
      <c r="N114" s="149"/>
      <c r="O114" s="150"/>
      <c r="Q114" s="135"/>
      <c r="R114" s="150"/>
      <c r="S114" s="150"/>
      <c r="U114" s="135"/>
      <c r="V114" s="150"/>
      <c r="X114" s="135"/>
    </row>
    <row r="115" spans="4:24" ht="12.75" hidden="1">
      <c r="D115" s="107"/>
      <c r="E115" s="148"/>
      <c r="F115" s="150"/>
      <c r="G115" s="150"/>
      <c r="H115" s="148"/>
      <c r="I115" s="149"/>
      <c r="J115" s="149"/>
      <c r="K115" s="148"/>
      <c r="L115" s="150"/>
      <c r="N115" s="149"/>
      <c r="O115" s="150"/>
      <c r="Q115" s="135"/>
      <c r="R115" s="150"/>
      <c r="S115" s="150"/>
      <c r="U115" s="135"/>
      <c r="V115" s="150"/>
      <c r="X115" s="135"/>
    </row>
    <row r="116" spans="4:24" ht="12.75" hidden="1">
      <c r="D116" s="107"/>
      <c r="E116" s="148"/>
      <c r="F116" s="150"/>
      <c r="G116" s="150"/>
      <c r="H116" s="148"/>
      <c r="I116" s="149"/>
      <c r="J116" s="149"/>
      <c r="K116" s="148"/>
      <c r="L116" s="150"/>
      <c r="N116" s="149"/>
      <c r="O116" s="150"/>
      <c r="Q116" s="135"/>
      <c r="R116" s="150"/>
      <c r="S116" s="150"/>
      <c r="U116" s="135"/>
      <c r="V116" s="150"/>
      <c r="X116" s="135"/>
    </row>
    <row r="117" spans="4:24" ht="12.75" hidden="1">
      <c r="D117" s="107"/>
      <c r="E117" s="148"/>
      <c r="F117" s="150"/>
      <c r="G117" s="150"/>
      <c r="H117" s="148"/>
      <c r="I117" s="149"/>
      <c r="J117" s="149"/>
      <c r="K117" s="148"/>
      <c r="L117" s="150"/>
      <c r="N117" s="149"/>
      <c r="O117" s="150"/>
      <c r="Q117" s="135"/>
      <c r="R117" s="150"/>
      <c r="S117" s="150"/>
      <c r="U117" s="135"/>
      <c r="V117" s="150"/>
      <c r="X117" s="135"/>
    </row>
    <row r="118" spans="4:24" ht="12.75" hidden="1">
      <c r="D118" s="107"/>
      <c r="E118" s="148"/>
      <c r="F118" s="150"/>
      <c r="G118" s="150"/>
      <c r="H118" s="148"/>
      <c r="I118" s="149"/>
      <c r="J118" s="149"/>
      <c r="K118" s="148"/>
      <c r="L118" s="150"/>
      <c r="N118" s="149"/>
      <c r="O118" s="150"/>
      <c r="Q118" s="135"/>
      <c r="R118" s="150"/>
      <c r="S118" s="150"/>
      <c r="U118" s="135"/>
      <c r="V118" s="150"/>
      <c r="X118" s="135"/>
    </row>
    <row r="119" spans="4:24" ht="12.75" hidden="1">
      <c r="D119" s="107"/>
      <c r="E119" s="148"/>
      <c r="F119" s="150"/>
      <c r="G119" s="150"/>
      <c r="H119" s="148"/>
      <c r="I119" s="149"/>
      <c r="J119" s="149"/>
      <c r="K119" s="148"/>
      <c r="L119" s="150"/>
      <c r="N119" s="149"/>
      <c r="O119" s="150"/>
      <c r="Q119" s="135"/>
      <c r="R119" s="150"/>
      <c r="S119" s="150"/>
      <c r="U119" s="135"/>
      <c r="V119" s="150"/>
      <c r="X119" s="135"/>
    </row>
    <row r="120" spans="4:24" ht="12.75" hidden="1">
      <c r="D120" s="107"/>
      <c r="E120" s="148"/>
      <c r="F120" s="150"/>
      <c r="G120" s="150"/>
      <c r="H120" s="148"/>
      <c r="I120" s="149"/>
      <c r="J120" s="149"/>
      <c r="K120" s="148"/>
      <c r="L120" s="150"/>
      <c r="N120" s="149"/>
      <c r="O120" s="150"/>
      <c r="Q120" s="135"/>
      <c r="R120" s="150"/>
      <c r="S120" s="150"/>
      <c r="U120" s="135"/>
      <c r="V120" s="150"/>
      <c r="X120" s="135"/>
    </row>
    <row r="121" spans="4:24" ht="12.75" hidden="1">
      <c r="D121" s="107"/>
      <c r="E121" s="148"/>
      <c r="F121" s="150"/>
      <c r="G121" s="150"/>
      <c r="H121" s="148"/>
      <c r="I121" s="149"/>
      <c r="J121" s="149"/>
      <c r="K121" s="148"/>
      <c r="L121" s="150"/>
      <c r="N121" s="149"/>
      <c r="O121" s="150"/>
      <c r="Q121" s="135"/>
      <c r="R121" s="150"/>
      <c r="S121" s="150"/>
      <c r="U121" s="135"/>
      <c r="V121" s="150"/>
      <c r="X121" s="135"/>
    </row>
    <row r="122" spans="4:24" ht="12.75" hidden="1">
      <c r="D122" s="107"/>
      <c r="E122" s="148"/>
      <c r="F122" s="150"/>
      <c r="G122" s="150"/>
      <c r="H122" s="148"/>
      <c r="I122" s="149"/>
      <c r="J122" s="149"/>
      <c r="K122" s="148"/>
      <c r="L122" s="150"/>
      <c r="N122" s="149"/>
      <c r="O122" s="150"/>
      <c r="Q122" s="135"/>
      <c r="R122" s="150"/>
      <c r="S122" s="150"/>
      <c r="U122" s="135"/>
      <c r="V122" s="150"/>
      <c r="X122" s="135"/>
    </row>
    <row r="123" spans="4:24" ht="12.75" hidden="1">
      <c r="D123" s="107"/>
      <c r="E123" s="148"/>
      <c r="F123" s="150"/>
      <c r="G123" s="150"/>
      <c r="H123" s="148"/>
      <c r="I123" s="149"/>
      <c r="J123" s="149"/>
      <c r="K123" s="148"/>
      <c r="L123" s="150"/>
      <c r="N123" s="149"/>
      <c r="O123" s="150"/>
      <c r="Q123" s="135"/>
      <c r="R123" s="150"/>
      <c r="S123" s="150"/>
      <c r="U123" s="135"/>
      <c r="V123" s="150"/>
      <c r="X123" s="135"/>
    </row>
    <row r="124" spans="4:24" ht="12.75" hidden="1">
      <c r="D124" s="107"/>
      <c r="E124" s="148"/>
      <c r="F124" s="150"/>
      <c r="G124" s="150"/>
      <c r="H124" s="148"/>
      <c r="I124" s="149"/>
      <c r="J124" s="149"/>
      <c r="K124" s="148"/>
      <c r="L124" s="150"/>
      <c r="N124" s="149"/>
      <c r="O124" s="150"/>
      <c r="Q124" s="135"/>
      <c r="R124" s="150"/>
      <c r="S124" s="150"/>
      <c r="U124" s="135"/>
      <c r="V124" s="150"/>
      <c r="X124" s="135"/>
    </row>
    <row r="125" spans="4:24" ht="12.75" hidden="1">
      <c r="D125" s="107"/>
      <c r="E125" s="148"/>
      <c r="F125" s="150"/>
      <c r="G125" s="150"/>
      <c r="H125" s="148"/>
      <c r="I125" s="149"/>
      <c r="J125" s="149"/>
      <c r="K125" s="148"/>
      <c r="L125" s="150"/>
      <c r="N125" s="149"/>
      <c r="O125" s="150"/>
      <c r="Q125" s="135"/>
      <c r="R125" s="150"/>
      <c r="S125" s="150"/>
      <c r="U125" s="135"/>
      <c r="V125" s="150"/>
      <c r="X125" s="135"/>
    </row>
    <row r="126" spans="4:24" ht="12.75" hidden="1">
      <c r="D126" s="107"/>
      <c r="E126" s="148"/>
      <c r="F126" s="150"/>
      <c r="G126" s="150"/>
      <c r="H126" s="148"/>
      <c r="I126" s="149"/>
      <c r="J126" s="149"/>
      <c r="K126" s="148"/>
      <c r="L126" s="150"/>
      <c r="N126" s="149"/>
      <c r="O126" s="150"/>
      <c r="Q126" s="135"/>
      <c r="R126" s="150"/>
      <c r="S126" s="150"/>
      <c r="U126" s="135"/>
      <c r="V126" s="150"/>
      <c r="X126" s="135"/>
    </row>
    <row r="127" spans="4:24" ht="12.75" hidden="1">
      <c r="D127" s="107"/>
      <c r="E127" s="148"/>
      <c r="F127" s="150"/>
      <c r="G127" s="150"/>
      <c r="H127" s="148"/>
      <c r="I127" s="149"/>
      <c r="J127" s="149"/>
      <c r="K127" s="148"/>
      <c r="L127" s="150"/>
      <c r="N127" s="149"/>
      <c r="O127" s="150"/>
      <c r="Q127" s="135"/>
      <c r="R127" s="150"/>
      <c r="S127" s="150"/>
      <c r="U127" s="135"/>
      <c r="V127" s="150"/>
      <c r="X127" s="135"/>
    </row>
    <row r="128" spans="4:24" ht="12.75" hidden="1">
      <c r="D128" s="107"/>
      <c r="E128" s="148"/>
      <c r="F128" s="150"/>
      <c r="G128" s="150"/>
      <c r="H128" s="148"/>
      <c r="I128" s="149"/>
      <c r="J128" s="149"/>
      <c r="K128" s="148"/>
      <c r="L128" s="150"/>
      <c r="N128" s="149"/>
      <c r="O128" s="150"/>
      <c r="Q128" s="135"/>
      <c r="R128" s="150"/>
      <c r="S128" s="150"/>
      <c r="U128" s="135"/>
      <c r="V128" s="150"/>
      <c r="X128" s="135"/>
    </row>
    <row r="129" spans="4:24" ht="12.75" hidden="1">
      <c r="D129" s="107"/>
      <c r="E129" s="148"/>
      <c r="F129" s="150"/>
      <c r="G129" s="150"/>
      <c r="H129" s="148"/>
      <c r="I129" s="149"/>
      <c r="J129" s="149"/>
      <c r="K129" s="148"/>
      <c r="L129" s="150"/>
      <c r="N129" s="149"/>
      <c r="O129" s="150"/>
      <c r="Q129" s="135"/>
      <c r="R129" s="150"/>
      <c r="S129" s="150"/>
      <c r="U129" s="135"/>
      <c r="V129" s="150"/>
      <c r="X129" s="135"/>
    </row>
    <row r="130" spans="4:24" ht="12.75" hidden="1">
      <c r="D130" s="107"/>
      <c r="E130" s="148"/>
      <c r="F130" s="150"/>
      <c r="G130" s="150"/>
      <c r="H130" s="148"/>
      <c r="I130" s="149"/>
      <c r="J130" s="149"/>
      <c r="K130" s="148"/>
      <c r="L130" s="150"/>
      <c r="N130" s="149"/>
      <c r="O130" s="150"/>
      <c r="Q130" s="135"/>
      <c r="R130" s="150"/>
      <c r="S130" s="150"/>
      <c r="U130" s="135"/>
      <c r="V130" s="150"/>
      <c r="X130" s="135"/>
    </row>
    <row r="131" spans="4:24" ht="12.75" hidden="1">
      <c r="D131" s="107"/>
      <c r="E131" s="148"/>
      <c r="F131" s="150"/>
      <c r="G131" s="150"/>
      <c r="H131" s="148"/>
      <c r="I131" s="149"/>
      <c r="J131" s="149"/>
      <c r="K131" s="148"/>
      <c r="L131" s="150"/>
      <c r="N131" s="149"/>
      <c r="O131" s="150"/>
      <c r="Q131" s="135"/>
      <c r="R131" s="150"/>
      <c r="S131" s="150"/>
      <c r="U131" s="135"/>
      <c r="V131" s="150"/>
      <c r="X131" s="135"/>
    </row>
    <row r="132" spans="4:24" ht="12.75" hidden="1">
      <c r="D132" s="107"/>
      <c r="E132" s="148"/>
      <c r="F132" s="150"/>
      <c r="G132" s="150"/>
      <c r="H132" s="148"/>
      <c r="I132" s="149"/>
      <c r="J132" s="149"/>
      <c r="K132" s="148"/>
      <c r="L132" s="150"/>
      <c r="N132" s="149"/>
      <c r="O132" s="150"/>
      <c r="Q132" s="135"/>
      <c r="R132" s="150"/>
      <c r="S132" s="150"/>
      <c r="U132" s="135"/>
      <c r="V132" s="150"/>
      <c r="X132" s="135"/>
    </row>
    <row r="133" spans="4:24" ht="12.75" hidden="1">
      <c r="D133" s="107"/>
      <c r="E133" s="148"/>
      <c r="F133" s="150"/>
      <c r="G133" s="150"/>
      <c r="H133" s="148"/>
      <c r="I133" s="149"/>
      <c r="J133" s="149"/>
      <c r="K133" s="148"/>
      <c r="L133" s="150"/>
      <c r="N133" s="149"/>
      <c r="O133" s="150"/>
      <c r="Q133" s="135"/>
      <c r="R133" s="150"/>
      <c r="S133" s="150"/>
      <c r="U133" s="135"/>
      <c r="V133" s="150"/>
      <c r="X133" s="135"/>
    </row>
    <row r="134" spans="4:24" ht="12.75" hidden="1">
      <c r="D134" s="107"/>
      <c r="E134" s="148"/>
      <c r="F134" s="150"/>
      <c r="G134" s="150"/>
      <c r="H134" s="148"/>
      <c r="I134" s="149"/>
      <c r="J134" s="149"/>
      <c r="K134" s="148"/>
      <c r="L134" s="150"/>
      <c r="N134" s="149"/>
      <c r="O134" s="150"/>
      <c r="Q134" s="135"/>
      <c r="R134" s="150"/>
      <c r="S134" s="150"/>
      <c r="U134" s="135"/>
      <c r="V134" s="150"/>
      <c r="X134" s="135"/>
    </row>
    <row r="135" spans="4:24" ht="12.75" hidden="1">
      <c r="D135" s="107"/>
      <c r="E135" s="148"/>
      <c r="F135" s="150"/>
      <c r="G135" s="150"/>
      <c r="H135" s="148"/>
      <c r="I135" s="149"/>
      <c r="J135" s="149"/>
      <c r="K135" s="148"/>
      <c r="L135" s="150"/>
      <c r="N135" s="149"/>
      <c r="O135" s="150"/>
      <c r="Q135" s="135"/>
      <c r="R135" s="150"/>
      <c r="S135" s="150"/>
      <c r="U135" s="135"/>
      <c r="V135" s="150"/>
      <c r="X135" s="135"/>
    </row>
    <row r="136" spans="4:24" ht="12.75" hidden="1">
      <c r="D136" s="107"/>
      <c r="E136" s="148"/>
      <c r="F136" s="150"/>
      <c r="G136" s="150"/>
      <c r="H136" s="148"/>
      <c r="I136" s="149"/>
      <c r="J136" s="149"/>
      <c r="K136" s="148"/>
      <c r="L136" s="150"/>
      <c r="N136" s="149"/>
      <c r="O136" s="150"/>
      <c r="Q136" s="135"/>
      <c r="R136" s="150"/>
      <c r="S136" s="150"/>
      <c r="U136" s="135"/>
      <c r="V136" s="150"/>
      <c r="X136" s="135"/>
    </row>
    <row r="137" spans="4:24" ht="12.75" hidden="1">
      <c r="D137" s="107"/>
      <c r="E137" s="148"/>
      <c r="F137" s="150"/>
      <c r="G137" s="150"/>
      <c r="H137" s="148"/>
      <c r="I137" s="149"/>
      <c r="J137" s="149"/>
      <c r="K137" s="148"/>
      <c r="L137" s="150"/>
      <c r="N137" s="149"/>
      <c r="O137" s="150"/>
      <c r="Q137" s="135"/>
      <c r="R137" s="150"/>
      <c r="S137" s="150"/>
      <c r="U137" s="135"/>
      <c r="V137" s="150"/>
      <c r="X137" s="135"/>
    </row>
    <row r="138" spans="4:24" ht="12.75">
      <c r="D138" s="107"/>
      <c r="E138" s="148"/>
      <c r="F138" s="150"/>
      <c r="G138" s="150"/>
      <c r="H138" s="148"/>
      <c r="I138" s="149"/>
      <c r="J138" s="149"/>
      <c r="K138" s="148"/>
      <c r="L138" s="150"/>
      <c r="N138" s="149"/>
      <c r="O138" s="150"/>
      <c r="Q138" s="135"/>
      <c r="R138" s="150"/>
      <c r="S138" s="150"/>
      <c r="U138" s="135"/>
      <c r="V138" s="150"/>
      <c r="X138" s="135"/>
    </row>
    <row r="139" spans="4:24" ht="12.75">
      <c r="D139" s="107"/>
      <c r="E139" s="148"/>
      <c r="F139" s="150"/>
      <c r="G139" s="150"/>
      <c r="H139" s="148"/>
      <c r="I139" s="149"/>
      <c r="J139" s="149"/>
      <c r="K139" s="148"/>
      <c r="L139" s="150"/>
      <c r="N139" s="149"/>
      <c r="O139" s="150"/>
      <c r="Q139" s="135"/>
      <c r="R139" s="150"/>
      <c r="S139" s="150"/>
      <c r="U139" s="135"/>
      <c r="V139" s="150"/>
      <c r="X139" s="135"/>
    </row>
    <row r="140" spans="4:24" ht="12.75">
      <c r="D140" s="107"/>
      <c r="E140" s="148"/>
      <c r="F140" s="150"/>
      <c r="G140" s="150"/>
      <c r="H140" s="148"/>
      <c r="I140" s="149"/>
      <c r="J140" s="149"/>
      <c r="K140" s="148"/>
      <c r="L140" s="150"/>
      <c r="N140" s="149"/>
      <c r="O140" s="150"/>
      <c r="Q140" s="135"/>
      <c r="R140" s="150"/>
      <c r="S140" s="150"/>
      <c r="U140" s="135"/>
      <c r="V140" s="150"/>
      <c r="X140" s="135"/>
    </row>
    <row r="141" spans="4:24" ht="12.75">
      <c r="D141" s="107"/>
      <c r="E141" s="148"/>
      <c r="F141" s="150"/>
      <c r="G141" s="150"/>
      <c r="H141" s="148"/>
      <c r="I141" s="149"/>
      <c r="J141" s="149"/>
      <c r="K141" s="148"/>
      <c r="L141" s="150"/>
      <c r="N141" s="149"/>
      <c r="O141" s="150"/>
      <c r="Q141" s="135"/>
      <c r="R141" s="150"/>
      <c r="S141" s="150"/>
      <c r="U141" s="135"/>
      <c r="V141" s="150"/>
      <c r="X141" s="135"/>
    </row>
    <row r="142" spans="4:24" ht="12.75">
      <c r="D142" s="107"/>
      <c r="E142" s="148"/>
      <c r="F142" s="150"/>
      <c r="G142" s="150"/>
      <c r="H142" s="148"/>
      <c r="I142" s="149"/>
      <c r="J142" s="149"/>
      <c r="K142" s="148"/>
      <c r="L142" s="150"/>
      <c r="N142" s="149"/>
      <c r="O142" s="150"/>
      <c r="Q142" s="135"/>
      <c r="R142" s="150"/>
      <c r="S142" s="150"/>
      <c r="U142" s="135"/>
      <c r="V142" s="150"/>
      <c r="X142" s="135"/>
    </row>
    <row r="143" spans="4:24" ht="12.75">
      <c r="D143" s="107"/>
      <c r="E143" s="148"/>
      <c r="F143" s="150"/>
      <c r="G143" s="150"/>
      <c r="H143" s="148"/>
      <c r="I143" s="149"/>
      <c r="J143" s="149"/>
      <c r="K143" s="148"/>
      <c r="L143" s="150"/>
      <c r="N143" s="149"/>
      <c r="O143" s="150"/>
      <c r="Q143" s="135"/>
      <c r="R143" s="150"/>
      <c r="S143" s="150"/>
      <c r="U143" s="135"/>
      <c r="V143" s="150"/>
      <c r="X143" s="135"/>
    </row>
    <row r="144" spans="4:24" ht="12.75">
      <c r="D144" s="107"/>
      <c r="E144" s="148"/>
      <c r="F144" s="150"/>
      <c r="G144" s="150"/>
      <c r="H144" s="148"/>
      <c r="I144" s="149"/>
      <c r="J144" s="149"/>
      <c r="K144" s="148"/>
      <c r="L144" s="150"/>
      <c r="N144" s="149"/>
      <c r="O144" s="150"/>
      <c r="Q144" s="135"/>
      <c r="R144" s="150"/>
      <c r="S144" s="150"/>
      <c r="U144" s="135"/>
      <c r="V144" s="150"/>
      <c r="X144" s="135"/>
    </row>
    <row r="145" spans="4:24" ht="12.75">
      <c r="D145" s="107"/>
      <c r="E145" s="148"/>
      <c r="F145" s="150"/>
      <c r="G145" s="150"/>
      <c r="H145" s="148"/>
      <c r="I145" s="149"/>
      <c r="J145" s="149"/>
      <c r="K145" s="148"/>
      <c r="L145" s="150"/>
      <c r="N145" s="149"/>
      <c r="O145" s="150"/>
      <c r="Q145" s="135"/>
      <c r="R145" s="150"/>
      <c r="S145" s="150"/>
      <c r="U145" s="135"/>
      <c r="V145" s="150"/>
      <c r="X145" s="135"/>
    </row>
    <row r="146" spans="4:24" ht="12.75">
      <c r="D146" s="107"/>
      <c r="E146" s="148"/>
      <c r="F146" s="150"/>
      <c r="G146" s="150"/>
      <c r="H146" s="148"/>
      <c r="I146" s="149"/>
      <c r="J146" s="149"/>
      <c r="K146" s="148"/>
      <c r="L146" s="150"/>
      <c r="N146" s="149"/>
      <c r="O146" s="150"/>
      <c r="Q146" s="135"/>
      <c r="R146" s="150"/>
      <c r="S146" s="150"/>
      <c r="U146" s="135"/>
      <c r="V146" s="150"/>
      <c r="X146" s="135"/>
    </row>
    <row r="147" spans="4:24" ht="12.75">
      <c r="D147" s="107"/>
      <c r="E147" s="148"/>
      <c r="F147" s="150"/>
      <c r="G147" s="150"/>
      <c r="H147" s="148"/>
      <c r="I147" s="149"/>
      <c r="J147" s="149"/>
      <c r="K147" s="148"/>
      <c r="L147" s="150"/>
      <c r="N147" s="149"/>
      <c r="O147" s="150"/>
      <c r="Q147" s="135"/>
      <c r="R147" s="150"/>
      <c r="S147" s="150"/>
      <c r="U147" s="135"/>
      <c r="V147" s="150"/>
      <c r="X147" s="135"/>
    </row>
    <row r="148" spans="4:24" ht="12.75">
      <c r="D148" s="107"/>
      <c r="E148" s="148"/>
      <c r="F148" s="150"/>
      <c r="G148" s="150"/>
      <c r="H148" s="148"/>
      <c r="I148" s="149"/>
      <c r="J148" s="149"/>
      <c r="K148" s="148"/>
      <c r="L148" s="150"/>
      <c r="N148" s="149"/>
      <c r="O148" s="150"/>
      <c r="Q148" s="135"/>
      <c r="R148" s="150"/>
      <c r="S148" s="150"/>
      <c r="U148" s="135"/>
      <c r="V148" s="150"/>
      <c r="X148" s="135"/>
    </row>
    <row r="149" spans="4:24" ht="12.75">
      <c r="D149" s="107"/>
      <c r="E149" s="148"/>
      <c r="F149" s="150"/>
      <c r="G149" s="150"/>
      <c r="H149" s="148"/>
      <c r="I149" s="149"/>
      <c r="J149" s="149"/>
      <c r="K149" s="148"/>
      <c r="L149" s="150"/>
      <c r="N149" s="149"/>
      <c r="O149" s="150"/>
      <c r="Q149" s="135"/>
      <c r="R149" s="150"/>
      <c r="S149" s="150"/>
      <c r="U149" s="135"/>
      <c r="V149" s="150"/>
      <c r="X149" s="135"/>
    </row>
    <row r="150" spans="4:24" ht="12.75">
      <c r="D150" s="107"/>
      <c r="E150" s="148"/>
      <c r="F150" s="150"/>
      <c r="G150" s="150"/>
      <c r="H150" s="148"/>
      <c r="I150" s="149"/>
      <c r="J150" s="149"/>
      <c r="K150" s="148"/>
      <c r="L150" s="150"/>
      <c r="N150" s="149"/>
      <c r="O150" s="150"/>
      <c r="Q150" s="135"/>
      <c r="R150" s="150"/>
      <c r="S150" s="150"/>
      <c r="U150" s="135"/>
      <c r="V150" s="150"/>
      <c r="X150" s="135"/>
    </row>
    <row r="151" spans="4:24" ht="12.75">
      <c r="D151" s="107"/>
      <c r="E151" s="148"/>
      <c r="F151" s="150"/>
      <c r="G151" s="150"/>
      <c r="H151" s="148"/>
      <c r="I151" s="149"/>
      <c r="J151" s="149"/>
      <c r="K151" s="148"/>
      <c r="L151" s="150"/>
      <c r="N151" s="149"/>
      <c r="O151" s="150"/>
      <c r="Q151" s="135"/>
      <c r="R151" s="150"/>
      <c r="S151" s="150"/>
      <c r="U151" s="135"/>
      <c r="V151" s="150"/>
      <c r="X151" s="135"/>
    </row>
    <row r="152" spans="4:24" ht="12.75">
      <c r="D152" s="107"/>
      <c r="E152" s="148"/>
      <c r="F152" s="150"/>
      <c r="G152" s="150"/>
      <c r="H152" s="148"/>
      <c r="I152" s="149"/>
      <c r="J152" s="149"/>
      <c r="K152" s="148"/>
      <c r="L152" s="150"/>
      <c r="N152" s="149"/>
      <c r="O152" s="150"/>
      <c r="Q152" s="135"/>
      <c r="R152" s="150"/>
      <c r="S152" s="150"/>
      <c r="U152" s="135"/>
      <c r="V152" s="150"/>
      <c r="X152" s="135"/>
    </row>
    <row r="153" spans="4:24" ht="12.75">
      <c r="D153" s="107"/>
      <c r="E153" s="148"/>
      <c r="F153" s="150"/>
      <c r="G153" s="150"/>
      <c r="H153" s="148"/>
      <c r="I153" s="149"/>
      <c r="J153" s="149"/>
      <c r="K153" s="148"/>
      <c r="L153" s="150"/>
      <c r="N153" s="149"/>
      <c r="O153" s="150"/>
      <c r="Q153" s="135"/>
      <c r="R153" s="150"/>
      <c r="S153" s="150"/>
      <c r="U153" s="135"/>
      <c r="V153" s="150"/>
      <c r="X153" s="135"/>
    </row>
    <row r="154" spans="4:24" ht="12.75">
      <c r="D154" s="107"/>
      <c r="E154" s="148"/>
      <c r="F154" s="150"/>
      <c r="G154" s="150"/>
      <c r="H154" s="148"/>
      <c r="I154" s="149"/>
      <c r="J154" s="149"/>
      <c r="K154" s="148"/>
      <c r="L154" s="150"/>
      <c r="N154" s="149"/>
      <c r="O154" s="150"/>
      <c r="Q154" s="135"/>
      <c r="R154" s="150"/>
      <c r="S154" s="150"/>
      <c r="U154" s="135"/>
      <c r="V154" s="150"/>
      <c r="X154" s="135"/>
    </row>
    <row r="155" spans="4:24" ht="12.75">
      <c r="D155" s="107"/>
      <c r="E155" s="148"/>
      <c r="F155" s="150"/>
      <c r="G155" s="150"/>
      <c r="H155" s="148"/>
      <c r="I155" s="149"/>
      <c r="J155" s="149"/>
      <c r="K155" s="148"/>
      <c r="L155" s="150"/>
      <c r="N155" s="149"/>
      <c r="O155" s="150"/>
      <c r="Q155" s="135"/>
      <c r="R155" s="150"/>
      <c r="S155" s="150"/>
      <c r="U155" s="135"/>
      <c r="V155" s="150"/>
      <c r="X155" s="135"/>
    </row>
    <row r="156" spans="4:24" ht="12.75">
      <c r="D156" s="107"/>
      <c r="E156" s="148"/>
      <c r="F156" s="150"/>
      <c r="G156" s="150"/>
      <c r="H156" s="148"/>
      <c r="I156" s="149"/>
      <c r="J156" s="149"/>
      <c r="K156" s="148"/>
      <c r="L156" s="150"/>
      <c r="N156" s="149"/>
      <c r="O156" s="150"/>
      <c r="Q156" s="135"/>
      <c r="R156" s="150"/>
      <c r="S156" s="150"/>
      <c r="U156" s="135"/>
      <c r="V156" s="150"/>
      <c r="X156" s="135"/>
    </row>
    <row r="157" spans="4:24" ht="12.75">
      <c r="D157" s="107"/>
      <c r="E157" s="148"/>
      <c r="F157" s="150"/>
      <c r="G157" s="150"/>
      <c r="H157" s="148"/>
      <c r="I157" s="149"/>
      <c r="J157" s="149"/>
      <c r="K157" s="148"/>
      <c r="L157" s="150"/>
      <c r="N157" s="149"/>
      <c r="O157" s="150"/>
      <c r="Q157" s="135"/>
      <c r="R157" s="150"/>
      <c r="S157" s="150"/>
      <c r="U157" s="135"/>
      <c r="V157" s="150"/>
      <c r="X157" s="135"/>
    </row>
    <row r="158" spans="4:24" ht="12.75">
      <c r="D158" s="107"/>
      <c r="E158" s="148"/>
      <c r="F158" s="150"/>
      <c r="G158" s="150"/>
      <c r="H158" s="148"/>
      <c r="I158" s="149"/>
      <c r="J158" s="149"/>
      <c r="K158" s="148"/>
      <c r="L158" s="150"/>
      <c r="N158" s="149"/>
      <c r="O158" s="150"/>
      <c r="Q158" s="135"/>
      <c r="R158" s="150"/>
      <c r="S158" s="150"/>
      <c r="U158" s="135"/>
      <c r="V158" s="150"/>
      <c r="X158" s="135"/>
    </row>
    <row r="159" spans="4:24" ht="12.75">
      <c r="D159" s="107"/>
      <c r="E159" s="148"/>
      <c r="F159" s="150"/>
      <c r="G159" s="150"/>
      <c r="H159" s="148"/>
      <c r="I159" s="149"/>
      <c r="J159" s="149"/>
      <c r="K159" s="148"/>
      <c r="L159" s="150"/>
      <c r="N159" s="149"/>
      <c r="O159" s="150"/>
      <c r="Q159" s="135"/>
      <c r="R159" s="150"/>
      <c r="S159" s="150"/>
      <c r="U159" s="135"/>
      <c r="V159" s="150"/>
      <c r="X159" s="135"/>
    </row>
    <row r="160" spans="4:24" ht="12.75">
      <c r="D160" s="107"/>
      <c r="E160" s="148"/>
      <c r="F160" s="150"/>
      <c r="G160" s="150"/>
      <c r="H160" s="148"/>
      <c r="I160" s="149"/>
      <c r="J160" s="149"/>
      <c r="K160" s="148"/>
      <c r="L160" s="150"/>
      <c r="N160" s="149"/>
      <c r="O160" s="150"/>
      <c r="Q160" s="135"/>
      <c r="R160" s="150"/>
      <c r="S160" s="150"/>
      <c r="U160" s="135"/>
      <c r="V160" s="150"/>
      <c r="X160" s="135"/>
    </row>
    <row r="161" spans="4:24" ht="12.75">
      <c r="D161" s="107"/>
      <c r="E161" s="148"/>
      <c r="F161" s="150"/>
      <c r="G161" s="150"/>
      <c r="H161" s="148"/>
      <c r="I161" s="149"/>
      <c r="J161" s="149"/>
      <c r="K161" s="148"/>
      <c r="L161" s="150"/>
      <c r="N161" s="149"/>
      <c r="O161" s="150"/>
      <c r="Q161" s="135"/>
      <c r="R161" s="150"/>
      <c r="S161" s="150"/>
      <c r="U161" s="135"/>
      <c r="V161" s="150"/>
      <c r="X161" s="135"/>
    </row>
    <row r="162" spans="4:24" ht="12.75">
      <c r="D162" s="107"/>
      <c r="E162" s="148"/>
      <c r="F162" s="150"/>
      <c r="G162" s="150"/>
      <c r="H162" s="148"/>
      <c r="I162" s="149"/>
      <c r="J162" s="149"/>
      <c r="K162" s="148"/>
      <c r="L162" s="150"/>
      <c r="N162" s="149"/>
      <c r="O162" s="150"/>
      <c r="Q162" s="135"/>
      <c r="R162" s="150"/>
      <c r="S162" s="150"/>
      <c r="U162" s="135"/>
      <c r="V162" s="150"/>
      <c r="X162" s="135"/>
    </row>
    <row r="163" spans="4:24" ht="12.75">
      <c r="D163" s="107"/>
      <c r="E163" s="148"/>
      <c r="F163" s="150"/>
      <c r="G163" s="150"/>
      <c r="H163" s="148"/>
      <c r="I163" s="149"/>
      <c r="J163" s="149"/>
      <c r="K163" s="148"/>
      <c r="L163" s="150"/>
      <c r="N163" s="149"/>
      <c r="O163" s="150"/>
      <c r="Q163" s="135"/>
      <c r="R163" s="150"/>
      <c r="S163" s="150"/>
      <c r="U163" s="135"/>
      <c r="V163" s="150"/>
      <c r="X163" s="135"/>
    </row>
    <row r="164" spans="4:24" ht="12.75">
      <c r="D164" s="107"/>
      <c r="E164" s="148"/>
      <c r="F164" s="150"/>
      <c r="G164" s="150"/>
      <c r="H164" s="148"/>
      <c r="I164" s="149"/>
      <c r="J164" s="149"/>
      <c r="K164" s="148"/>
      <c r="L164" s="150"/>
      <c r="N164" s="149"/>
      <c r="O164" s="150"/>
      <c r="Q164" s="135"/>
      <c r="R164" s="150"/>
      <c r="S164" s="150"/>
      <c r="U164" s="135"/>
      <c r="V164" s="150"/>
      <c r="X164" s="135"/>
    </row>
    <row r="165" spans="4:24" ht="12.75">
      <c r="D165" s="107"/>
      <c r="E165" s="148"/>
      <c r="F165" s="150"/>
      <c r="G165" s="150"/>
      <c r="H165" s="148"/>
      <c r="I165" s="149"/>
      <c r="J165" s="149"/>
      <c r="K165" s="148"/>
      <c r="L165" s="150"/>
      <c r="N165" s="149"/>
      <c r="O165" s="150"/>
      <c r="Q165" s="135"/>
      <c r="R165" s="150"/>
      <c r="S165" s="150"/>
      <c r="U165" s="135"/>
      <c r="V165" s="150"/>
      <c r="X165" s="135"/>
    </row>
    <row r="166" spans="4:24" ht="12.75">
      <c r="D166" s="107"/>
      <c r="E166" s="148"/>
      <c r="F166" s="150"/>
      <c r="G166" s="150"/>
      <c r="H166" s="148"/>
      <c r="I166" s="149"/>
      <c r="J166" s="149"/>
      <c r="K166" s="148"/>
      <c r="L166" s="150"/>
      <c r="N166" s="149"/>
      <c r="O166" s="150"/>
      <c r="Q166" s="135"/>
      <c r="R166" s="150"/>
      <c r="S166" s="150"/>
      <c r="U166" s="135"/>
      <c r="V166" s="150"/>
      <c r="X166" s="135"/>
    </row>
    <row r="167" spans="4:24" ht="12.75">
      <c r="D167" s="107"/>
      <c r="E167" s="148"/>
      <c r="F167" s="150"/>
      <c r="G167" s="150"/>
      <c r="H167" s="148"/>
      <c r="I167" s="149"/>
      <c r="J167" s="149"/>
      <c r="K167" s="148"/>
      <c r="L167" s="150"/>
      <c r="N167" s="149"/>
      <c r="O167" s="150"/>
      <c r="Q167" s="135"/>
      <c r="R167" s="150"/>
      <c r="S167" s="150"/>
      <c r="U167" s="135"/>
      <c r="V167" s="150"/>
      <c r="X167" s="135"/>
    </row>
    <row r="168" spans="4:24" ht="12.75">
      <c r="D168" s="107"/>
      <c r="E168" s="148"/>
      <c r="F168" s="150"/>
      <c r="G168" s="150"/>
      <c r="H168" s="148"/>
      <c r="I168" s="149"/>
      <c r="J168" s="149"/>
      <c r="K168" s="148"/>
      <c r="L168" s="150"/>
      <c r="N168" s="149"/>
      <c r="O168" s="150"/>
      <c r="Q168" s="135"/>
      <c r="R168" s="150"/>
      <c r="S168" s="150"/>
      <c r="U168" s="135"/>
      <c r="V168" s="150"/>
      <c r="X168" s="135"/>
    </row>
    <row r="169" spans="4:24" ht="12.75">
      <c r="D169" s="107"/>
      <c r="E169" s="148"/>
      <c r="F169" s="150"/>
      <c r="G169" s="150"/>
      <c r="H169" s="148"/>
      <c r="I169" s="149"/>
      <c r="J169" s="149"/>
      <c r="K169" s="148"/>
      <c r="L169" s="150"/>
      <c r="N169" s="149"/>
      <c r="O169" s="150"/>
      <c r="Q169" s="135"/>
      <c r="R169" s="150"/>
      <c r="S169" s="150"/>
      <c r="U169" s="135"/>
      <c r="V169" s="150"/>
      <c r="X169" s="135"/>
    </row>
    <row r="170" spans="4:24" ht="12.75">
      <c r="D170" s="107"/>
      <c r="E170" s="148"/>
      <c r="F170" s="150"/>
      <c r="G170" s="150"/>
      <c r="H170" s="148"/>
      <c r="I170" s="149"/>
      <c r="J170" s="149"/>
      <c r="K170" s="148"/>
      <c r="L170" s="150"/>
      <c r="N170" s="149"/>
      <c r="O170" s="150"/>
      <c r="Q170" s="135"/>
      <c r="R170" s="150"/>
      <c r="S170" s="150"/>
      <c r="U170" s="135"/>
      <c r="V170" s="150"/>
      <c r="X170" s="135"/>
    </row>
    <row r="171" spans="4:24" ht="12.75">
      <c r="D171" s="107"/>
      <c r="E171" s="148"/>
      <c r="F171" s="150"/>
      <c r="G171" s="150"/>
      <c r="H171" s="148"/>
      <c r="I171" s="149"/>
      <c r="J171" s="149"/>
      <c r="K171" s="148"/>
      <c r="L171" s="150"/>
      <c r="N171" s="149"/>
      <c r="O171" s="150"/>
      <c r="Q171" s="135"/>
      <c r="R171" s="150"/>
      <c r="S171" s="150"/>
      <c r="U171" s="135"/>
      <c r="V171" s="150"/>
      <c r="X171" s="135"/>
    </row>
    <row r="172" spans="4:24" ht="12.75">
      <c r="D172" s="107"/>
      <c r="E172" s="148"/>
      <c r="F172" s="150"/>
      <c r="G172" s="150"/>
      <c r="H172" s="148"/>
      <c r="I172" s="149"/>
      <c r="J172" s="149"/>
      <c r="K172" s="148"/>
      <c r="L172" s="150"/>
      <c r="N172" s="149"/>
      <c r="O172" s="150"/>
      <c r="Q172" s="135"/>
      <c r="R172" s="150"/>
      <c r="S172" s="150"/>
      <c r="U172" s="135"/>
      <c r="V172" s="150"/>
      <c r="X172" s="135"/>
    </row>
    <row r="173" spans="4:24" ht="12.75">
      <c r="D173" s="107"/>
      <c r="E173" s="148"/>
      <c r="F173" s="150"/>
      <c r="G173" s="150"/>
      <c r="H173" s="148"/>
      <c r="I173" s="149"/>
      <c r="J173" s="149"/>
      <c r="K173" s="148"/>
      <c r="L173" s="150"/>
      <c r="N173" s="149"/>
      <c r="O173" s="150"/>
      <c r="Q173" s="135"/>
      <c r="R173" s="150"/>
      <c r="S173" s="150"/>
      <c r="U173" s="135"/>
      <c r="V173" s="150"/>
      <c r="X173" s="135"/>
    </row>
    <row r="174" spans="4:24" ht="12.75">
      <c r="D174" s="107"/>
      <c r="E174" s="148"/>
      <c r="F174" s="150"/>
      <c r="G174" s="150"/>
      <c r="H174" s="148"/>
      <c r="I174" s="149"/>
      <c r="J174" s="149"/>
      <c r="K174" s="148"/>
      <c r="L174" s="150"/>
      <c r="N174" s="149"/>
      <c r="O174" s="150"/>
      <c r="Q174" s="135"/>
      <c r="R174" s="150"/>
      <c r="S174" s="150"/>
      <c r="U174" s="135"/>
      <c r="V174" s="150"/>
      <c r="X174" s="135"/>
    </row>
    <row r="175" spans="4:24" ht="12.75">
      <c r="D175" s="107"/>
      <c r="E175" s="148"/>
      <c r="F175" s="150"/>
      <c r="G175" s="150"/>
      <c r="H175" s="148"/>
      <c r="I175" s="149"/>
      <c r="J175" s="149"/>
      <c r="K175" s="148"/>
      <c r="L175" s="150"/>
      <c r="N175" s="149"/>
      <c r="O175" s="150"/>
      <c r="Q175" s="135"/>
      <c r="R175" s="150"/>
      <c r="S175" s="150"/>
      <c r="U175" s="135"/>
      <c r="V175" s="150"/>
      <c r="X175" s="135"/>
    </row>
    <row r="176" spans="4:24" ht="12.75">
      <c r="D176" s="107"/>
      <c r="E176" s="148"/>
      <c r="F176" s="150"/>
      <c r="G176" s="150"/>
      <c r="H176" s="148"/>
      <c r="I176" s="149"/>
      <c r="J176" s="149"/>
      <c r="K176" s="148"/>
      <c r="L176" s="150"/>
      <c r="N176" s="149"/>
      <c r="O176" s="150"/>
      <c r="Q176" s="135"/>
      <c r="R176" s="150"/>
      <c r="S176" s="150"/>
      <c r="U176" s="135"/>
      <c r="V176" s="150"/>
      <c r="X176" s="135"/>
    </row>
    <row r="177" spans="4:24" ht="12.75">
      <c r="D177" s="107"/>
      <c r="E177" s="148"/>
      <c r="F177" s="150"/>
      <c r="G177" s="150"/>
      <c r="H177" s="148"/>
      <c r="I177" s="149"/>
      <c r="J177" s="149"/>
      <c r="K177" s="148"/>
      <c r="L177" s="150"/>
      <c r="N177" s="149"/>
      <c r="O177" s="150"/>
      <c r="Q177" s="135"/>
      <c r="R177" s="150"/>
      <c r="S177" s="150"/>
      <c r="U177" s="135"/>
      <c r="V177" s="150"/>
      <c r="X177" s="135"/>
    </row>
    <row r="178" spans="4:24" ht="12.75">
      <c r="D178" s="107"/>
      <c r="E178" s="148"/>
      <c r="F178" s="150"/>
      <c r="G178" s="150"/>
      <c r="H178" s="148"/>
      <c r="I178" s="149"/>
      <c r="J178" s="149"/>
      <c r="K178" s="148"/>
      <c r="L178" s="150"/>
      <c r="N178" s="149"/>
      <c r="O178" s="150"/>
      <c r="Q178" s="135"/>
      <c r="R178" s="150"/>
      <c r="S178" s="150"/>
      <c r="U178" s="135"/>
      <c r="V178" s="150"/>
      <c r="X178" s="135"/>
    </row>
    <row r="179" spans="4:24" ht="12.75">
      <c r="D179" s="107"/>
      <c r="E179" s="148"/>
      <c r="F179" s="150"/>
      <c r="G179" s="150"/>
      <c r="H179" s="148"/>
      <c r="I179" s="149"/>
      <c r="J179" s="149"/>
      <c r="K179" s="148"/>
      <c r="L179" s="150"/>
      <c r="N179" s="149"/>
      <c r="O179" s="150"/>
      <c r="Q179" s="135"/>
      <c r="R179" s="150"/>
      <c r="S179" s="150"/>
      <c r="U179" s="135"/>
      <c r="V179" s="150"/>
      <c r="X179" s="135"/>
    </row>
    <row r="180" spans="4:24" ht="12.75">
      <c r="D180" s="107"/>
      <c r="E180" s="148"/>
      <c r="F180" s="150"/>
      <c r="G180" s="150"/>
      <c r="H180" s="148"/>
      <c r="I180" s="149"/>
      <c r="J180" s="149"/>
      <c r="K180" s="148"/>
      <c r="L180" s="150"/>
      <c r="N180" s="149"/>
      <c r="O180" s="150"/>
      <c r="Q180" s="135"/>
      <c r="R180" s="150"/>
      <c r="S180" s="150"/>
      <c r="U180" s="135"/>
      <c r="V180" s="150"/>
      <c r="X180" s="135"/>
    </row>
    <row r="181" spans="4:24" ht="12.75">
      <c r="D181" s="107"/>
      <c r="E181" s="148"/>
      <c r="F181" s="150"/>
      <c r="G181" s="150"/>
      <c r="H181" s="148"/>
      <c r="I181" s="149"/>
      <c r="J181" s="149"/>
      <c r="K181" s="148"/>
      <c r="L181" s="150"/>
      <c r="N181" s="149"/>
      <c r="O181" s="150"/>
      <c r="Q181" s="135"/>
      <c r="R181" s="150"/>
      <c r="S181" s="150"/>
      <c r="U181" s="135"/>
      <c r="V181" s="150"/>
      <c r="X181" s="135"/>
    </row>
    <row r="182" spans="4:24" ht="12.75">
      <c r="D182" s="107"/>
      <c r="E182" s="148"/>
      <c r="F182" s="150"/>
      <c r="G182" s="150"/>
      <c r="H182" s="148"/>
      <c r="I182" s="149"/>
      <c r="J182" s="149"/>
      <c r="K182" s="148"/>
      <c r="L182" s="150"/>
      <c r="N182" s="149"/>
      <c r="O182" s="150"/>
      <c r="Q182" s="135"/>
      <c r="R182" s="150"/>
      <c r="S182" s="150"/>
      <c r="U182" s="135"/>
      <c r="V182" s="150"/>
      <c r="X182" s="135"/>
    </row>
    <row r="183" spans="4:24" ht="12.75">
      <c r="D183" s="107"/>
      <c r="E183" s="148"/>
      <c r="F183" s="150"/>
      <c r="G183" s="150"/>
      <c r="H183" s="148"/>
      <c r="I183" s="149"/>
      <c r="J183" s="149"/>
      <c r="K183" s="148"/>
      <c r="L183" s="150"/>
      <c r="N183" s="149"/>
      <c r="O183" s="150"/>
      <c r="Q183" s="135"/>
      <c r="R183" s="150"/>
      <c r="S183" s="150"/>
      <c r="U183" s="135"/>
      <c r="V183" s="150"/>
      <c r="X183" s="135"/>
    </row>
    <row r="184" spans="4:24" ht="12.75">
      <c r="D184" s="107"/>
      <c r="E184" s="148"/>
      <c r="F184" s="150"/>
      <c r="G184" s="150"/>
      <c r="H184" s="148"/>
      <c r="I184" s="149"/>
      <c r="J184" s="149"/>
      <c r="K184" s="148"/>
      <c r="L184" s="150"/>
      <c r="N184" s="149"/>
      <c r="O184" s="150"/>
      <c r="Q184" s="135"/>
      <c r="R184" s="150"/>
      <c r="S184" s="150"/>
      <c r="U184" s="135"/>
      <c r="V184" s="150"/>
      <c r="X184" s="135"/>
    </row>
    <row r="185" spans="4:24" ht="12.75">
      <c r="D185" s="107"/>
      <c r="E185" s="148"/>
      <c r="F185" s="150"/>
      <c r="G185" s="150"/>
      <c r="H185" s="148"/>
      <c r="I185" s="149"/>
      <c r="J185" s="149"/>
      <c r="K185" s="148"/>
      <c r="L185" s="150"/>
      <c r="N185" s="149"/>
      <c r="O185" s="150"/>
      <c r="Q185" s="135"/>
      <c r="R185" s="150"/>
      <c r="S185" s="150"/>
      <c r="U185" s="135"/>
      <c r="V185" s="150"/>
      <c r="X185" s="135"/>
    </row>
    <row r="186" spans="4:24" ht="12.75">
      <c r="D186" s="107"/>
      <c r="E186" s="148"/>
      <c r="F186" s="150"/>
      <c r="G186" s="150"/>
      <c r="H186" s="148"/>
      <c r="I186" s="149"/>
      <c r="J186" s="149"/>
      <c r="K186" s="148"/>
      <c r="L186" s="150"/>
      <c r="N186" s="149"/>
      <c r="O186" s="150"/>
      <c r="Q186" s="135"/>
      <c r="R186" s="150"/>
      <c r="S186" s="150"/>
      <c r="U186" s="135"/>
      <c r="V186" s="150"/>
      <c r="X186" s="135"/>
    </row>
    <row r="187" spans="4:24" ht="12.75">
      <c r="D187" s="107"/>
      <c r="E187" s="148"/>
      <c r="F187" s="150"/>
      <c r="G187" s="150"/>
      <c r="H187" s="148"/>
      <c r="I187" s="149"/>
      <c r="J187" s="149"/>
      <c r="K187" s="148"/>
      <c r="L187" s="150"/>
      <c r="N187" s="149"/>
      <c r="O187" s="150"/>
      <c r="Q187" s="135"/>
      <c r="R187" s="150"/>
      <c r="S187" s="150"/>
      <c r="U187" s="135"/>
      <c r="V187" s="150"/>
      <c r="X187" s="135"/>
    </row>
    <row r="188" spans="4:24" ht="12.75">
      <c r="D188" s="107"/>
      <c r="E188" s="148"/>
      <c r="F188" s="150"/>
      <c r="G188" s="150"/>
      <c r="H188" s="148"/>
      <c r="I188" s="149"/>
      <c r="J188" s="149"/>
      <c r="K188" s="148"/>
      <c r="L188" s="150"/>
      <c r="N188" s="149"/>
      <c r="O188" s="150"/>
      <c r="Q188" s="135"/>
      <c r="R188" s="150"/>
      <c r="S188" s="150"/>
      <c r="U188" s="135"/>
      <c r="V188" s="150"/>
      <c r="X188" s="135"/>
    </row>
    <row r="189" spans="4:24" ht="12.75">
      <c r="D189" s="107"/>
      <c r="E189" s="148"/>
      <c r="F189" s="150"/>
      <c r="G189" s="150"/>
      <c r="H189" s="148"/>
      <c r="I189" s="149"/>
      <c r="J189" s="149"/>
      <c r="K189" s="148"/>
      <c r="L189" s="150"/>
      <c r="N189" s="149"/>
      <c r="O189" s="150"/>
      <c r="Q189" s="135"/>
      <c r="R189" s="150"/>
      <c r="S189" s="150"/>
      <c r="U189" s="135"/>
      <c r="V189" s="150"/>
      <c r="X189" s="135"/>
    </row>
    <row r="190" spans="4:24" ht="12.75">
      <c r="D190" s="107"/>
      <c r="E190" s="148"/>
      <c r="F190" s="150"/>
      <c r="G190" s="150"/>
      <c r="H190" s="148"/>
      <c r="I190" s="149"/>
      <c r="J190" s="149"/>
      <c r="K190" s="148"/>
      <c r="L190" s="150"/>
      <c r="N190" s="149"/>
      <c r="O190" s="150"/>
      <c r="Q190" s="135"/>
      <c r="R190" s="150"/>
      <c r="S190" s="150"/>
      <c r="U190" s="135"/>
      <c r="V190" s="150"/>
      <c r="X190" s="135"/>
    </row>
    <row r="191" spans="4:24" ht="12.75">
      <c r="D191" s="107"/>
      <c r="E191" s="148"/>
      <c r="F191" s="150"/>
      <c r="G191" s="150"/>
      <c r="H191" s="148"/>
      <c r="I191" s="149"/>
      <c r="J191" s="149"/>
      <c r="K191" s="148"/>
      <c r="L191" s="150"/>
      <c r="N191" s="149"/>
      <c r="O191" s="150"/>
      <c r="Q191" s="135"/>
      <c r="R191" s="150"/>
      <c r="S191" s="150"/>
      <c r="U191" s="135"/>
      <c r="V191" s="150"/>
      <c r="X191" s="135"/>
    </row>
    <row r="192" spans="4:24" ht="12.75">
      <c r="D192" s="107"/>
      <c r="E192" s="148"/>
      <c r="F192" s="150"/>
      <c r="G192" s="150"/>
      <c r="H192" s="148"/>
      <c r="I192" s="149"/>
      <c r="J192" s="149"/>
      <c r="K192" s="148"/>
      <c r="L192" s="150"/>
      <c r="N192" s="149"/>
      <c r="O192" s="150"/>
      <c r="Q192" s="135"/>
      <c r="R192" s="150"/>
      <c r="S192" s="150"/>
      <c r="U192" s="135"/>
      <c r="V192" s="150"/>
      <c r="X192" s="135"/>
    </row>
    <row r="193" spans="4:24" ht="12.75">
      <c r="D193" s="107"/>
      <c r="E193" s="148"/>
      <c r="F193" s="150"/>
      <c r="G193" s="150"/>
      <c r="H193" s="148"/>
      <c r="I193" s="149"/>
      <c r="J193" s="149"/>
      <c r="K193" s="148"/>
      <c r="L193" s="150"/>
      <c r="N193" s="149"/>
      <c r="O193" s="150"/>
      <c r="Q193" s="135"/>
      <c r="R193" s="150"/>
      <c r="S193" s="150"/>
      <c r="U193" s="135"/>
      <c r="V193" s="150"/>
      <c r="X193" s="135"/>
    </row>
    <row r="194" spans="4:24" ht="12.75">
      <c r="D194" s="107"/>
      <c r="E194" s="148"/>
      <c r="F194" s="150"/>
      <c r="G194" s="150"/>
      <c r="H194" s="148"/>
      <c r="I194" s="149"/>
      <c r="J194" s="149"/>
      <c r="K194" s="148"/>
      <c r="L194" s="150"/>
      <c r="N194" s="149"/>
      <c r="O194" s="150"/>
      <c r="Q194" s="135"/>
      <c r="R194" s="150"/>
      <c r="S194" s="150"/>
      <c r="U194" s="135"/>
      <c r="V194" s="150"/>
      <c r="X194" s="135"/>
    </row>
    <row r="195" spans="4:24" ht="12.75">
      <c r="D195" s="107"/>
      <c r="E195" s="148"/>
      <c r="F195" s="150"/>
      <c r="G195" s="150"/>
      <c r="H195" s="148"/>
      <c r="I195" s="149"/>
      <c r="J195" s="149"/>
      <c r="K195" s="148"/>
      <c r="L195" s="150"/>
      <c r="N195" s="149"/>
      <c r="O195" s="150"/>
      <c r="Q195" s="135"/>
      <c r="R195" s="150"/>
      <c r="S195" s="150"/>
      <c r="U195" s="135"/>
      <c r="V195" s="150"/>
      <c r="X195" s="135"/>
    </row>
    <row r="196" spans="4:24" ht="12.75">
      <c r="D196" s="107"/>
      <c r="E196" s="148"/>
      <c r="F196" s="150"/>
      <c r="G196" s="150"/>
      <c r="H196" s="148"/>
      <c r="I196" s="149"/>
      <c r="J196" s="149"/>
      <c r="K196" s="148"/>
      <c r="L196" s="150"/>
      <c r="N196" s="149"/>
      <c r="O196" s="150"/>
      <c r="Q196" s="135"/>
      <c r="R196" s="150"/>
      <c r="S196" s="150"/>
      <c r="U196" s="135"/>
      <c r="V196" s="150"/>
      <c r="X196" s="135"/>
    </row>
    <row r="197" spans="4:24" ht="12.75">
      <c r="D197" s="107"/>
      <c r="E197" s="148"/>
      <c r="F197" s="150"/>
      <c r="G197" s="150"/>
      <c r="H197" s="148"/>
      <c r="I197" s="149"/>
      <c r="J197" s="149"/>
      <c r="K197" s="148"/>
      <c r="L197" s="150"/>
      <c r="N197" s="149"/>
      <c r="O197" s="150"/>
      <c r="Q197" s="135"/>
      <c r="R197" s="150"/>
      <c r="S197" s="150"/>
      <c r="U197" s="135"/>
      <c r="V197" s="150"/>
      <c r="X197" s="135"/>
    </row>
    <row r="198" spans="4:24" ht="12.75">
      <c r="D198" s="107"/>
      <c r="E198" s="148"/>
      <c r="F198" s="150"/>
      <c r="G198" s="150"/>
      <c r="H198" s="148"/>
      <c r="I198" s="149"/>
      <c r="J198" s="149"/>
      <c r="K198" s="148"/>
      <c r="L198" s="150"/>
      <c r="N198" s="149"/>
      <c r="O198" s="150"/>
      <c r="Q198" s="135"/>
      <c r="R198" s="150"/>
      <c r="S198" s="150"/>
      <c r="U198" s="135"/>
      <c r="V198" s="150"/>
      <c r="X198" s="135"/>
    </row>
    <row r="199" spans="4:24" ht="12.75">
      <c r="D199" s="107"/>
      <c r="E199" s="148"/>
      <c r="F199" s="150"/>
      <c r="G199" s="150"/>
      <c r="H199" s="148"/>
      <c r="I199" s="149"/>
      <c r="J199" s="149"/>
      <c r="K199" s="148"/>
      <c r="L199" s="150"/>
      <c r="N199" s="149"/>
      <c r="O199" s="150"/>
      <c r="Q199" s="135"/>
      <c r="R199" s="150"/>
      <c r="S199" s="150"/>
      <c r="U199" s="135"/>
      <c r="V199" s="150"/>
      <c r="X199" s="135"/>
    </row>
    <row r="200" spans="4:24" ht="12.75">
      <c r="D200" s="107"/>
      <c r="E200" s="148"/>
      <c r="F200" s="150"/>
      <c r="G200" s="150"/>
      <c r="H200" s="148"/>
      <c r="I200" s="149"/>
      <c r="J200" s="149"/>
      <c r="K200" s="148"/>
      <c r="L200" s="150"/>
      <c r="N200" s="149"/>
      <c r="O200" s="150"/>
      <c r="Q200" s="135"/>
      <c r="R200" s="150"/>
      <c r="S200" s="150"/>
      <c r="U200" s="135"/>
      <c r="V200" s="150"/>
      <c r="X200" s="135"/>
    </row>
    <row r="201" spans="4:24" ht="12.75">
      <c r="D201" s="107"/>
      <c r="E201" s="148"/>
      <c r="F201" s="150"/>
      <c r="G201" s="150"/>
      <c r="H201" s="148"/>
      <c r="I201" s="149"/>
      <c r="J201" s="149"/>
      <c r="K201" s="148"/>
      <c r="L201" s="150"/>
      <c r="N201" s="149"/>
      <c r="O201" s="150"/>
      <c r="Q201" s="135"/>
      <c r="R201" s="150"/>
      <c r="S201" s="150"/>
      <c r="U201" s="135"/>
      <c r="V201" s="150"/>
      <c r="X201" s="135"/>
    </row>
    <row r="202" spans="4:24" ht="12.75">
      <c r="D202" s="107"/>
      <c r="E202" s="148"/>
      <c r="F202" s="150"/>
      <c r="G202" s="150"/>
      <c r="H202" s="148"/>
      <c r="I202" s="149"/>
      <c r="J202" s="149"/>
      <c r="K202" s="148"/>
      <c r="L202" s="150"/>
      <c r="N202" s="149"/>
      <c r="O202" s="150"/>
      <c r="Q202" s="135"/>
      <c r="R202" s="150"/>
      <c r="S202" s="150"/>
      <c r="U202" s="135"/>
      <c r="V202" s="150"/>
      <c r="X202" s="135"/>
    </row>
    <row r="203" spans="4:24" ht="12.75">
      <c r="D203" s="107"/>
      <c r="E203" s="148"/>
      <c r="F203" s="150"/>
      <c r="G203" s="150"/>
      <c r="H203" s="148"/>
      <c r="I203" s="149"/>
      <c r="J203" s="149"/>
      <c r="K203" s="148"/>
      <c r="L203" s="150"/>
      <c r="N203" s="149"/>
      <c r="O203" s="150"/>
      <c r="Q203" s="135"/>
      <c r="R203" s="150"/>
      <c r="S203" s="150"/>
      <c r="U203" s="135"/>
      <c r="V203" s="150"/>
      <c r="X203" s="135"/>
    </row>
    <row r="204" spans="4:24" ht="12.75">
      <c r="D204" s="107"/>
      <c r="E204" s="148"/>
      <c r="F204" s="150"/>
      <c r="G204" s="150"/>
      <c r="H204" s="148"/>
      <c r="I204" s="149"/>
      <c r="J204" s="149"/>
      <c r="K204" s="148"/>
      <c r="L204" s="150"/>
      <c r="N204" s="149"/>
      <c r="O204" s="150"/>
      <c r="Q204" s="135"/>
      <c r="R204" s="150"/>
      <c r="S204" s="150"/>
      <c r="U204" s="135"/>
      <c r="V204" s="150"/>
      <c r="X204" s="135"/>
    </row>
    <row r="205" spans="4:24" ht="12.75">
      <c r="D205" s="107"/>
      <c r="E205" s="148"/>
      <c r="F205" s="150"/>
      <c r="G205" s="150"/>
      <c r="H205" s="148"/>
      <c r="I205" s="149"/>
      <c r="J205" s="149"/>
      <c r="K205" s="148"/>
      <c r="L205" s="150"/>
      <c r="N205" s="149"/>
      <c r="O205" s="150"/>
      <c r="Q205" s="135"/>
      <c r="R205" s="150"/>
      <c r="S205" s="150"/>
      <c r="U205" s="135"/>
      <c r="V205" s="150"/>
      <c r="X205" s="135"/>
    </row>
    <row r="206" spans="4:24" ht="12.75">
      <c r="D206" s="107"/>
      <c r="E206" s="148"/>
      <c r="F206" s="150"/>
      <c r="G206" s="150"/>
      <c r="H206" s="148"/>
      <c r="I206" s="149"/>
      <c r="J206" s="149"/>
      <c r="K206" s="148"/>
      <c r="L206" s="150"/>
      <c r="N206" s="149"/>
      <c r="O206" s="150"/>
      <c r="Q206" s="135"/>
      <c r="R206" s="150"/>
      <c r="S206" s="150"/>
      <c r="U206" s="135"/>
      <c r="V206" s="150"/>
      <c r="X206" s="135"/>
    </row>
    <row r="207" spans="4:24" ht="12.75">
      <c r="D207" s="107"/>
      <c r="E207" s="148"/>
      <c r="F207" s="150"/>
      <c r="G207" s="150"/>
      <c r="H207" s="148"/>
      <c r="I207" s="149"/>
      <c r="J207" s="149"/>
      <c r="K207" s="148"/>
      <c r="L207" s="150"/>
      <c r="N207" s="149"/>
      <c r="O207" s="150"/>
      <c r="Q207" s="135"/>
      <c r="R207" s="150"/>
      <c r="S207" s="150"/>
      <c r="U207" s="135"/>
      <c r="V207" s="150"/>
      <c r="X207" s="135"/>
    </row>
    <row r="208" spans="4:24" ht="12.75">
      <c r="D208" s="107"/>
      <c r="E208" s="148"/>
      <c r="F208" s="150"/>
      <c r="G208" s="150"/>
      <c r="H208" s="148"/>
      <c r="I208" s="149"/>
      <c r="J208" s="149"/>
      <c r="K208" s="148"/>
      <c r="L208" s="150"/>
      <c r="N208" s="149"/>
      <c r="O208" s="150"/>
      <c r="Q208" s="135"/>
      <c r="R208" s="150"/>
      <c r="S208" s="150"/>
      <c r="U208" s="135"/>
      <c r="V208" s="150"/>
      <c r="X208" s="135"/>
    </row>
    <row r="209" spans="4:24" ht="12.75">
      <c r="D209" s="107"/>
      <c r="E209" s="148"/>
      <c r="F209" s="150"/>
      <c r="G209" s="150"/>
      <c r="H209" s="148"/>
      <c r="I209" s="149"/>
      <c r="J209" s="149"/>
      <c r="K209" s="148"/>
      <c r="L209" s="150"/>
      <c r="N209" s="149"/>
      <c r="O209" s="150"/>
      <c r="Q209" s="135"/>
      <c r="R209" s="150"/>
      <c r="S209" s="150"/>
      <c r="U209" s="135"/>
      <c r="V209" s="150"/>
      <c r="X209" s="135"/>
    </row>
    <row r="210" spans="4:24" ht="12.75">
      <c r="D210" s="107"/>
      <c r="E210" s="148"/>
      <c r="F210" s="150"/>
      <c r="G210" s="150"/>
      <c r="H210" s="148"/>
      <c r="I210" s="149"/>
      <c r="J210" s="149"/>
      <c r="K210" s="148"/>
      <c r="L210" s="150"/>
      <c r="N210" s="149"/>
      <c r="O210" s="150"/>
      <c r="Q210" s="135"/>
      <c r="R210" s="150"/>
      <c r="S210" s="150"/>
      <c r="U210" s="135"/>
      <c r="V210" s="150"/>
      <c r="X210" s="135"/>
    </row>
    <row r="211" spans="4:24" ht="12.75">
      <c r="D211" s="107"/>
      <c r="E211" s="148"/>
      <c r="F211" s="150"/>
      <c r="G211" s="150"/>
      <c r="H211" s="148"/>
      <c r="I211" s="149"/>
      <c r="J211" s="149"/>
      <c r="K211" s="148"/>
      <c r="L211" s="150"/>
      <c r="N211" s="149"/>
      <c r="O211" s="150"/>
      <c r="Q211" s="135"/>
      <c r="R211" s="150"/>
      <c r="S211" s="150"/>
      <c r="U211" s="135"/>
      <c r="V211" s="150"/>
      <c r="X211" s="135"/>
    </row>
    <row r="212" spans="4:24" ht="12.75">
      <c r="D212" s="107"/>
      <c r="E212" s="148"/>
      <c r="F212" s="150"/>
      <c r="G212" s="150"/>
      <c r="H212" s="148"/>
      <c r="I212" s="149"/>
      <c r="J212" s="149"/>
      <c r="K212" s="148"/>
      <c r="L212" s="150"/>
      <c r="N212" s="149"/>
      <c r="O212" s="150"/>
      <c r="Q212" s="135"/>
      <c r="R212" s="150"/>
      <c r="S212" s="150"/>
      <c r="U212" s="135"/>
      <c r="V212" s="150"/>
      <c r="X212" s="135"/>
    </row>
    <row r="213" spans="4:24" ht="12.75">
      <c r="D213" s="107"/>
      <c r="E213" s="148"/>
      <c r="F213" s="150"/>
      <c r="G213" s="150"/>
      <c r="H213" s="148"/>
      <c r="I213" s="149"/>
      <c r="J213" s="149"/>
      <c r="K213" s="148"/>
      <c r="L213" s="150"/>
      <c r="N213" s="149"/>
      <c r="O213" s="150"/>
      <c r="Q213" s="135"/>
      <c r="R213" s="150"/>
      <c r="S213" s="150"/>
      <c r="U213" s="135"/>
      <c r="V213" s="150"/>
      <c r="X213" s="135"/>
    </row>
    <row r="214" spans="4:24" ht="12.75">
      <c r="D214" s="107"/>
      <c r="E214" s="148"/>
      <c r="F214" s="150"/>
      <c r="G214" s="150"/>
      <c r="H214" s="148"/>
      <c r="I214" s="149"/>
      <c r="J214" s="149"/>
      <c r="K214" s="148"/>
      <c r="L214" s="150"/>
      <c r="N214" s="149"/>
      <c r="O214" s="150"/>
      <c r="Q214" s="135"/>
      <c r="R214" s="150"/>
      <c r="S214" s="150"/>
      <c r="U214" s="135"/>
      <c r="V214" s="150"/>
      <c r="X214" s="135"/>
    </row>
    <row r="215" spans="4:24" ht="12.75">
      <c r="D215" s="107"/>
      <c r="E215" s="148"/>
      <c r="F215" s="150"/>
      <c r="G215" s="150"/>
      <c r="H215" s="148"/>
      <c r="I215" s="149"/>
      <c r="J215" s="149"/>
      <c r="K215" s="148"/>
      <c r="L215" s="150"/>
      <c r="N215" s="149"/>
      <c r="O215" s="150"/>
      <c r="Q215" s="135"/>
      <c r="R215" s="150"/>
      <c r="S215" s="150"/>
      <c r="U215" s="135"/>
      <c r="V215" s="150"/>
      <c r="X215" s="135"/>
    </row>
    <row r="216" spans="4:24" ht="12.75">
      <c r="D216" s="107"/>
      <c r="E216" s="148"/>
      <c r="F216" s="150"/>
      <c r="G216" s="150"/>
      <c r="H216" s="148"/>
      <c r="I216" s="149"/>
      <c r="J216" s="149"/>
      <c r="K216" s="148"/>
      <c r="L216" s="150"/>
      <c r="N216" s="149"/>
      <c r="O216" s="150"/>
      <c r="Q216" s="135"/>
      <c r="R216" s="150"/>
      <c r="S216" s="150"/>
      <c r="U216" s="135"/>
      <c r="V216" s="150"/>
      <c r="X216" s="135"/>
    </row>
    <row r="217" spans="4:24" ht="12.75">
      <c r="D217" s="107"/>
      <c r="E217" s="148"/>
      <c r="F217" s="150"/>
      <c r="G217" s="150"/>
      <c r="H217" s="148"/>
      <c r="I217" s="149"/>
      <c r="J217" s="149"/>
      <c r="K217" s="148"/>
      <c r="L217" s="150"/>
      <c r="N217" s="149"/>
      <c r="O217" s="150"/>
      <c r="Q217" s="135"/>
      <c r="R217" s="150"/>
      <c r="S217" s="150"/>
      <c r="U217" s="135"/>
      <c r="V217" s="150"/>
      <c r="X217" s="135"/>
    </row>
    <row r="218" spans="4:24" ht="12.75">
      <c r="D218" s="107"/>
      <c r="E218" s="148"/>
      <c r="F218" s="150"/>
      <c r="G218" s="150"/>
      <c r="H218" s="148"/>
      <c r="I218" s="149"/>
      <c r="J218" s="149"/>
      <c r="K218" s="148"/>
      <c r="L218" s="150"/>
      <c r="N218" s="149"/>
      <c r="O218" s="150"/>
      <c r="Q218" s="135"/>
      <c r="R218" s="150"/>
      <c r="S218" s="150"/>
      <c r="U218" s="135"/>
      <c r="V218" s="150"/>
      <c r="X218" s="135"/>
    </row>
    <row r="219" spans="4:24" ht="12.75">
      <c r="D219" s="107"/>
      <c r="E219" s="148"/>
      <c r="F219" s="150"/>
      <c r="G219" s="150"/>
      <c r="H219" s="148"/>
      <c r="I219" s="149"/>
      <c r="J219" s="149"/>
      <c r="K219" s="148"/>
      <c r="L219" s="150"/>
      <c r="N219" s="149"/>
      <c r="O219" s="150"/>
      <c r="Q219" s="135"/>
      <c r="R219" s="150"/>
      <c r="S219" s="150"/>
      <c r="U219" s="135"/>
      <c r="V219" s="150"/>
      <c r="X219" s="135"/>
    </row>
    <row r="220" spans="4:24" ht="12.75">
      <c r="D220" s="107"/>
      <c r="E220" s="148"/>
      <c r="F220" s="150"/>
      <c r="G220" s="150"/>
      <c r="H220" s="148"/>
      <c r="I220" s="149"/>
      <c r="J220" s="149"/>
      <c r="K220" s="148"/>
      <c r="L220" s="150"/>
      <c r="N220" s="149"/>
      <c r="O220" s="150"/>
      <c r="Q220" s="135"/>
      <c r="R220" s="150"/>
      <c r="S220" s="150"/>
      <c r="U220" s="135"/>
      <c r="V220" s="150"/>
      <c r="X220" s="135"/>
    </row>
    <row r="221" spans="4:24" ht="12.75">
      <c r="D221" s="107"/>
      <c r="E221" s="148"/>
      <c r="F221" s="150"/>
      <c r="G221" s="150"/>
      <c r="H221" s="148"/>
      <c r="I221" s="149"/>
      <c r="J221" s="149"/>
      <c r="K221" s="148"/>
      <c r="L221" s="150"/>
      <c r="N221" s="149"/>
      <c r="O221" s="150"/>
      <c r="Q221" s="135"/>
      <c r="R221" s="150"/>
      <c r="S221" s="150"/>
      <c r="U221" s="135"/>
      <c r="V221" s="150"/>
      <c r="X221" s="135"/>
    </row>
    <row r="222" spans="4:24" ht="12.75">
      <c r="D222" s="107"/>
      <c r="E222" s="148"/>
      <c r="F222" s="150"/>
      <c r="G222" s="150"/>
      <c r="H222" s="148"/>
      <c r="I222" s="149"/>
      <c r="J222" s="149"/>
      <c r="K222" s="148"/>
      <c r="L222" s="150"/>
      <c r="N222" s="149"/>
      <c r="O222" s="150"/>
      <c r="Q222" s="135"/>
      <c r="R222" s="150"/>
      <c r="S222" s="150"/>
      <c r="U222" s="135"/>
      <c r="V222" s="150"/>
      <c r="X222" s="135"/>
    </row>
    <row r="223" spans="4:24" ht="12.75">
      <c r="D223" s="107"/>
      <c r="E223" s="148"/>
      <c r="F223" s="150"/>
      <c r="G223" s="150"/>
      <c r="H223" s="148"/>
      <c r="I223" s="149"/>
      <c r="J223" s="149"/>
      <c r="K223" s="148"/>
      <c r="L223" s="150"/>
      <c r="N223" s="149"/>
      <c r="O223" s="150"/>
      <c r="Q223" s="135"/>
      <c r="R223" s="150"/>
      <c r="S223" s="150"/>
      <c r="U223" s="135"/>
      <c r="V223" s="150"/>
      <c r="X223" s="135"/>
    </row>
    <row r="224" spans="4:24" ht="12.75">
      <c r="D224" s="107"/>
      <c r="E224" s="148"/>
      <c r="F224" s="150"/>
      <c r="G224" s="150"/>
      <c r="H224" s="148"/>
      <c r="I224" s="149"/>
      <c r="J224" s="149"/>
      <c r="K224" s="148"/>
      <c r="L224" s="150"/>
      <c r="N224" s="149"/>
      <c r="O224" s="150"/>
      <c r="Q224" s="135"/>
      <c r="R224" s="150"/>
      <c r="S224" s="150"/>
      <c r="U224" s="135"/>
      <c r="V224" s="150"/>
      <c r="X224" s="135"/>
    </row>
    <row r="225" spans="4:24" ht="12.75">
      <c r="D225" s="107"/>
      <c r="E225" s="148"/>
      <c r="F225" s="150"/>
      <c r="G225" s="150"/>
      <c r="H225" s="148"/>
      <c r="I225" s="149"/>
      <c r="J225" s="149"/>
      <c r="K225" s="148"/>
      <c r="L225" s="150"/>
      <c r="N225" s="149"/>
      <c r="O225" s="150"/>
      <c r="Q225" s="135"/>
      <c r="R225" s="150"/>
      <c r="S225" s="150"/>
      <c r="U225" s="135"/>
      <c r="V225" s="150"/>
      <c r="X225" s="135"/>
    </row>
    <row r="226" spans="4:24" ht="12.75">
      <c r="D226" s="107"/>
      <c r="E226" s="148"/>
      <c r="F226" s="150"/>
      <c r="G226" s="150"/>
      <c r="H226" s="148"/>
      <c r="I226" s="149"/>
      <c r="J226" s="149"/>
      <c r="K226" s="148"/>
      <c r="L226" s="150"/>
      <c r="N226" s="149"/>
      <c r="O226" s="150"/>
      <c r="Q226" s="135"/>
      <c r="R226" s="150"/>
      <c r="S226" s="150"/>
      <c r="U226" s="135"/>
      <c r="V226" s="150"/>
      <c r="X226" s="135"/>
    </row>
    <row r="227" spans="4:24" ht="12.75">
      <c r="D227" s="107"/>
      <c r="E227" s="148"/>
      <c r="F227" s="150"/>
      <c r="G227" s="150"/>
      <c r="H227" s="148"/>
      <c r="I227" s="149"/>
      <c r="J227" s="149"/>
      <c r="K227" s="148"/>
      <c r="L227" s="150"/>
      <c r="N227" s="149"/>
      <c r="O227" s="150"/>
      <c r="Q227" s="135"/>
      <c r="R227" s="150"/>
      <c r="S227" s="150"/>
      <c r="U227" s="135"/>
      <c r="V227" s="150"/>
      <c r="X227" s="135"/>
    </row>
    <row r="228" spans="4:24" ht="12.75">
      <c r="D228" s="107"/>
      <c r="E228" s="148"/>
      <c r="F228" s="150"/>
      <c r="G228" s="150"/>
      <c r="H228" s="148"/>
      <c r="I228" s="149"/>
      <c r="J228" s="149"/>
      <c r="K228" s="148"/>
      <c r="L228" s="150"/>
      <c r="N228" s="149"/>
      <c r="O228" s="150"/>
      <c r="Q228" s="135"/>
      <c r="R228" s="150"/>
      <c r="S228" s="150"/>
      <c r="U228" s="135"/>
      <c r="V228" s="150"/>
      <c r="X228" s="135"/>
    </row>
    <row r="229" spans="4:24" ht="12.75">
      <c r="D229" s="107"/>
      <c r="E229" s="148"/>
      <c r="F229" s="150"/>
      <c r="G229" s="150"/>
      <c r="H229" s="148"/>
      <c r="I229" s="149"/>
      <c r="J229" s="149"/>
      <c r="K229" s="148"/>
      <c r="L229" s="150"/>
      <c r="N229" s="149"/>
      <c r="O229" s="150"/>
      <c r="Q229" s="135"/>
      <c r="R229" s="150"/>
      <c r="S229" s="150"/>
      <c r="U229" s="135"/>
      <c r="V229" s="150"/>
      <c r="X229" s="135"/>
    </row>
    <row r="230" spans="4:24" ht="12.75">
      <c r="D230" s="107"/>
      <c r="E230" s="148"/>
      <c r="F230" s="150"/>
      <c r="G230" s="150"/>
      <c r="H230" s="148"/>
      <c r="I230" s="149"/>
      <c r="J230" s="149"/>
      <c r="K230" s="148"/>
      <c r="L230" s="150"/>
      <c r="N230" s="149"/>
      <c r="O230" s="150"/>
      <c r="Q230" s="135"/>
      <c r="R230" s="150"/>
      <c r="S230" s="150"/>
      <c r="U230" s="135"/>
      <c r="V230" s="150"/>
      <c r="X230" s="135"/>
    </row>
    <row r="231" spans="4:24" ht="12.75">
      <c r="D231" s="107"/>
      <c r="E231" s="148"/>
      <c r="F231" s="150"/>
      <c r="G231" s="150"/>
      <c r="H231" s="148"/>
      <c r="I231" s="149"/>
      <c r="J231" s="149"/>
      <c r="K231" s="148"/>
      <c r="L231" s="150"/>
      <c r="N231" s="149"/>
      <c r="O231" s="150"/>
      <c r="Q231" s="135"/>
      <c r="R231" s="150"/>
      <c r="S231" s="150"/>
      <c r="U231" s="135"/>
      <c r="V231" s="150"/>
      <c r="X231" s="135"/>
    </row>
    <row r="232" spans="4:24" ht="12.75">
      <c r="D232" s="107"/>
      <c r="E232" s="148"/>
      <c r="F232" s="150"/>
      <c r="G232" s="150"/>
      <c r="H232" s="148"/>
      <c r="I232" s="149"/>
      <c r="J232" s="149"/>
      <c r="K232" s="148"/>
      <c r="L232" s="150"/>
      <c r="N232" s="149"/>
      <c r="O232" s="150"/>
      <c r="Q232" s="135"/>
      <c r="R232" s="150"/>
      <c r="S232" s="150"/>
      <c r="U232" s="135"/>
      <c r="V232" s="150"/>
      <c r="X232" s="135"/>
    </row>
    <row r="233" spans="4:24" ht="12.75">
      <c r="D233" s="107"/>
      <c r="E233" s="148"/>
      <c r="F233" s="150"/>
      <c r="G233" s="150"/>
      <c r="H233" s="148"/>
      <c r="I233" s="149"/>
      <c r="J233" s="149"/>
      <c r="K233" s="148"/>
      <c r="L233" s="150"/>
      <c r="N233" s="149"/>
      <c r="O233" s="150"/>
      <c r="Q233" s="135"/>
      <c r="R233" s="150"/>
      <c r="S233" s="150"/>
      <c r="U233" s="135"/>
      <c r="V233" s="150"/>
      <c r="X233" s="135"/>
    </row>
    <row r="234" spans="4:24" ht="12.75">
      <c r="D234" s="107"/>
      <c r="E234" s="148"/>
      <c r="F234" s="150"/>
      <c r="G234" s="150"/>
      <c r="H234" s="148"/>
      <c r="I234" s="149"/>
      <c r="J234" s="149"/>
      <c r="K234" s="148"/>
      <c r="L234" s="150"/>
      <c r="N234" s="149"/>
      <c r="O234" s="150"/>
      <c r="Q234" s="135"/>
      <c r="R234" s="150"/>
      <c r="S234" s="150"/>
      <c r="U234" s="135"/>
      <c r="V234" s="150"/>
      <c r="X234" s="135"/>
    </row>
    <row r="235" spans="4:24" ht="12.75">
      <c r="D235" s="107"/>
      <c r="E235" s="148"/>
      <c r="F235" s="150"/>
      <c r="G235" s="150"/>
      <c r="H235" s="148"/>
      <c r="I235" s="149"/>
      <c r="J235" s="149"/>
      <c r="K235" s="148"/>
      <c r="L235" s="150"/>
      <c r="N235" s="149"/>
      <c r="O235" s="150"/>
      <c r="Q235" s="135"/>
      <c r="R235" s="150"/>
      <c r="S235" s="150"/>
      <c r="U235" s="135"/>
      <c r="V235" s="150"/>
      <c r="X235" s="135"/>
    </row>
    <row r="236" spans="4:24" ht="12.75">
      <c r="D236" s="107"/>
      <c r="E236" s="148"/>
      <c r="F236" s="150"/>
      <c r="G236" s="150"/>
      <c r="H236" s="148"/>
      <c r="I236" s="149"/>
      <c r="J236" s="149"/>
      <c r="K236" s="148"/>
      <c r="L236" s="150"/>
      <c r="N236" s="149"/>
      <c r="O236" s="150"/>
      <c r="Q236" s="135"/>
      <c r="R236" s="150"/>
      <c r="S236" s="150"/>
      <c r="U236" s="135"/>
      <c r="V236" s="150"/>
      <c r="X236" s="135"/>
    </row>
    <row r="237" spans="4:24" ht="12.75">
      <c r="D237" s="107"/>
      <c r="E237" s="148"/>
      <c r="F237" s="150"/>
      <c r="G237" s="150"/>
      <c r="H237" s="148"/>
      <c r="I237" s="149"/>
      <c r="J237" s="149"/>
      <c r="K237" s="148"/>
      <c r="L237" s="150"/>
      <c r="N237" s="149"/>
      <c r="O237" s="150"/>
      <c r="Q237" s="135"/>
      <c r="R237" s="150"/>
      <c r="S237" s="150"/>
      <c r="U237" s="135"/>
      <c r="V237" s="150"/>
      <c r="X237" s="135"/>
    </row>
    <row r="238" spans="4:24" ht="12.75">
      <c r="D238" s="107"/>
      <c r="E238" s="148"/>
      <c r="F238" s="150"/>
      <c r="G238" s="150"/>
      <c r="H238" s="148"/>
      <c r="I238" s="149"/>
      <c r="J238" s="149"/>
      <c r="K238" s="148"/>
      <c r="L238" s="150"/>
      <c r="N238" s="149"/>
      <c r="O238" s="150"/>
      <c r="Q238" s="135"/>
      <c r="R238" s="150"/>
      <c r="S238" s="150"/>
      <c r="U238" s="135"/>
      <c r="V238" s="150"/>
      <c r="X238" s="135"/>
    </row>
  </sheetData>
  <printOptions/>
  <pageMargins left="0.3937007874015748" right="0.3937007874015748" top="0.5905511811023623" bottom="0.669291338582677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7"/>
  <sheetViews>
    <sheetView showZeros="0" view="pageBreakPreview" zoomScaleSheetLayoutView="100" workbookViewId="0" topLeftCell="A1">
      <pane xSplit="5" ySplit="5" topLeftCell="G18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216" sqref="E216:E225"/>
    </sheetView>
  </sheetViews>
  <sheetFormatPr defaultColWidth="9.00390625" defaultRowHeight="12.75"/>
  <cols>
    <col min="1" max="1" width="4.75390625" style="247" customWidth="1"/>
    <col min="2" max="3" width="6.75390625" style="247" customWidth="1"/>
    <col min="4" max="4" width="26.125" style="247" customWidth="1"/>
    <col min="5" max="5" width="21.625" style="249" customWidth="1"/>
    <col min="6" max="6" width="8.375" style="249" customWidth="1"/>
    <col min="7" max="7" width="13.375" style="247" customWidth="1"/>
    <col min="8" max="8" width="16.00390625" style="247" customWidth="1"/>
    <col min="9" max="9" width="11.25390625" style="247" customWidth="1"/>
    <col min="10" max="10" width="11.125" style="247" bestFit="1" customWidth="1"/>
    <col min="11" max="11" width="11.125" style="247" hidden="1" customWidth="1"/>
    <col min="12" max="12" width="11.125" style="250" bestFit="1" customWidth="1"/>
    <col min="13" max="13" width="10.125" style="247" bestFit="1" customWidth="1"/>
    <col min="14" max="14" width="10.75390625" style="247" customWidth="1"/>
    <col min="15" max="16" width="7.125" style="247" hidden="1" customWidth="1"/>
    <col min="17" max="17" width="9.125" style="247" hidden="1" customWidth="1"/>
    <col min="18" max="18" width="11.125" style="247" hidden="1" customWidth="1"/>
    <col min="19" max="19" width="9.125" style="247" hidden="1" customWidth="1"/>
    <col min="20" max="20" width="10.625" style="247" customWidth="1"/>
    <col min="21" max="21" width="12.125" style="247" customWidth="1"/>
    <col min="22" max="22" width="11.125" style="247" bestFit="1" customWidth="1"/>
    <col min="23" max="16384" width="9.125" style="247" customWidth="1"/>
  </cols>
  <sheetData>
    <row r="1" spans="1:20" ht="18" customHeight="1">
      <c r="A1" s="246"/>
      <c r="B1" s="246"/>
      <c r="C1" s="246"/>
      <c r="E1" s="248"/>
      <c r="T1" s="251" t="s">
        <v>96</v>
      </c>
    </row>
    <row r="2" spans="1:20" ht="12" customHeight="1">
      <c r="A2" s="246"/>
      <c r="B2" s="246"/>
      <c r="C2" s="246"/>
      <c r="E2" s="248"/>
      <c r="T2" s="252" t="s">
        <v>97</v>
      </c>
    </row>
    <row r="3" spans="1:20" ht="52.5" customHeight="1" thickBot="1">
      <c r="A3" s="568" t="s">
        <v>98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</row>
    <row r="4" spans="1:20" s="249" customFormat="1" ht="27.75" customHeight="1" thickBot="1">
      <c r="A4" s="569" t="s">
        <v>99</v>
      </c>
      <c r="B4" s="526" t="s">
        <v>100</v>
      </c>
      <c r="C4" s="526" t="s">
        <v>101</v>
      </c>
      <c r="D4" s="571" t="s">
        <v>102</v>
      </c>
      <c r="E4" s="571" t="s">
        <v>103</v>
      </c>
      <c r="F4" s="571" t="s">
        <v>104</v>
      </c>
      <c r="G4" s="571" t="s">
        <v>105</v>
      </c>
      <c r="H4" s="573" t="s">
        <v>106</v>
      </c>
      <c r="I4" s="562" t="s">
        <v>107</v>
      </c>
      <c r="J4" s="578">
        <v>2011</v>
      </c>
      <c r="K4" s="508" t="s">
        <v>108</v>
      </c>
      <c r="L4" s="253" t="s">
        <v>109</v>
      </c>
      <c r="M4" s="254"/>
      <c r="N4" s="254"/>
      <c r="O4" s="254"/>
      <c r="P4" s="254"/>
      <c r="Q4" s="254"/>
      <c r="R4" s="254"/>
      <c r="S4" s="255"/>
      <c r="T4" s="571" t="s">
        <v>110</v>
      </c>
    </row>
    <row r="5" spans="1:20" s="249" customFormat="1" ht="13.5" thickBot="1">
      <c r="A5" s="570"/>
      <c r="B5" s="527"/>
      <c r="C5" s="527"/>
      <c r="D5" s="572"/>
      <c r="E5" s="570"/>
      <c r="F5" s="570"/>
      <c r="G5" s="570"/>
      <c r="H5" s="574"/>
      <c r="I5" s="563"/>
      <c r="J5" s="579"/>
      <c r="K5" s="509"/>
      <c r="L5" s="256">
        <v>2012</v>
      </c>
      <c r="M5" s="257">
        <v>2013</v>
      </c>
      <c r="N5" s="257">
        <v>2014</v>
      </c>
      <c r="O5" s="257">
        <v>2015</v>
      </c>
      <c r="P5" s="257">
        <v>2016</v>
      </c>
      <c r="Q5" s="257">
        <v>2017</v>
      </c>
      <c r="R5" s="257">
        <v>2018</v>
      </c>
      <c r="S5" s="258">
        <v>2019</v>
      </c>
      <c r="T5" s="571"/>
    </row>
    <row r="6" spans="1:21" ht="12.75" customHeight="1">
      <c r="A6" s="520">
        <v>1</v>
      </c>
      <c r="B6" s="515">
        <v>150</v>
      </c>
      <c r="C6" s="515">
        <v>15013</v>
      </c>
      <c r="D6" s="523" t="s">
        <v>111</v>
      </c>
      <c r="E6" s="510" t="s">
        <v>112</v>
      </c>
      <c r="F6" s="513">
        <v>2011</v>
      </c>
      <c r="G6" s="259" t="s">
        <v>113</v>
      </c>
      <c r="H6" s="260" t="s">
        <v>114</v>
      </c>
      <c r="I6" s="261"/>
      <c r="J6" s="262"/>
      <c r="K6" s="262">
        <f aca="true" t="shared" si="0" ref="K6:K37">I6+J6</f>
        <v>0</v>
      </c>
      <c r="L6" s="262"/>
      <c r="M6" s="262"/>
      <c r="N6" s="262"/>
      <c r="O6" s="262"/>
      <c r="P6" s="262"/>
      <c r="Q6" s="262"/>
      <c r="R6" s="262"/>
      <c r="S6" s="263"/>
      <c r="T6" s="482">
        <f>M14+N14+O14+P14+Q14+R14+M15+N15+O15+P15+Q15+S14+S15+R15</f>
        <v>271340</v>
      </c>
      <c r="U6" s="264"/>
    </row>
    <row r="7" spans="1:21" ht="12.75" customHeight="1">
      <c r="A7" s="521"/>
      <c r="B7" s="516"/>
      <c r="C7" s="516"/>
      <c r="D7" s="524"/>
      <c r="E7" s="511"/>
      <c r="F7" s="514"/>
      <c r="G7" s="502">
        <f>SUM(K14:S14)</f>
        <v>1955698</v>
      </c>
      <c r="H7" s="265" t="s">
        <v>115</v>
      </c>
      <c r="I7" s="266"/>
      <c r="J7" s="267"/>
      <c r="K7" s="268">
        <f t="shared" si="0"/>
        <v>0</v>
      </c>
      <c r="L7" s="267"/>
      <c r="M7" s="267"/>
      <c r="N7" s="267"/>
      <c r="O7" s="267"/>
      <c r="P7" s="267"/>
      <c r="Q7" s="267"/>
      <c r="R7" s="267"/>
      <c r="S7" s="269"/>
      <c r="T7" s="483"/>
      <c r="U7" s="264"/>
    </row>
    <row r="8" spans="1:21" ht="12.75" customHeight="1">
      <c r="A8" s="521"/>
      <c r="B8" s="516"/>
      <c r="C8" s="516"/>
      <c r="D8" s="524"/>
      <c r="E8" s="511"/>
      <c r="F8" s="514"/>
      <c r="G8" s="503"/>
      <c r="H8" s="265" t="s">
        <v>116</v>
      </c>
      <c r="I8" s="266"/>
      <c r="J8" s="267">
        <v>3843</v>
      </c>
      <c r="K8" s="268">
        <f t="shared" si="0"/>
        <v>3843</v>
      </c>
      <c r="L8" s="267">
        <v>248811</v>
      </c>
      <c r="M8" s="267">
        <v>40701</v>
      </c>
      <c r="N8" s="267"/>
      <c r="O8" s="267"/>
      <c r="P8" s="267"/>
      <c r="Q8" s="267"/>
      <c r="R8" s="267"/>
      <c r="S8" s="269"/>
      <c r="T8" s="483"/>
      <c r="U8" s="264"/>
    </row>
    <row r="9" spans="1:21" ht="12.75" customHeight="1">
      <c r="A9" s="521"/>
      <c r="B9" s="516"/>
      <c r="C9" s="516"/>
      <c r="D9" s="524"/>
      <c r="E9" s="511"/>
      <c r="F9" s="514"/>
      <c r="G9" s="270" t="s">
        <v>117</v>
      </c>
      <c r="H9" s="265" t="s">
        <v>118</v>
      </c>
      <c r="I9" s="266"/>
      <c r="J9" s="267"/>
      <c r="K9" s="268">
        <f t="shared" si="0"/>
        <v>0</v>
      </c>
      <c r="L9" s="267"/>
      <c r="M9" s="267"/>
      <c r="N9" s="267"/>
      <c r="O9" s="267"/>
      <c r="P9" s="267"/>
      <c r="Q9" s="267"/>
      <c r="R9" s="267"/>
      <c r="S9" s="269"/>
      <c r="T9" s="483"/>
      <c r="U9" s="264"/>
    </row>
    <row r="10" spans="1:21" ht="12.75" customHeight="1">
      <c r="A10" s="521"/>
      <c r="B10" s="516"/>
      <c r="C10" s="516"/>
      <c r="D10" s="524"/>
      <c r="E10" s="511"/>
      <c r="F10" s="514"/>
      <c r="G10" s="502">
        <f>SUM(K15:S15)</f>
        <v>0</v>
      </c>
      <c r="H10" s="265" t="s">
        <v>119</v>
      </c>
      <c r="I10" s="266"/>
      <c r="J10" s="267">
        <v>21779</v>
      </c>
      <c r="K10" s="268">
        <f t="shared" si="0"/>
        <v>21779</v>
      </c>
      <c r="L10" s="267">
        <v>1409925</v>
      </c>
      <c r="M10" s="267">
        <v>230639</v>
      </c>
      <c r="N10" s="267"/>
      <c r="O10" s="267"/>
      <c r="P10" s="267"/>
      <c r="Q10" s="267"/>
      <c r="R10" s="267"/>
      <c r="S10" s="269"/>
      <c r="T10" s="483"/>
      <c r="U10" s="264"/>
    </row>
    <row r="11" spans="1:21" ht="12.75" customHeight="1">
      <c r="A11" s="521"/>
      <c r="B11" s="516"/>
      <c r="C11" s="516"/>
      <c r="D11" s="524"/>
      <c r="E11" s="511"/>
      <c r="F11" s="514">
        <v>2013</v>
      </c>
      <c r="G11" s="503"/>
      <c r="H11" s="265" t="s">
        <v>120</v>
      </c>
      <c r="I11" s="266"/>
      <c r="J11" s="267"/>
      <c r="K11" s="268">
        <f t="shared" si="0"/>
        <v>0</v>
      </c>
      <c r="L11" s="267"/>
      <c r="M11" s="267"/>
      <c r="N11" s="267"/>
      <c r="O11" s="267"/>
      <c r="P11" s="267"/>
      <c r="Q11" s="267"/>
      <c r="R11" s="267"/>
      <c r="S11" s="269"/>
      <c r="T11" s="483"/>
      <c r="U11" s="264"/>
    </row>
    <row r="12" spans="1:21" ht="12.75" customHeight="1">
      <c r="A12" s="521"/>
      <c r="B12" s="516"/>
      <c r="C12" s="516"/>
      <c r="D12" s="524"/>
      <c r="E12" s="511"/>
      <c r="F12" s="514"/>
      <c r="G12" s="270" t="s">
        <v>121</v>
      </c>
      <c r="H12" s="265" t="s">
        <v>122</v>
      </c>
      <c r="I12" s="266"/>
      <c r="J12" s="267"/>
      <c r="K12" s="268">
        <f t="shared" si="0"/>
        <v>0</v>
      </c>
      <c r="L12" s="267"/>
      <c r="M12" s="267"/>
      <c r="N12" s="267"/>
      <c r="O12" s="267"/>
      <c r="P12" s="267"/>
      <c r="Q12" s="267"/>
      <c r="R12" s="267"/>
      <c r="S12" s="269"/>
      <c r="T12" s="483"/>
      <c r="U12" s="264"/>
    </row>
    <row r="13" spans="1:21" ht="12.75" customHeight="1">
      <c r="A13" s="521"/>
      <c r="B13" s="516"/>
      <c r="C13" s="516"/>
      <c r="D13" s="524"/>
      <c r="E13" s="511"/>
      <c r="F13" s="514"/>
      <c r="G13" s="502">
        <f>G7+G10</f>
        <v>1955698</v>
      </c>
      <c r="H13" s="265" t="s">
        <v>123</v>
      </c>
      <c r="I13" s="266"/>
      <c r="J13" s="267"/>
      <c r="K13" s="268">
        <f t="shared" si="0"/>
        <v>0</v>
      </c>
      <c r="L13" s="267"/>
      <c r="M13" s="267"/>
      <c r="N13" s="267"/>
      <c r="O13" s="267"/>
      <c r="P13" s="267"/>
      <c r="Q13" s="267"/>
      <c r="R13" s="267"/>
      <c r="S13" s="269"/>
      <c r="T13" s="483"/>
      <c r="U13" s="264"/>
    </row>
    <row r="14" spans="1:21" ht="12.75" customHeight="1">
      <c r="A14" s="521"/>
      <c r="B14" s="516"/>
      <c r="C14" s="516"/>
      <c r="D14" s="524"/>
      <c r="E14" s="511"/>
      <c r="F14" s="514"/>
      <c r="G14" s="504"/>
      <c r="H14" s="265" t="s">
        <v>124</v>
      </c>
      <c r="I14" s="271">
        <f>I6+I8+I10+I12</f>
        <v>0</v>
      </c>
      <c r="J14" s="272">
        <f>J6+J8+J10+J12</f>
        <v>25622</v>
      </c>
      <c r="K14" s="268">
        <f t="shared" si="0"/>
        <v>25622</v>
      </c>
      <c r="L14" s="272">
        <f aca="true" t="shared" si="1" ref="L14:S15">L6+L8+L10+L12</f>
        <v>1658736</v>
      </c>
      <c r="M14" s="272">
        <f t="shared" si="1"/>
        <v>271340</v>
      </c>
      <c r="N14" s="272">
        <f t="shared" si="1"/>
        <v>0</v>
      </c>
      <c r="O14" s="272">
        <f t="shared" si="1"/>
        <v>0</v>
      </c>
      <c r="P14" s="272">
        <f t="shared" si="1"/>
        <v>0</v>
      </c>
      <c r="Q14" s="272">
        <f t="shared" si="1"/>
        <v>0</v>
      </c>
      <c r="R14" s="272">
        <f t="shared" si="1"/>
        <v>0</v>
      </c>
      <c r="S14" s="273">
        <f t="shared" si="1"/>
        <v>0</v>
      </c>
      <c r="T14" s="483"/>
      <c r="U14" s="264"/>
    </row>
    <row r="15" spans="1:21" ht="12.75" customHeight="1" thickBot="1">
      <c r="A15" s="522"/>
      <c r="B15" s="517"/>
      <c r="C15" s="517"/>
      <c r="D15" s="525"/>
      <c r="E15" s="512"/>
      <c r="F15" s="518"/>
      <c r="G15" s="472"/>
      <c r="H15" s="274" t="s">
        <v>125</v>
      </c>
      <c r="I15" s="275">
        <f>I7+I9+I11+I13</f>
        <v>0</v>
      </c>
      <c r="J15" s="276">
        <f>J7+J9+J11+J13</f>
        <v>0</v>
      </c>
      <c r="K15" s="277">
        <f t="shared" si="0"/>
        <v>0</v>
      </c>
      <c r="L15" s="276">
        <f t="shared" si="1"/>
        <v>0</v>
      </c>
      <c r="M15" s="276">
        <f t="shared" si="1"/>
        <v>0</v>
      </c>
      <c r="N15" s="276">
        <f t="shared" si="1"/>
        <v>0</v>
      </c>
      <c r="O15" s="276">
        <f t="shared" si="1"/>
        <v>0</v>
      </c>
      <c r="P15" s="276">
        <f t="shared" si="1"/>
        <v>0</v>
      </c>
      <c r="Q15" s="276">
        <f t="shared" si="1"/>
        <v>0</v>
      </c>
      <c r="R15" s="276">
        <f t="shared" si="1"/>
        <v>0</v>
      </c>
      <c r="S15" s="278">
        <f t="shared" si="1"/>
        <v>0</v>
      </c>
      <c r="T15" s="484"/>
      <c r="U15" s="264"/>
    </row>
    <row r="16" spans="1:21" ht="12.75" customHeight="1" thickBot="1">
      <c r="A16" s="520">
        <f>A6+1</f>
        <v>2</v>
      </c>
      <c r="B16" s="515">
        <v>600</v>
      </c>
      <c r="C16" s="515">
        <v>60004</v>
      </c>
      <c r="D16" s="523" t="s">
        <v>126</v>
      </c>
      <c r="E16" s="519" t="s">
        <v>127</v>
      </c>
      <c r="F16" s="513">
        <v>2010</v>
      </c>
      <c r="G16" s="259" t="s">
        <v>113</v>
      </c>
      <c r="H16" s="260" t="s">
        <v>114</v>
      </c>
      <c r="I16" s="279">
        <v>11682</v>
      </c>
      <c r="J16" s="262">
        <v>18473</v>
      </c>
      <c r="K16" s="262">
        <f t="shared" si="0"/>
        <v>30155</v>
      </c>
      <c r="L16" s="262">
        <v>33506</v>
      </c>
      <c r="M16" s="262">
        <v>6499</v>
      </c>
      <c r="N16" s="262"/>
      <c r="O16" s="262"/>
      <c r="P16" s="262"/>
      <c r="Q16" s="262"/>
      <c r="R16" s="262"/>
      <c r="S16" s="263"/>
      <c r="T16" s="482">
        <f>M24+N24+O24+P24+Q24+R24+M25+N25+O25+P25+Q25+S24+S25+R25</f>
        <v>43353</v>
      </c>
      <c r="U16" s="264"/>
    </row>
    <row r="17" spans="1:21" ht="13.5" thickBot="1">
      <c r="A17" s="521"/>
      <c r="B17" s="516"/>
      <c r="C17" s="516"/>
      <c r="D17" s="524"/>
      <c r="E17" s="519"/>
      <c r="F17" s="514"/>
      <c r="G17" s="502">
        <f>SUM(K24:S24)</f>
        <v>467735</v>
      </c>
      <c r="H17" s="265" t="s">
        <v>115</v>
      </c>
      <c r="I17" s="280"/>
      <c r="J17" s="267"/>
      <c r="K17" s="268">
        <f t="shared" si="0"/>
        <v>0</v>
      </c>
      <c r="L17" s="267"/>
      <c r="M17" s="267"/>
      <c r="N17" s="267"/>
      <c r="O17" s="267"/>
      <c r="P17" s="267"/>
      <c r="Q17" s="267"/>
      <c r="R17" s="267"/>
      <c r="S17" s="269"/>
      <c r="T17" s="483"/>
      <c r="U17" s="264"/>
    </row>
    <row r="18" spans="1:21" ht="13.5" thickBot="1">
      <c r="A18" s="521"/>
      <c r="B18" s="516"/>
      <c r="C18" s="516"/>
      <c r="D18" s="524"/>
      <c r="E18" s="519"/>
      <c r="F18" s="514"/>
      <c r="G18" s="503"/>
      <c r="H18" s="265" t="s">
        <v>116</v>
      </c>
      <c r="I18" s="280"/>
      <c r="J18" s="267"/>
      <c r="K18" s="268">
        <f t="shared" si="0"/>
        <v>0</v>
      </c>
      <c r="L18" s="267"/>
      <c r="M18" s="267"/>
      <c r="N18" s="267"/>
      <c r="O18" s="267"/>
      <c r="P18" s="267"/>
      <c r="Q18" s="267"/>
      <c r="R18" s="267"/>
      <c r="S18" s="269"/>
      <c r="T18" s="483"/>
      <c r="U18" s="264"/>
    </row>
    <row r="19" spans="1:21" ht="13.5" thickBot="1">
      <c r="A19" s="521"/>
      <c r="B19" s="516"/>
      <c r="C19" s="516"/>
      <c r="D19" s="524"/>
      <c r="E19" s="519"/>
      <c r="F19" s="514"/>
      <c r="G19" s="270" t="s">
        <v>117</v>
      </c>
      <c r="H19" s="265" t="s">
        <v>118</v>
      </c>
      <c r="I19" s="280"/>
      <c r="J19" s="267"/>
      <c r="K19" s="268">
        <f t="shared" si="0"/>
        <v>0</v>
      </c>
      <c r="L19" s="267"/>
      <c r="M19" s="267"/>
      <c r="N19" s="267"/>
      <c r="O19" s="267"/>
      <c r="P19" s="267"/>
      <c r="Q19" s="267"/>
      <c r="R19" s="267"/>
      <c r="S19" s="269"/>
      <c r="T19" s="483"/>
      <c r="U19" s="264"/>
    </row>
    <row r="20" spans="1:21" ht="13.5" thickBot="1">
      <c r="A20" s="521"/>
      <c r="B20" s="516"/>
      <c r="C20" s="516"/>
      <c r="D20" s="524"/>
      <c r="E20" s="519"/>
      <c r="F20" s="514"/>
      <c r="G20" s="502">
        <f>SUM(K25:S25)</f>
        <v>0</v>
      </c>
      <c r="H20" s="265" t="s">
        <v>119</v>
      </c>
      <c r="I20" s="280">
        <v>66182</v>
      </c>
      <c r="J20" s="267">
        <v>104680</v>
      </c>
      <c r="K20" s="268">
        <f t="shared" si="0"/>
        <v>170862</v>
      </c>
      <c r="L20" s="267">
        <v>189859</v>
      </c>
      <c r="M20" s="267">
        <v>36854</v>
      </c>
      <c r="N20" s="267"/>
      <c r="O20" s="267"/>
      <c r="P20" s="267"/>
      <c r="Q20" s="267"/>
      <c r="R20" s="267"/>
      <c r="S20" s="269"/>
      <c r="T20" s="483"/>
      <c r="U20" s="264"/>
    </row>
    <row r="21" spans="1:21" ht="13.5" thickBot="1">
      <c r="A21" s="521"/>
      <c r="B21" s="516"/>
      <c r="C21" s="516"/>
      <c r="D21" s="524"/>
      <c r="E21" s="519"/>
      <c r="F21" s="514">
        <v>2013</v>
      </c>
      <c r="G21" s="503"/>
      <c r="H21" s="265" t="s">
        <v>120</v>
      </c>
      <c r="I21" s="280"/>
      <c r="J21" s="267"/>
      <c r="K21" s="268">
        <f t="shared" si="0"/>
        <v>0</v>
      </c>
      <c r="L21" s="267"/>
      <c r="M21" s="267"/>
      <c r="N21" s="267"/>
      <c r="O21" s="267"/>
      <c r="P21" s="267"/>
      <c r="Q21" s="267"/>
      <c r="R21" s="267"/>
      <c r="S21" s="269"/>
      <c r="T21" s="483"/>
      <c r="U21" s="264"/>
    </row>
    <row r="22" spans="1:21" ht="13.5" thickBot="1">
      <c r="A22" s="521"/>
      <c r="B22" s="516"/>
      <c r="C22" s="516"/>
      <c r="D22" s="524"/>
      <c r="E22" s="519"/>
      <c r="F22" s="514"/>
      <c r="G22" s="270" t="s">
        <v>121</v>
      </c>
      <c r="H22" s="265" t="s">
        <v>122</v>
      </c>
      <c r="I22" s="280"/>
      <c r="J22" s="267"/>
      <c r="K22" s="268">
        <f t="shared" si="0"/>
        <v>0</v>
      </c>
      <c r="L22" s="267"/>
      <c r="M22" s="267"/>
      <c r="N22" s="267"/>
      <c r="O22" s="267"/>
      <c r="P22" s="267"/>
      <c r="Q22" s="267"/>
      <c r="R22" s="267"/>
      <c r="S22" s="269"/>
      <c r="T22" s="483"/>
      <c r="U22" s="264"/>
    </row>
    <row r="23" spans="1:21" ht="13.5" thickBot="1">
      <c r="A23" s="521"/>
      <c r="B23" s="516"/>
      <c r="C23" s="516"/>
      <c r="D23" s="524"/>
      <c r="E23" s="519"/>
      <c r="F23" s="514"/>
      <c r="G23" s="502">
        <f>G17+G20</f>
        <v>467735</v>
      </c>
      <c r="H23" s="265" t="s">
        <v>123</v>
      </c>
      <c r="I23" s="280"/>
      <c r="J23" s="267"/>
      <c r="K23" s="268">
        <f t="shared" si="0"/>
        <v>0</v>
      </c>
      <c r="L23" s="267"/>
      <c r="M23" s="267"/>
      <c r="N23" s="267"/>
      <c r="O23" s="267"/>
      <c r="P23" s="267"/>
      <c r="Q23" s="267"/>
      <c r="R23" s="267"/>
      <c r="S23" s="269"/>
      <c r="T23" s="483"/>
      <c r="U23" s="264"/>
    </row>
    <row r="24" spans="1:21" ht="13.5" thickBot="1">
      <c r="A24" s="521"/>
      <c r="B24" s="516"/>
      <c r="C24" s="516"/>
      <c r="D24" s="524"/>
      <c r="E24" s="519"/>
      <c r="F24" s="514"/>
      <c r="G24" s="504"/>
      <c r="H24" s="265" t="s">
        <v>124</v>
      </c>
      <c r="I24" s="281">
        <f>I16+I18+I20+I22</f>
        <v>77864</v>
      </c>
      <c r="J24" s="272">
        <f>J16+J18+J20+J22</f>
        <v>123153</v>
      </c>
      <c r="K24" s="268">
        <f t="shared" si="0"/>
        <v>201017</v>
      </c>
      <c r="L24" s="272">
        <f aca="true" t="shared" si="2" ref="L24:S25">L16+L18+L20+L22</f>
        <v>223365</v>
      </c>
      <c r="M24" s="272">
        <f t="shared" si="2"/>
        <v>43353</v>
      </c>
      <c r="N24" s="272">
        <f t="shared" si="2"/>
        <v>0</v>
      </c>
      <c r="O24" s="272">
        <f t="shared" si="2"/>
        <v>0</v>
      </c>
      <c r="P24" s="272">
        <f t="shared" si="2"/>
        <v>0</v>
      </c>
      <c r="Q24" s="272">
        <f t="shared" si="2"/>
        <v>0</v>
      </c>
      <c r="R24" s="272">
        <f t="shared" si="2"/>
        <v>0</v>
      </c>
      <c r="S24" s="273">
        <f t="shared" si="2"/>
        <v>0</v>
      </c>
      <c r="T24" s="483"/>
      <c r="U24" s="264"/>
    </row>
    <row r="25" spans="1:21" ht="14.25" customHeight="1" thickBot="1">
      <c r="A25" s="522"/>
      <c r="B25" s="517"/>
      <c r="C25" s="517"/>
      <c r="D25" s="525"/>
      <c r="E25" s="519"/>
      <c r="F25" s="518"/>
      <c r="G25" s="472"/>
      <c r="H25" s="274" t="s">
        <v>125</v>
      </c>
      <c r="I25" s="282">
        <f>I17+I19+I21+I23</f>
        <v>0</v>
      </c>
      <c r="J25" s="276">
        <f>J17+J19+J21+J23</f>
        <v>0</v>
      </c>
      <c r="K25" s="277">
        <f t="shared" si="0"/>
        <v>0</v>
      </c>
      <c r="L25" s="276">
        <f t="shared" si="2"/>
        <v>0</v>
      </c>
      <c r="M25" s="276">
        <f t="shared" si="2"/>
        <v>0</v>
      </c>
      <c r="N25" s="276">
        <f t="shared" si="2"/>
        <v>0</v>
      </c>
      <c r="O25" s="276">
        <f t="shared" si="2"/>
        <v>0</v>
      </c>
      <c r="P25" s="276">
        <f t="shared" si="2"/>
        <v>0</v>
      </c>
      <c r="Q25" s="276">
        <f t="shared" si="2"/>
        <v>0</v>
      </c>
      <c r="R25" s="276">
        <f t="shared" si="2"/>
        <v>0</v>
      </c>
      <c r="S25" s="278">
        <f t="shared" si="2"/>
        <v>0</v>
      </c>
      <c r="T25" s="484"/>
      <c r="U25" s="264"/>
    </row>
    <row r="26" spans="1:21" ht="12.75" customHeight="1" thickBot="1">
      <c r="A26" s="520">
        <f>A16+1</f>
        <v>3</v>
      </c>
      <c r="B26" s="515">
        <v>600</v>
      </c>
      <c r="C26" s="515">
        <v>60015</v>
      </c>
      <c r="D26" s="544" t="s">
        <v>128</v>
      </c>
      <c r="E26" s="519" t="s">
        <v>127</v>
      </c>
      <c r="F26" s="513">
        <v>2008</v>
      </c>
      <c r="G26" s="259" t="s">
        <v>113</v>
      </c>
      <c r="H26" s="260" t="s">
        <v>114</v>
      </c>
      <c r="I26" s="261"/>
      <c r="J26" s="262"/>
      <c r="K26" s="262">
        <f t="shared" si="0"/>
        <v>0</v>
      </c>
      <c r="L26" s="262"/>
      <c r="M26" s="262"/>
      <c r="N26" s="262"/>
      <c r="O26" s="262"/>
      <c r="P26" s="262"/>
      <c r="Q26" s="262"/>
      <c r="R26" s="262"/>
      <c r="S26" s="263"/>
      <c r="T26" s="482">
        <f>M34+N34+O34+P34+Q34+R34+M35+N35+O35+P35+Q35+S34+S35+R35</f>
        <v>4377275</v>
      </c>
      <c r="U26" s="264"/>
    </row>
    <row r="27" spans="1:21" ht="13.5" thickBot="1">
      <c r="A27" s="521"/>
      <c r="B27" s="516"/>
      <c r="C27" s="516"/>
      <c r="D27" s="545"/>
      <c r="E27" s="519"/>
      <c r="F27" s="514"/>
      <c r="G27" s="502">
        <f>SUM(K34:S34)</f>
        <v>0</v>
      </c>
      <c r="H27" s="265" t="s">
        <v>115</v>
      </c>
      <c r="I27" s="266">
        <v>505798</v>
      </c>
      <c r="J27" s="267">
        <v>305530</v>
      </c>
      <c r="K27" s="268">
        <f t="shared" si="0"/>
        <v>811328</v>
      </c>
      <c r="L27" s="267">
        <f>4944470+351110</f>
        <v>5295580</v>
      </c>
      <c r="M27" s="267">
        <f>1267618+151881</f>
        <v>1419499</v>
      </c>
      <c r="N27" s="267"/>
      <c r="O27" s="267"/>
      <c r="P27" s="267"/>
      <c r="Q27" s="267"/>
      <c r="R27" s="267"/>
      <c r="S27" s="269"/>
      <c r="T27" s="483"/>
      <c r="U27" s="264"/>
    </row>
    <row r="28" spans="1:21" ht="13.5" thickBot="1">
      <c r="A28" s="521"/>
      <c r="B28" s="516"/>
      <c r="C28" s="516"/>
      <c r="D28" s="545"/>
      <c r="E28" s="519"/>
      <c r="F28" s="514"/>
      <c r="G28" s="503"/>
      <c r="H28" s="265" t="s">
        <v>116</v>
      </c>
      <c r="I28" s="266"/>
      <c r="J28" s="267"/>
      <c r="K28" s="268">
        <f t="shared" si="0"/>
        <v>0</v>
      </c>
      <c r="L28" s="267"/>
      <c r="M28" s="267"/>
      <c r="N28" s="267"/>
      <c r="O28" s="267"/>
      <c r="P28" s="267"/>
      <c r="Q28" s="267"/>
      <c r="R28" s="267"/>
      <c r="S28" s="269"/>
      <c r="T28" s="483"/>
      <c r="U28" s="264"/>
    </row>
    <row r="29" spans="1:21" ht="13.5" thickBot="1">
      <c r="A29" s="521"/>
      <c r="B29" s="516"/>
      <c r="C29" s="516"/>
      <c r="D29" s="545"/>
      <c r="E29" s="519"/>
      <c r="F29" s="514"/>
      <c r="G29" s="270" t="s">
        <v>117</v>
      </c>
      <c r="H29" s="265" t="s">
        <v>118</v>
      </c>
      <c r="I29" s="266"/>
      <c r="J29" s="267"/>
      <c r="K29" s="268">
        <f t="shared" si="0"/>
        <v>0</v>
      </c>
      <c r="L29" s="267"/>
      <c r="M29" s="267"/>
      <c r="N29" s="267"/>
      <c r="O29" s="267"/>
      <c r="P29" s="267"/>
      <c r="Q29" s="267"/>
      <c r="R29" s="267"/>
      <c r="S29" s="269"/>
      <c r="T29" s="483"/>
      <c r="U29" s="264"/>
    </row>
    <row r="30" spans="1:21" ht="13.5" thickBot="1">
      <c r="A30" s="521"/>
      <c r="B30" s="516"/>
      <c r="C30" s="516"/>
      <c r="D30" s="545"/>
      <c r="E30" s="519"/>
      <c r="F30" s="514"/>
      <c r="G30" s="502">
        <f>SUM(K35:S35)</f>
        <v>22734183</v>
      </c>
      <c r="H30" s="265" t="s">
        <v>119</v>
      </c>
      <c r="I30" s="266"/>
      <c r="J30" s="267"/>
      <c r="K30" s="268">
        <f t="shared" si="0"/>
        <v>0</v>
      </c>
      <c r="L30" s="267"/>
      <c r="M30" s="267"/>
      <c r="N30" s="267"/>
      <c r="O30" s="267"/>
      <c r="P30" s="267"/>
      <c r="Q30" s="267"/>
      <c r="R30" s="267"/>
      <c r="S30" s="269"/>
      <c r="T30" s="483"/>
      <c r="U30" s="264"/>
    </row>
    <row r="31" spans="1:21" ht="13.5" thickBot="1">
      <c r="A31" s="521"/>
      <c r="B31" s="516"/>
      <c r="C31" s="516"/>
      <c r="D31" s="545"/>
      <c r="E31" s="519"/>
      <c r="F31" s="514">
        <v>2013</v>
      </c>
      <c r="G31" s="503"/>
      <c r="H31" s="265" t="s">
        <v>120</v>
      </c>
      <c r="I31" s="266"/>
      <c r="J31" s="267">
        <v>712902</v>
      </c>
      <c r="K31" s="268">
        <f t="shared" si="0"/>
        <v>712902</v>
      </c>
      <c r="L31" s="267">
        <v>11537098</v>
      </c>
      <c r="M31" s="267">
        <v>2957776</v>
      </c>
      <c r="N31" s="267"/>
      <c r="O31" s="267"/>
      <c r="P31" s="267"/>
      <c r="Q31" s="267"/>
      <c r="R31" s="267"/>
      <c r="S31" s="269"/>
      <c r="T31" s="483"/>
      <c r="U31" s="264"/>
    </row>
    <row r="32" spans="1:21" ht="13.5" thickBot="1">
      <c r="A32" s="521"/>
      <c r="B32" s="516"/>
      <c r="C32" s="516"/>
      <c r="D32" s="545"/>
      <c r="E32" s="519"/>
      <c r="F32" s="514"/>
      <c r="G32" s="270" t="s">
        <v>121</v>
      </c>
      <c r="H32" s="265" t="s">
        <v>122</v>
      </c>
      <c r="I32" s="266"/>
      <c r="J32" s="267"/>
      <c r="K32" s="268">
        <f t="shared" si="0"/>
        <v>0</v>
      </c>
      <c r="L32" s="267"/>
      <c r="M32" s="267"/>
      <c r="N32" s="267"/>
      <c r="O32" s="267"/>
      <c r="P32" s="267"/>
      <c r="Q32" s="267"/>
      <c r="R32" s="267"/>
      <c r="S32" s="269"/>
      <c r="T32" s="483"/>
      <c r="U32" s="264"/>
    </row>
    <row r="33" spans="1:21" ht="13.5" thickBot="1">
      <c r="A33" s="521"/>
      <c r="B33" s="516"/>
      <c r="C33" s="516"/>
      <c r="D33" s="545"/>
      <c r="E33" s="519"/>
      <c r="F33" s="514"/>
      <c r="G33" s="502">
        <f>G27+G30</f>
        <v>22734183</v>
      </c>
      <c r="H33" s="265" t="s">
        <v>123</v>
      </c>
      <c r="I33" s="266"/>
      <c r="J33" s="267"/>
      <c r="K33" s="268">
        <f t="shared" si="0"/>
        <v>0</v>
      </c>
      <c r="L33" s="267"/>
      <c r="M33" s="267"/>
      <c r="N33" s="267"/>
      <c r="O33" s="267"/>
      <c r="P33" s="267"/>
      <c r="Q33" s="267"/>
      <c r="R33" s="267"/>
      <c r="S33" s="269"/>
      <c r="T33" s="483"/>
      <c r="U33" s="264"/>
    </row>
    <row r="34" spans="1:21" ht="13.5" thickBot="1">
      <c r="A34" s="521"/>
      <c r="B34" s="516"/>
      <c r="C34" s="516"/>
      <c r="D34" s="545"/>
      <c r="E34" s="519"/>
      <c r="F34" s="514"/>
      <c r="G34" s="504"/>
      <c r="H34" s="265" t="s">
        <v>124</v>
      </c>
      <c r="I34" s="271">
        <f>I26+I28+I30+I32</f>
        <v>0</v>
      </c>
      <c r="J34" s="272">
        <f>J26+J28+J30+J32</f>
        <v>0</v>
      </c>
      <c r="K34" s="268">
        <f t="shared" si="0"/>
        <v>0</v>
      </c>
      <c r="L34" s="272">
        <f aca="true" t="shared" si="3" ref="L34:S35">L26+L28+L30+L32</f>
        <v>0</v>
      </c>
      <c r="M34" s="272">
        <f t="shared" si="3"/>
        <v>0</v>
      </c>
      <c r="N34" s="272">
        <f t="shared" si="3"/>
        <v>0</v>
      </c>
      <c r="O34" s="272">
        <f t="shared" si="3"/>
        <v>0</v>
      </c>
      <c r="P34" s="272">
        <f t="shared" si="3"/>
        <v>0</v>
      </c>
      <c r="Q34" s="272">
        <f t="shared" si="3"/>
        <v>0</v>
      </c>
      <c r="R34" s="272">
        <f t="shared" si="3"/>
        <v>0</v>
      </c>
      <c r="S34" s="273">
        <f t="shared" si="3"/>
        <v>0</v>
      </c>
      <c r="T34" s="483"/>
      <c r="U34" s="264"/>
    </row>
    <row r="35" spans="1:21" ht="13.5" thickBot="1">
      <c r="A35" s="522"/>
      <c r="B35" s="517"/>
      <c r="C35" s="517"/>
      <c r="D35" s="546"/>
      <c r="E35" s="519"/>
      <c r="F35" s="518"/>
      <c r="G35" s="472"/>
      <c r="H35" s="274" t="s">
        <v>125</v>
      </c>
      <c r="I35" s="275">
        <f>I27+I29+I31+I33</f>
        <v>505798</v>
      </c>
      <c r="J35" s="276">
        <f>J27+J29+J31+J33</f>
        <v>1018432</v>
      </c>
      <c r="K35" s="277">
        <f t="shared" si="0"/>
        <v>1524230</v>
      </c>
      <c r="L35" s="276">
        <f t="shared" si="3"/>
        <v>16832678</v>
      </c>
      <c r="M35" s="276">
        <f t="shared" si="3"/>
        <v>4377275</v>
      </c>
      <c r="N35" s="276">
        <f t="shared" si="3"/>
        <v>0</v>
      </c>
      <c r="O35" s="276">
        <f t="shared" si="3"/>
        <v>0</v>
      </c>
      <c r="P35" s="276">
        <f t="shared" si="3"/>
        <v>0</v>
      </c>
      <c r="Q35" s="276">
        <f t="shared" si="3"/>
        <v>0</v>
      </c>
      <c r="R35" s="276">
        <f t="shared" si="3"/>
        <v>0</v>
      </c>
      <c r="S35" s="278">
        <f t="shared" si="3"/>
        <v>0</v>
      </c>
      <c r="T35" s="484"/>
      <c r="U35" s="264"/>
    </row>
    <row r="36" spans="1:21" ht="12.75" customHeight="1" thickBot="1">
      <c r="A36" s="520">
        <f>A26+1</f>
        <v>4</v>
      </c>
      <c r="B36" s="515">
        <v>600</v>
      </c>
      <c r="C36" s="515">
        <v>60015</v>
      </c>
      <c r="D36" s="544" t="s">
        <v>129</v>
      </c>
      <c r="E36" s="519" t="s">
        <v>127</v>
      </c>
      <c r="F36" s="513">
        <v>2009</v>
      </c>
      <c r="G36" s="259" t="s">
        <v>113</v>
      </c>
      <c r="H36" s="260" t="s">
        <v>114</v>
      </c>
      <c r="I36" s="261"/>
      <c r="J36" s="262"/>
      <c r="K36" s="262">
        <f t="shared" si="0"/>
        <v>0</v>
      </c>
      <c r="L36" s="262"/>
      <c r="M36" s="262"/>
      <c r="N36" s="262"/>
      <c r="O36" s="262"/>
      <c r="P36" s="262"/>
      <c r="Q36" s="262"/>
      <c r="R36" s="262"/>
      <c r="S36" s="263"/>
      <c r="T36" s="482">
        <f>M44+N44+O44+P44+Q44+R44+M45+N45+O45+P45+Q45+S44+S45+R45</f>
        <v>45843510</v>
      </c>
      <c r="U36" s="264"/>
    </row>
    <row r="37" spans="1:21" ht="13.5" thickBot="1">
      <c r="A37" s="521"/>
      <c r="B37" s="516"/>
      <c r="C37" s="516"/>
      <c r="D37" s="545"/>
      <c r="E37" s="519"/>
      <c r="F37" s="514"/>
      <c r="G37" s="502">
        <f>SUM(K44:S44)</f>
        <v>0</v>
      </c>
      <c r="H37" s="265" t="s">
        <v>115</v>
      </c>
      <c r="I37" s="266">
        <v>330813</v>
      </c>
      <c r="J37" s="267">
        <v>119698</v>
      </c>
      <c r="K37" s="268">
        <f t="shared" si="0"/>
        <v>450511</v>
      </c>
      <c r="L37" s="267">
        <f>4347297-830409</f>
        <v>3516888</v>
      </c>
      <c r="M37" s="267">
        <v>4241139</v>
      </c>
      <c r="N37" s="267">
        <v>2635388</v>
      </c>
      <c r="O37" s="267"/>
      <c r="P37" s="267"/>
      <c r="Q37" s="267"/>
      <c r="R37" s="267"/>
      <c r="S37" s="269"/>
      <c r="T37" s="483"/>
      <c r="U37" s="264"/>
    </row>
    <row r="38" spans="1:21" ht="13.5" thickBot="1">
      <c r="A38" s="521"/>
      <c r="B38" s="516"/>
      <c r="C38" s="516"/>
      <c r="D38" s="545"/>
      <c r="E38" s="519"/>
      <c r="F38" s="514"/>
      <c r="G38" s="503"/>
      <c r="H38" s="265" t="s">
        <v>116</v>
      </c>
      <c r="I38" s="266"/>
      <c r="J38" s="267"/>
      <c r="K38" s="268">
        <f aca="true" t="shared" si="4" ref="K38:K69">I38+J38</f>
        <v>0</v>
      </c>
      <c r="L38" s="267"/>
      <c r="M38" s="267"/>
      <c r="N38" s="267"/>
      <c r="O38" s="267"/>
      <c r="P38" s="267"/>
      <c r="Q38" s="267"/>
      <c r="R38" s="267"/>
      <c r="S38" s="269"/>
      <c r="T38" s="483"/>
      <c r="U38" s="264"/>
    </row>
    <row r="39" spans="1:21" ht="13.5" thickBot="1">
      <c r="A39" s="521"/>
      <c r="B39" s="516"/>
      <c r="C39" s="516"/>
      <c r="D39" s="545"/>
      <c r="E39" s="519"/>
      <c r="F39" s="514"/>
      <c r="G39" s="270" t="s">
        <v>117</v>
      </c>
      <c r="H39" s="265" t="s">
        <v>118</v>
      </c>
      <c r="I39" s="266"/>
      <c r="J39" s="267"/>
      <c r="K39" s="268">
        <f t="shared" si="4"/>
        <v>0</v>
      </c>
      <c r="L39" s="267"/>
      <c r="M39" s="267"/>
      <c r="N39" s="267"/>
      <c r="O39" s="267"/>
      <c r="P39" s="267"/>
      <c r="Q39" s="267"/>
      <c r="R39" s="267"/>
      <c r="S39" s="269"/>
      <c r="T39" s="483"/>
      <c r="U39" s="264"/>
    </row>
    <row r="40" spans="1:21" ht="13.5" thickBot="1">
      <c r="A40" s="521"/>
      <c r="B40" s="516"/>
      <c r="C40" s="516"/>
      <c r="D40" s="545"/>
      <c r="E40" s="519"/>
      <c r="F40" s="514"/>
      <c r="G40" s="502">
        <f>SUM(K45:S45)</f>
        <v>71450129</v>
      </c>
      <c r="H40" s="265" t="s">
        <v>119</v>
      </c>
      <c r="I40" s="266"/>
      <c r="J40" s="267"/>
      <c r="K40" s="268">
        <f t="shared" si="4"/>
        <v>0</v>
      </c>
      <c r="L40" s="267"/>
      <c r="M40" s="267"/>
      <c r="N40" s="267"/>
      <c r="O40" s="267"/>
      <c r="P40" s="267"/>
      <c r="Q40" s="267"/>
      <c r="R40" s="267"/>
      <c r="S40" s="269"/>
      <c r="T40" s="483"/>
      <c r="U40" s="264"/>
    </row>
    <row r="41" spans="1:21" ht="13.5" thickBot="1">
      <c r="A41" s="521"/>
      <c r="B41" s="516"/>
      <c r="C41" s="516"/>
      <c r="D41" s="545"/>
      <c r="E41" s="519"/>
      <c r="F41" s="514">
        <v>2014</v>
      </c>
      <c r="G41" s="503"/>
      <c r="H41" s="265" t="s">
        <v>120</v>
      </c>
      <c r="I41" s="266">
        <v>1031900</v>
      </c>
      <c r="J41" s="267">
        <v>678289</v>
      </c>
      <c r="K41" s="268">
        <f t="shared" si="4"/>
        <v>1710189</v>
      </c>
      <c r="L41" s="267">
        <v>19929031</v>
      </c>
      <c r="M41" s="267">
        <v>24033119</v>
      </c>
      <c r="N41" s="267">
        <v>14933864</v>
      </c>
      <c r="O41" s="267"/>
      <c r="P41" s="267"/>
      <c r="Q41" s="267"/>
      <c r="R41" s="267"/>
      <c r="S41" s="269"/>
      <c r="T41" s="483"/>
      <c r="U41" s="264"/>
    </row>
    <row r="42" spans="1:21" ht="13.5" thickBot="1">
      <c r="A42" s="521"/>
      <c r="B42" s="516"/>
      <c r="C42" s="516"/>
      <c r="D42" s="545"/>
      <c r="E42" s="519"/>
      <c r="F42" s="514"/>
      <c r="G42" s="270" t="s">
        <v>121</v>
      </c>
      <c r="H42" s="265" t="s">
        <v>122</v>
      </c>
      <c r="I42" s="266"/>
      <c r="J42" s="267"/>
      <c r="K42" s="268">
        <f t="shared" si="4"/>
        <v>0</v>
      </c>
      <c r="L42" s="267"/>
      <c r="M42" s="267"/>
      <c r="N42" s="267"/>
      <c r="O42" s="267"/>
      <c r="P42" s="267"/>
      <c r="Q42" s="267"/>
      <c r="R42" s="267"/>
      <c r="S42" s="269"/>
      <c r="T42" s="483"/>
      <c r="U42" s="264"/>
    </row>
    <row r="43" spans="1:21" ht="13.5" thickBot="1">
      <c r="A43" s="521"/>
      <c r="B43" s="516"/>
      <c r="C43" s="516"/>
      <c r="D43" s="545"/>
      <c r="E43" s="519"/>
      <c r="F43" s="514"/>
      <c r="G43" s="502">
        <f>G37+G40</f>
        <v>71450129</v>
      </c>
      <c r="H43" s="265" t="s">
        <v>123</v>
      </c>
      <c r="I43" s="266"/>
      <c r="J43" s="267"/>
      <c r="K43" s="268">
        <f t="shared" si="4"/>
        <v>0</v>
      </c>
      <c r="L43" s="267"/>
      <c r="M43" s="267"/>
      <c r="N43" s="267"/>
      <c r="O43" s="267"/>
      <c r="P43" s="267"/>
      <c r="Q43" s="267"/>
      <c r="R43" s="267"/>
      <c r="S43" s="269"/>
      <c r="T43" s="483"/>
      <c r="U43" s="264"/>
    </row>
    <row r="44" spans="1:21" ht="13.5" thickBot="1">
      <c r="A44" s="521"/>
      <c r="B44" s="516"/>
      <c r="C44" s="516"/>
      <c r="D44" s="545"/>
      <c r="E44" s="519"/>
      <c r="F44" s="514"/>
      <c r="G44" s="504"/>
      <c r="H44" s="265" t="s">
        <v>124</v>
      </c>
      <c r="I44" s="271">
        <f>I36+I38+I40+I42</f>
        <v>0</v>
      </c>
      <c r="J44" s="272">
        <f>J36+J38+J40+J42</f>
        <v>0</v>
      </c>
      <c r="K44" s="268">
        <f t="shared" si="4"/>
        <v>0</v>
      </c>
      <c r="L44" s="272">
        <f aca="true" t="shared" si="5" ref="L44:S45">L36+L38+L40+L42</f>
        <v>0</v>
      </c>
      <c r="M44" s="272">
        <f t="shared" si="5"/>
        <v>0</v>
      </c>
      <c r="N44" s="272">
        <f t="shared" si="5"/>
        <v>0</v>
      </c>
      <c r="O44" s="272">
        <f t="shared" si="5"/>
        <v>0</v>
      </c>
      <c r="P44" s="272">
        <f t="shared" si="5"/>
        <v>0</v>
      </c>
      <c r="Q44" s="272">
        <f t="shared" si="5"/>
        <v>0</v>
      </c>
      <c r="R44" s="272">
        <f t="shared" si="5"/>
        <v>0</v>
      </c>
      <c r="S44" s="273">
        <f t="shared" si="5"/>
        <v>0</v>
      </c>
      <c r="T44" s="483"/>
      <c r="U44" s="264"/>
    </row>
    <row r="45" spans="1:21" ht="13.5" thickBot="1">
      <c r="A45" s="522"/>
      <c r="B45" s="517"/>
      <c r="C45" s="517"/>
      <c r="D45" s="546"/>
      <c r="E45" s="519"/>
      <c r="F45" s="518"/>
      <c r="G45" s="472"/>
      <c r="H45" s="274" t="s">
        <v>125</v>
      </c>
      <c r="I45" s="275">
        <f>I37+I39+I41+I43</f>
        <v>1362713</v>
      </c>
      <c r="J45" s="276">
        <f>J37+J39+J41+J43</f>
        <v>797987</v>
      </c>
      <c r="K45" s="277">
        <f t="shared" si="4"/>
        <v>2160700</v>
      </c>
      <c r="L45" s="276">
        <f t="shared" si="5"/>
        <v>23445919</v>
      </c>
      <c r="M45" s="276">
        <f t="shared" si="5"/>
        <v>28274258</v>
      </c>
      <c r="N45" s="276">
        <f t="shared" si="5"/>
        <v>17569252</v>
      </c>
      <c r="O45" s="276">
        <f t="shared" si="5"/>
        <v>0</v>
      </c>
      <c r="P45" s="276">
        <f t="shared" si="5"/>
        <v>0</v>
      </c>
      <c r="Q45" s="276">
        <f t="shared" si="5"/>
        <v>0</v>
      </c>
      <c r="R45" s="276">
        <f t="shared" si="5"/>
        <v>0</v>
      </c>
      <c r="S45" s="278">
        <f t="shared" si="5"/>
        <v>0</v>
      </c>
      <c r="T45" s="484"/>
      <c r="U45" s="264"/>
    </row>
    <row r="46" spans="1:21" ht="12.75" customHeight="1">
      <c r="A46" s="520">
        <f>A36+1</f>
        <v>5</v>
      </c>
      <c r="B46" s="515">
        <v>600</v>
      </c>
      <c r="C46" s="515">
        <v>60095</v>
      </c>
      <c r="D46" s="547" t="s">
        <v>130</v>
      </c>
      <c r="E46" s="510" t="s">
        <v>131</v>
      </c>
      <c r="F46" s="513">
        <v>2009</v>
      </c>
      <c r="G46" s="259" t="s">
        <v>113</v>
      </c>
      <c r="H46" s="260" t="s">
        <v>114</v>
      </c>
      <c r="I46" s="279">
        <v>4315</v>
      </c>
      <c r="J46" s="283">
        <v>13839</v>
      </c>
      <c r="K46" s="262">
        <f t="shared" si="4"/>
        <v>18154</v>
      </c>
      <c r="L46" s="283">
        <v>60619</v>
      </c>
      <c r="M46" s="283"/>
      <c r="N46" s="283"/>
      <c r="O46" s="283"/>
      <c r="P46" s="283"/>
      <c r="Q46" s="283"/>
      <c r="R46" s="283"/>
      <c r="S46" s="284"/>
      <c r="T46" s="482">
        <f>M54+N54+O54+P54+Q54+R54+M55+N55+O55+P55+Q55+S54+S55+R55</f>
        <v>0</v>
      </c>
      <c r="U46" s="264"/>
    </row>
    <row r="47" spans="1:21" ht="12.75">
      <c r="A47" s="521"/>
      <c r="B47" s="516"/>
      <c r="C47" s="516"/>
      <c r="D47" s="548"/>
      <c r="E47" s="511"/>
      <c r="F47" s="514"/>
      <c r="G47" s="502">
        <f>SUM(K54:S54)</f>
        <v>524943</v>
      </c>
      <c r="H47" s="265" t="s">
        <v>115</v>
      </c>
      <c r="I47" s="280"/>
      <c r="J47" s="285"/>
      <c r="K47" s="268">
        <f t="shared" si="4"/>
        <v>0</v>
      </c>
      <c r="L47" s="285">
        <v>11250</v>
      </c>
      <c r="M47" s="285"/>
      <c r="N47" s="285"/>
      <c r="O47" s="285"/>
      <c r="P47" s="285"/>
      <c r="Q47" s="285"/>
      <c r="R47" s="285"/>
      <c r="S47" s="286"/>
      <c r="T47" s="483"/>
      <c r="U47" s="264"/>
    </row>
    <row r="48" spans="1:21" ht="12.75">
      <c r="A48" s="521"/>
      <c r="B48" s="516"/>
      <c r="C48" s="516"/>
      <c r="D48" s="548"/>
      <c r="E48" s="511"/>
      <c r="F48" s="514"/>
      <c r="G48" s="503"/>
      <c r="H48" s="265" t="s">
        <v>116</v>
      </c>
      <c r="I48" s="280"/>
      <c r="J48" s="285"/>
      <c r="K48" s="268">
        <f t="shared" si="4"/>
        <v>0</v>
      </c>
      <c r="L48" s="285"/>
      <c r="M48" s="285"/>
      <c r="N48" s="285"/>
      <c r="O48" s="285"/>
      <c r="P48" s="285"/>
      <c r="Q48" s="285"/>
      <c r="R48" s="285"/>
      <c r="S48" s="286"/>
      <c r="T48" s="483"/>
      <c r="U48" s="264"/>
    </row>
    <row r="49" spans="1:21" ht="12.75">
      <c r="A49" s="521"/>
      <c r="B49" s="516"/>
      <c r="C49" s="516"/>
      <c r="D49" s="548"/>
      <c r="E49" s="511"/>
      <c r="F49" s="514"/>
      <c r="G49" s="270" t="s">
        <v>117</v>
      </c>
      <c r="H49" s="265" t="s">
        <v>118</v>
      </c>
      <c r="I49" s="280"/>
      <c r="J49" s="285"/>
      <c r="K49" s="268">
        <f t="shared" si="4"/>
        <v>0</v>
      </c>
      <c r="L49" s="285"/>
      <c r="M49" s="285"/>
      <c r="N49" s="285"/>
      <c r="O49" s="285"/>
      <c r="P49" s="285"/>
      <c r="Q49" s="285"/>
      <c r="R49" s="285"/>
      <c r="S49" s="286"/>
      <c r="T49" s="483"/>
      <c r="U49" s="264"/>
    </row>
    <row r="50" spans="1:21" ht="12.75">
      <c r="A50" s="521"/>
      <c r="B50" s="516"/>
      <c r="C50" s="516"/>
      <c r="D50" s="548"/>
      <c r="E50" s="511"/>
      <c r="F50" s="514"/>
      <c r="G50" s="502">
        <f>SUM(K55:S55)</f>
        <v>75000</v>
      </c>
      <c r="H50" s="265" t="s">
        <v>119</v>
      </c>
      <c r="I50" s="280">
        <v>24432</v>
      </c>
      <c r="J50" s="285">
        <v>78417</v>
      </c>
      <c r="K50" s="268">
        <f t="shared" si="4"/>
        <v>102849</v>
      </c>
      <c r="L50" s="285">
        <v>343321</v>
      </c>
      <c r="M50" s="285"/>
      <c r="N50" s="285"/>
      <c r="O50" s="285"/>
      <c r="P50" s="285"/>
      <c r="Q50" s="285"/>
      <c r="R50" s="285"/>
      <c r="S50" s="286"/>
      <c r="T50" s="483"/>
      <c r="U50" s="264"/>
    </row>
    <row r="51" spans="1:22" ht="12.75">
      <c r="A51" s="521"/>
      <c r="B51" s="516"/>
      <c r="C51" s="516"/>
      <c r="D51" s="548"/>
      <c r="E51" s="511"/>
      <c r="F51" s="514">
        <v>2012</v>
      </c>
      <c r="G51" s="503"/>
      <c r="H51" s="265" t="s">
        <v>120</v>
      </c>
      <c r="I51" s="280"/>
      <c r="J51" s="285"/>
      <c r="K51" s="268">
        <f t="shared" si="4"/>
        <v>0</v>
      </c>
      <c r="L51" s="285">
        <v>63750</v>
      </c>
      <c r="M51" s="285"/>
      <c r="N51" s="285"/>
      <c r="O51" s="285"/>
      <c r="P51" s="285"/>
      <c r="Q51" s="285"/>
      <c r="R51" s="285"/>
      <c r="S51" s="286"/>
      <c r="T51" s="483"/>
      <c r="U51" s="264"/>
      <c r="V51" s="264"/>
    </row>
    <row r="52" spans="1:21" ht="12.75">
      <c r="A52" s="521"/>
      <c r="B52" s="516"/>
      <c r="C52" s="516"/>
      <c r="D52" s="548"/>
      <c r="E52" s="511"/>
      <c r="F52" s="514"/>
      <c r="G52" s="270" t="s">
        <v>121</v>
      </c>
      <c r="H52" s="265" t="s">
        <v>122</v>
      </c>
      <c r="I52" s="280"/>
      <c r="J52" s="285"/>
      <c r="K52" s="268">
        <f t="shared" si="4"/>
        <v>0</v>
      </c>
      <c r="L52" s="285"/>
      <c r="M52" s="285"/>
      <c r="N52" s="285"/>
      <c r="O52" s="285"/>
      <c r="P52" s="285"/>
      <c r="Q52" s="285"/>
      <c r="R52" s="285"/>
      <c r="S52" s="286"/>
      <c r="T52" s="483"/>
      <c r="U52" s="264"/>
    </row>
    <row r="53" spans="1:21" ht="12.75">
      <c r="A53" s="521"/>
      <c r="B53" s="516"/>
      <c r="C53" s="516"/>
      <c r="D53" s="548"/>
      <c r="E53" s="511"/>
      <c r="F53" s="514"/>
      <c r="G53" s="502">
        <f>G47+G50</f>
        <v>599943</v>
      </c>
      <c r="H53" s="265" t="s">
        <v>123</v>
      </c>
      <c r="I53" s="280"/>
      <c r="J53" s="285"/>
      <c r="K53" s="268">
        <f t="shared" si="4"/>
        <v>0</v>
      </c>
      <c r="L53" s="285"/>
      <c r="M53" s="285"/>
      <c r="N53" s="285"/>
      <c r="O53" s="285"/>
      <c r="P53" s="285"/>
      <c r="Q53" s="285"/>
      <c r="R53" s="285"/>
      <c r="S53" s="286"/>
      <c r="T53" s="483"/>
      <c r="U53" s="264"/>
    </row>
    <row r="54" spans="1:21" ht="12.75">
      <c r="A54" s="521"/>
      <c r="B54" s="516"/>
      <c r="C54" s="516"/>
      <c r="D54" s="548"/>
      <c r="E54" s="511"/>
      <c r="F54" s="514"/>
      <c r="G54" s="504"/>
      <c r="H54" s="265" t="s">
        <v>124</v>
      </c>
      <c r="I54" s="281">
        <f>I46+I48+I50+I52</f>
        <v>28747</v>
      </c>
      <c r="J54" s="287">
        <f>J46+J48+J50+J52</f>
        <v>92256</v>
      </c>
      <c r="K54" s="268">
        <f t="shared" si="4"/>
        <v>121003</v>
      </c>
      <c r="L54" s="287">
        <f aca="true" t="shared" si="6" ref="L54:S55">L46+L48+L50+L52</f>
        <v>403940</v>
      </c>
      <c r="M54" s="287">
        <f t="shared" si="6"/>
        <v>0</v>
      </c>
      <c r="N54" s="287">
        <f t="shared" si="6"/>
        <v>0</v>
      </c>
      <c r="O54" s="287">
        <f t="shared" si="6"/>
        <v>0</v>
      </c>
      <c r="P54" s="287">
        <f t="shared" si="6"/>
        <v>0</v>
      </c>
      <c r="Q54" s="287">
        <f t="shared" si="6"/>
        <v>0</v>
      </c>
      <c r="R54" s="287">
        <f t="shared" si="6"/>
        <v>0</v>
      </c>
      <c r="S54" s="288">
        <f t="shared" si="6"/>
        <v>0</v>
      </c>
      <c r="T54" s="483"/>
      <c r="U54" s="264"/>
    </row>
    <row r="55" spans="1:21" ht="13.5" thickBot="1">
      <c r="A55" s="522"/>
      <c r="B55" s="517"/>
      <c r="C55" s="517"/>
      <c r="D55" s="549"/>
      <c r="E55" s="512"/>
      <c r="F55" s="518"/>
      <c r="G55" s="472"/>
      <c r="H55" s="274" t="s">
        <v>125</v>
      </c>
      <c r="I55" s="282">
        <f>I47+I49+I51+I53</f>
        <v>0</v>
      </c>
      <c r="J55" s="289">
        <f>J47+J49+J51+J53</f>
        <v>0</v>
      </c>
      <c r="K55" s="277">
        <f t="shared" si="4"/>
        <v>0</v>
      </c>
      <c r="L55" s="289">
        <f t="shared" si="6"/>
        <v>75000</v>
      </c>
      <c r="M55" s="289">
        <f t="shared" si="6"/>
        <v>0</v>
      </c>
      <c r="N55" s="289">
        <f t="shared" si="6"/>
        <v>0</v>
      </c>
      <c r="O55" s="289">
        <f t="shared" si="6"/>
        <v>0</v>
      </c>
      <c r="P55" s="289">
        <f t="shared" si="6"/>
        <v>0</v>
      </c>
      <c r="Q55" s="289">
        <f t="shared" si="6"/>
        <v>0</v>
      </c>
      <c r="R55" s="289">
        <f t="shared" si="6"/>
        <v>0</v>
      </c>
      <c r="S55" s="290">
        <f t="shared" si="6"/>
        <v>0</v>
      </c>
      <c r="T55" s="484"/>
      <c r="U55" s="264"/>
    </row>
    <row r="56" spans="1:21" ht="12.75">
      <c r="A56" s="520">
        <f>A46+1</f>
        <v>6</v>
      </c>
      <c r="B56" s="515">
        <v>600</v>
      </c>
      <c r="C56" s="515">
        <v>60095</v>
      </c>
      <c r="D56" s="559" t="s">
        <v>132</v>
      </c>
      <c r="E56" s="510" t="s">
        <v>131</v>
      </c>
      <c r="F56" s="513">
        <v>2008</v>
      </c>
      <c r="G56" s="259" t="s">
        <v>113</v>
      </c>
      <c r="H56" s="260" t="s">
        <v>114</v>
      </c>
      <c r="I56" s="261">
        <v>30000</v>
      </c>
      <c r="J56" s="262">
        <v>3000</v>
      </c>
      <c r="K56" s="262">
        <f t="shared" si="4"/>
        <v>33000</v>
      </c>
      <c r="L56" s="262">
        <v>36000</v>
      </c>
      <c r="M56" s="262"/>
      <c r="N56" s="262"/>
      <c r="O56" s="262"/>
      <c r="P56" s="262"/>
      <c r="Q56" s="262"/>
      <c r="R56" s="262"/>
      <c r="S56" s="263"/>
      <c r="T56" s="482">
        <f>M64+N64+O64+P64+Q64+R64+M65+N65+O65+P65+Q65+S64+S65+R65</f>
        <v>0</v>
      </c>
      <c r="U56" s="264"/>
    </row>
    <row r="57" spans="1:21" ht="12.75">
      <c r="A57" s="521"/>
      <c r="B57" s="516"/>
      <c r="C57" s="516"/>
      <c r="D57" s="560"/>
      <c r="E57" s="511"/>
      <c r="F57" s="514"/>
      <c r="G57" s="502">
        <f>SUM(K64:S64)</f>
        <v>460000</v>
      </c>
      <c r="H57" s="265" t="s">
        <v>115</v>
      </c>
      <c r="I57" s="266"/>
      <c r="J57" s="267"/>
      <c r="K57" s="268">
        <f t="shared" si="4"/>
        <v>0</v>
      </c>
      <c r="L57" s="267"/>
      <c r="M57" s="267"/>
      <c r="N57" s="267"/>
      <c r="O57" s="267"/>
      <c r="P57" s="267"/>
      <c r="Q57" s="267"/>
      <c r="R57" s="267"/>
      <c r="S57" s="269"/>
      <c r="T57" s="483"/>
      <c r="U57" s="264"/>
    </row>
    <row r="58" spans="1:21" ht="12.75">
      <c r="A58" s="521"/>
      <c r="B58" s="516"/>
      <c r="C58" s="516"/>
      <c r="D58" s="560"/>
      <c r="E58" s="511"/>
      <c r="F58" s="514"/>
      <c r="G58" s="503"/>
      <c r="H58" s="265" t="s">
        <v>116</v>
      </c>
      <c r="I58" s="266"/>
      <c r="J58" s="267"/>
      <c r="K58" s="268">
        <f t="shared" si="4"/>
        <v>0</v>
      </c>
      <c r="L58" s="267"/>
      <c r="M58" s="267"/>
      <c r="N58" s="267"/>
      <c r="O58" s="267"/>
      <c r="P58" s="267"/>
      <c r="Q58" s="267"/>
      <c r="R58" s="267"/>
      <c r="S58" s="269"/>
      <c r="T58" s="483"/>
      <c r="U58" s="264"/>
    </row>
    <row r="59" spans="1:21" ht="12.75">
      <c r="A59" s="521"/>
      <c r="B59" s="516"/>
      <c r="C59" s="516"/>
      <c r="D59" s="560"/>
      <c r="E59" s="511"/>
      <c r="F59" s="514"/>
      <c r="G59" s="270" t="s">
        <v>117</v>
      </c>
      <c r="H59" s="265" t="s">
        <v>118</v>
      </c>
      <c r="I59" s="266"/>
      <c r="J59" s="267"/>
      <c r="K59" s="268">
        <f t="shared" si="4"/>
        <v>0</v>
      </c>
      <c r="L59" s="267"/>
      <c r="M59" s="267"/>
      <c r="N59" s="267"/>
      <c r="O59" s="267"/>
      <c r="P59" s="267"/>
      <c r="Q59" s="267"/>
      <c r="R59" s="267"/>
      <c r="S59" s="269"/>
      <c r="T59" s="483"/>
      <c r="U59" s="264"/>
    </row>
    <row r="60" spans="1:21" ht="12.75">
      <c r="A60" s="521"/>
      <c r="B60" s="516"/>
      <c r="C60" s="516"/>
      <c r="D60" s="560"/>
      <c r="E60" s="511"/>
      <c r="F60" s="514"/>
      <c r="G60" s="502">
        <f>SUM(K65:S65)</f>
        <v>0</v>
      </c>
      <c r="H60" s="265" t="s">
        <v>119</v>
      </c>
      <c r="I60" s="266">
        <v>170000</v>
      </c>
      <c r="J60" s="267">
        <v>17000</v>
      </c>
      <c r="K60" s="268">
        <f t="shared" si="4"/>
        <v>187000</v>
      </c>
      <c r="L60" s="267">
        <v>204000</v>
      </c>
      <c r="M60" s="267"/>
      <c r="N60" s="267"/>
      <c r="O60" s="267"/>
      <c r="P60" s="267"/>
      <c r="Q60" s="267"/>
      <c r="R60" s="267"/>
      <c r="S60" s="269"/>
      <c r="T60" s="483"/>
      <c r="U60" s="264"/>
    </row>
    <row r="61" spans="1:21" ht="12.75">
      <c r="A61" s="521"/>
      <c r="B61" s="516"/>
      <c r="C61" s="516"/>
      <c r="D61" s="560"/>
      <c r="E61" s="511"/>
      <c r="F61" s="514">
        <v>2012</v>
      </c>
      <c r="G61" s="503"/>
      <c r="H61" s="265" t="s">
        <v>120</v>
      </c>
      <c r="I61" s="266"/>
      <c r="J61" s="267"/>
      <c r="K61" s="268">
        <f t="shared" si="4"/>
        <v>0</v>
      </c>
      <c r="L61" s="267"/>
      <c r="M61" s="267"/>
      <c r="N61" s="267"/>
      <c r="O61" s="267"/>
      <c r="P61" s="267"/>
      <c r="Q61" s="267"/>
      <c r="R61" s="267"/>
      <c r="S61" s="269"/>
      <c r="T61" s="483"/>
      <c r="U61" s="264"/>
    </row>
    <row r="62" spans="1:21" ht="12.75">
      <c r="A62" s="521"/>
      <c r="B62" s="516"/>
      <c r="C62" s="516"/>
      <c r="D62" s="560"/>
      <c r="E62" s="511"/>
      <c r="F62" s="514"/>
      <c r="G62" s="270" t="s">
        <v>121</v>
      </c>
      <c r="H62" s="265" t="s">
        <v>122</v>
      </c>
      <c r="I62" s="266"/>
      <c r="J62" s="267"/>
      <c r="K62" s="268">
        <f t="shared" si="4"/>
        <v>0</v>
      </c>
      <c r="L62" s="267"/>
      <c r="M62" s="267"/>
      <c r="N62" s="267"/>
      <c r="O62" s="267"/>
      <c r="P62" s="267"/>
      <c r="Q62" s="267"/>
      <c r="R62" s="267"/>
      <c r="S62" s="269"/>
      <c r="T62" s="483"/>
      <c r="U62" s="264"/>
    </row>
    <row r="63" spans="1:21" ht="12.75">
      <c r="A63" s="521"/>
      <c r="B63" s="516"/>
      <c r="C63" s="516"/>
      <c r="D63" s="560"/>
      <c r="E63" s="511"/>
      <c r="F63" s="514"/>
      <c r="G63" s="502">
        <f>G57+G60</f>
        <v>460000</v>
      </c>
      <c r="H63" s="265" t="s">
        <v>123</v>
      </c>
      <c r="I63" s="266"/>
      <c r="J63" s="267"/>
      <c r="K63" s="268">
        <f t="shared" si="4"/>
        <v>0</v>
      </c>
      <c r="L63" s="267"/>
      <c r="M63" s="267"/>
      <c r="N63" s="267"/>
      <c r="O63" s="267"/>
      <c r="P63" s="267"/>
      <c r="Q63" s="267"/>
      <c r="R63" s="267"/>
      <c r="S63" s="269"/>
      <c r="T63" s="483"/>
      <c r="U63" s="264"/>
    </row>
    <row r="64" spans="1:21" ht="12.75">
      <c r="A64" s="521"/>
      <c r="B64" s="516"/>
      <c r="C64" s="516"/>
      <c r="D64" s="560"/>
      <c r="E64" s="511"/>
      <c r="F64" s="514"/>
      <c r="G64" s="504"/>
      <c r="H64" s="265" t="s">
        <v>124</v>
      </c>
      <c r="I64" s="271">
        <f>I56+I58+I60+I62</f>
        <v>200000</v>
      </c>
      <c r="J64" s="272">
        <f>J56+J58+J60+J62</f>
        <v>20000</v>
      </c>
      <c r="K64" s="268">
        <f t="shared" si="4"/>
        <v>220000</v>
      </c>
      <c r="L64" s="272">
        <f aca="true" t="shared" si="7" ref="L64:S65">L56+L58+L60+L62</f>
        <v>240000</v>
      </c>
      <c r="M64" s="272">
        <f t="shared" si="7"/>
        <v>0</v>
      </c>
      <c r="N64" s="272">
        <f t="shared" si="7"/>
        <v>0</v>
      </c>
      <c r="O64" s="272">
        <f t="shared" si="7"/>
        <v>0</v>
      </c>
      <c r="P64" s="272">
        <f t="shared" si="7"/>
        <v>0</v>
      </c>
      <c r="Q64" s="272">
        <f t="shared" si="7"/>
        <v>0</v>
      </c>
      <c r="R64" s="272">
        <f t="shared" si="7"/>
        <v>0</v>
      </c>
      <c r="S64" s="273">
        <f t="shared" si="7"/>
        <v>0</v>
      </c>
      <c r="T64" s="483"/>
      <c r="U64" s="264"/>
    </row>
    <row r="65" spans="1:21" ht="13.5" thickBot="1">
      <c r="A65" s="522"/>
      <c r="B65" s="517"/>
      <c r="C65" s="517"/>
      <c r="D65" s="561"/>
      <c r="E65" s="512"/>
      <c r="F65" s="518"/>
      <c r="G65" s="472"/>
      <c r="H65" s="274" t="s">
        <v>125</v>
      </c>
      <c r="I65" s="275">
        <f>I57+I59+I61+I63</f>
        <v>0</v>
      </c>
      <c r="J65" s="276">
        <f>J57+J59+J61+J63</f>
        <v>0</v>
      </c>
      <c r="K65" s="277">
        <f t="shared" si="4"/>
        <v>0</v>
      </c>
      <c r="L65" s="276">
        <f t="shared" si="7"/>
        <v>0</v>
      </c>
      <c r="M65" s="276">
        <f t="shared" si="7"/>
        <v>0</v>
      </c>
      <c r="N65" s="276">
        <f t="shared" si="7"/>
        <v>0</v>
      </c>
      <c r="O65" s="276">
        <f t="shared" si="7"/>
        <v>0</v>
      </c>
      <c r="P65" s="276">
        <f t="shared" si="7"/>
        <v>0</v>
      </c>
      <c r="Q65" s="276">
        <f t="shared" si="7"/>
        <v>0</v>
      </c>
      <c r="R65" s="276">
        <f t="shared" si="7"/>
        <v>0</v>
      </c>
      <c r="S65" s="278">
        <f t="shared" si="7"/>
        <v>0</v>
      </c>
      <c r="T65" s="484"/>
      <c r="U65" s="264"/>
    </row>
    <row r="66" spans="1:21" ht="12.75" customHeight="1">
      <c r="A66" s="520">
        <f>A56+1</f>
        <v>7</v>
      </c>
      <c r="B66" s="515">
        <v>600</v>
      </c>
      <c r="C66" s="515">
        <v>60095</v>
      </c>
      <c r="D66" s="559" t="s">
        <v>133</v>
      </c>
      <c r="E66" s="510" t="s">
        <v>131</v>
      </c>
      <c r="F66" s="513">
        <v>2011</v>
      </c>
      <c r="G66" s="259" t="s">
        <v>113</v>
      </c>
      <c r="H66" s="260" t="s">
        <v>114</v>
      </c>
      <c r="I66" s="261"/>
      <c r="J66" s="262"/>
      <c r="K66" s="262">
        <f t="shared" si="4"/>
        <v>0</v>
      </c>
      <c r="L66" s="262">
        <v>41100</v>
      </c>
      <c r="M66" s="262">
        <v>48450</v>
      </c>
      <c r="N66" s="262">
        <v>48450</v>
      </c>
      <c r="O66" s="262"/>
      <c r="P66" s="262"/>
      <c r="Q66" s="262"/>
      <c r="R66" s="262"/>
      <c r="S66" s="263"/>
      <c r="T66" s="482">
        <f>M74+N74+O74+P74+Q74+R74+M75+N75+O75+P75+Q75+S74+S75+R75</f>
        <v>646000</v>
      </c>
      <c r="U66" s="264"/>
    </row>
    <row r="67" spans="1:21" ht="12.75">
      <c r="A67" s="521"/>
      <c r="B67" s="516"/>
      <c r="C67" s="516"/>
      <c r="D67" s="560"/>
      <c r="E67" s="511"/>
      <c r="F67" s="514"/>
      <c r="G67" s="502">
        <f>SUM(K74:S74)</f>
        <v>920000</v>
      </c>
      <c r="H67" s="265" t="s">
        <v>115</v>
      </c>
      <c r="I67" s="266"/>
      <c r="J67" s="267"/>
      <c r="K67" s="268">
        <f t="shared" si="4"/>
        <v>0</v>
      </c>
      <c r="L67" s="267"/>
      <c r="M67" s="267"/>
      <c r="N67" s="267"/>
      <c r="O67" s="267"/>
      <c r="P67" s="267"/>
      <c r="Q67" s="267"/>
      <c r="R67" s="267"/>
      <c r="S67" s="269"/>
      <c r="T67" s="483"/>
      <c r="U67" s="264"/>
    </row>
    <row r="68" spans="1:21" ht="12.75">
      <c r="A68" s="521"/>
      <c r="B68" s="516"/>
      <c r="C68" s="516"/>
      <c r="D68" s="560"/>
      <c r="E68" s="511"/>
      <c r="F68" s="514"/>
      <c r="G68" s="503"/>
      <c r="H68" s="265" t="s">
        <v>116</v>
      </c>
      <c r="I68" s="266"/>
      <c r="J68" s="267"/>
      <c r="K68" s="268">
        <f t="shared" si="4"/>
        <v>0</v>
      </c>
      <c r="L68" s="267"/>
      <c r="M68" s="267"/>
      <c r="N68" s="267"/>
      <c r="O68" s="267"/>
      <c r="P68" s="267"/>
      <c r="Q68" s="267"/>
      <c r="R68" s="267"/>
      <c r="S68" s="269"/>
      <c r="T68" s="483"/>
      <c r="U68" s="264"/>
    </row>
    <row r="69" spans="1:21" ht="12.75">
      <c r="A69" s="521"/>
      <c r="B69" s="516"/>
      <c r="C69" s="516"/>
      <c r="D69" s="560"/>
      <c r="E69" s="511"/>
      <c r="F69" s="514"/>
      <c r="G69" s="270" t="s">
        <v>117</v>
      </c>
      <c r="H69" s="265" t="s">
        <v>118</v>
      </c>
      <c r="I69" s="266"/>
      <c r="J69" s="267"/>
      <c r="K69" s="268">
        <f t="shared" si="4"/>
        <v>0</v>
      </c>
      <c r="L69" s="267"/>
      <c r="M69" s="267"/>
      <c r="N69" s="267"/>
      <c r="O69" s="267"/>
      <c r="P69" s="267"/>
      <c r="Q69" s="267"/>
      <c r="R69" s="267"/>
      <c r="S69" s="269"/>
      <c r="T69" s="483"/>
      <c r="U69" s="264"/>
    </row>
    <row r="70" spans="1:21" ht="12.75">
      <c r="A70" s="521"/>
      <c r="B70" s="516"/>
      <c r="C70" s="516"/>
      <c r="D70" s="560"/>
      <c r="E70" s="511"/>
      <c r="F70" s="514"/>
      <c r="G70" s="502">
        <f>SUM(K75:S75)</f>
        <v>0</v>
      </c>
      <c r="H70" s="265" t="s">
        <v>119</v>
      </c>
      <c r="I70" s="266"/>
      <c r="J70" s="267"/>
      <c r="K70" s="268">
        <f aca="true" t="shared" si="8" ref="K70:K95">I70+J70</f>
        <v>0</v>
      </c>
      <c r="L70" s="267">
        <v>232900</v>
      </c>
      <c r="M70" s="267">
        <v>274550</v>
      </c>
      <c r="N70" s="267">
        <v>274550</v>
      </c>
      <c r="O70" s="267"/>
      <c r="P70" s="267"/>
      <c r="Q70" s="267"/>
      <c r="R70" s="267"/>
      <c r="S70" s="269"/>
      <c r="T70" s="483"/>
      <c r="U70" s="264"/>
    </row>
    <row r="71" spans="1:21" ht="12.75">
      <c r="A71" s="521"/>
      <c r="B71" s="516"/>
      <c r="C71" s="516"/>
      <c r="D71" s="560"/>
      <c r="E71" s="511"/>
      <c r="F71" s="514">
        <v>2014</v>
      </c>
      <c r="G71" s="503"/>
      <c r="H71" s="265" t="s">
        <v>120</v>
      </c>
      <c r="I71" s="266"/>
      <c r="J71" s="267"/>
      <c r="K71" s="268">
        <f t="shared" si="8"/>
        <v>0</v>
      </c>
      <c r="L71" s="267"/>
      <c r="M71" s="267"/>
      <c r="N71" s="267"/>
      <c r="O71" s="267"/>
      <c r="P71" s="267"/>
      <c r="Q71" s="267"/>
      <c r="R71" s="267"/>
      <c r="S71" s="269"/>
      <c r="T71" s="483"/>
      <c r="U71" s="264"/>
    </row>
    <row r="72" spans="1:21" ht="12.75">
      <c r="A72" s="521"/>
      <c r="B72" s="516"/>
      <c r="C72" s="516"/>
      <c r="D72" s="560"/>
      <c r="E72" s="511"/>
      <c r="F72" s="514"/>
      <c r="G72" s="270" t="s">
        <v>121</v>
      </c>
      <c r="H72" s="265" t="s">
        <v>122</v>
      </c>
      <c r="I72" s="266"/>
      <c r="J72" s="267"/>
      <c r="K72" s="268">
        <f t="shared" si="8"/>
        <v>0</v>
      </c>
      <c r="L72" s="267"/>
      <c r="M72" s="267"/>
      <c r="N72" s="267"/>
      <c r="O72" s="267"/>
      <c r="P72" s="267"/>
      <c r="Q72" s="267"/>
      <c r="R72" s="267"/>
      <c r="S72" s="269"/>
      <c r="T72" s="483"/>
      <c r="U72" s="264"/>
    </row>
    <row r="73" spans="1:21" ht="12.75">
      <c r="A73" s="521"/>
      <c r="B73" s="516"/>
      <c r="C73" s="516"/>
      <c r="D73" s="560"/>
      <c r="E73" s="511"/>
      <c r="F73" s="514"/>
      <c r="G73" s="502">
        <f>G67+G70</f>
        <v>920000</v>
      </c>
      <c r="H73" s="265" t="s">
        <v>123</v>
      </c>
      <c r="I73" s="266"/>
      <c r="J73" s="267"/>
      <c r="K73" s="268">
        <f t="shared" si="8"/>
        <v>0</v>
      </c>
      <c r="L73" s="267"/>
      <c r="M73" s="267"/>
      <c r="N73" s="267"/>
      <c r="O73" s="267"/>
      <c r="P73" s="267"/>
      <c r="Q73" s="267"/>
      <c r="R73" s="267"/>
      <c r="S73" s="269"/>
      <c r="T73" s="483"/>
      <c r="U73" s="264"/>
    </row>
    <row r="74" spans="1:21" ht="12.75">
      <c r="A74" s="521"/>
      <c r="B74" s="516"/>
      <c r="C74" s="516"/>
      <c r="D74" s="560"/>
      <c r="E74" s="511"/>
      <c r="F74" s="514"/>
      <c r="G74" s="504"/>
      <c r="H74" s="265" t="s">
        <v>124</v>
      </c>
      <c r="I74" s="271">
        <f>I66+I68+I70+I72</f>
        <v>0</v>
      </c>
      <c r="J74" s="272">
        <f>J66+J68+J70+J72</f>
        <v>0</v>
      </c>
      <c r="K74" s="268">
        <f t="shared" si="8"/>
        <v>0</v>
      </c>
      <c r="L74" s="272">
        <f aca="true" t="shared" si="9" ref="L74:S75">L66+L68+L70+L72</f>
        <v>274000</v>
      </c>
      <c r="M74" s="272">
        <f t="shared" si="9"/>
        <v>323000</v>
      </c>
      <c r="N74" s="272">
        <f t="shared" si="9"/>
        <v>323000</v>
      </c>
      <c r="O74" s="272">
        <f t="shared" si="9"/>
        <v>0</v>
      </c>
      <c r="P74" s="272">
        <f t="shared" si="9"/>
        <v>0</v>
      </c>
      <c r="Q74" s="272">
        <f t="shared" si="9"/>
        <v>0</v>
      </c>
      <c r="R74" s="272">
        <f t="shared" si="9"/>
        <v>0</v>
      </c>
      <c r="S74" s="273">
        <f t="shared" si="9"/>
        <v>0</v>
      </c>
      <c r="T74" s="483"/>
      <c r="U74" s="264"/>
    </row>
    <row r="75" spans="1:21" ht="13.5" thickBot="1">
      <c r="A75" s="522"/>
      <c r="B75" s="517"/>
      <c r="C75" s="517"/>
      <c r="D75" s="561"/>
      <c r="E75" s="512"/>
      <c r="F75" s="518"/>
      <c r="G75" s="472"/>
      <c r="H75" s="274" t="s">
        <v>125</v>
      </c>
      <c r="I75" s="275">
        <f>I67+I69+I71+I73</f>
        <v>0</v>
      </c>
      <c r="J75" s="276">
        <f>J67+J69+J71+J73</f>
        <v>0</v>
      </c>
      <c r="K75" s="277">
        <f t="shared" si="8"/>
        <v>0</v>
      </c>
      <c r="L75" s="276">
        <f t="shared" si="9"/>
        <v>0</v>
      </c>
      <c r="M75" s="276">
        <f t="shared" si="9"/>
        <v>0</v>
      </c>
      <c r="N75" s="276">
        <f t="shared" si="9"/>
        <v>0</v>
      </c>
      <c r="O75" s="276">
        <f t="shared" si="9"/>
        <v>0</v>
      </c>
      <c r="P75" s="276">
        <f t="shared" si="9"/>
        <v>0</v>
      </c>
      <c r="Q75" s="276">
        <f t="shared" si="9"/>
        <v>0</v>
      </c>
      <c r="R75" s="276">
        <f t="shared" si="9"/>
        <v>0</v>
      </c>
      <c r="S75" s="278">
        <f t="shared" si="9"/>
        <v>0</v>
      </c>
      <c r="T75" s="484"/>
      <c r="U75" s="264"/>
    </row>
    <row r="76" spans="1:21" ht="12.75">
      <c r="A76" s="520">
        <f>A66+1</f>
        <v>8</v>
      </c>
      <c r="B76" s="515">
        <v>600</v>
      </c>
      <c r="C76" s="515">
        <v>60095</v>
      </c>
      <c r="D76" s="559" t="s">
        <v>134</v>
      </c>
      <c r="E76" s="510" t="s">
        <v>135</v>
      </c>
      <c r="F76" s="513">
        <v>2010</v>
      </c>
      <c r="G76" s="259" t="s">
        <v>113</v>
      </c>
      <c r="H76" s="260" t="s">
        <v>114</v>
      </c>
      <c r="I76" s="261">
        <f>32312-25474</f>
        <v>6838</v>
      </c>
      <c r="J76" s="262">
        <f>41686+25474-29788</f>
        <v>37372</v>
      </c>
      <c r="K76" s="262">
        <f t="shared" si="8"/>
        <v>44210</v>
      </c>
      <c r="L76" s="262">
        <f>86816+29788</f>
        <v>116604</v>
      </c>
      <c r="M76" s="262">
        <v>22066</v>
      </c>
      <c r="N76" s="262"/>
      <c r="O76" s="262"/>
      <c r="P76" s="262"/>
      <c r="Q76" s="262"/>
      <c r="R76" s="262"/>
      <c r="S76" s="263"/>
      <c r="T76" s="482">
        <f>M84+N84+O84+P84+Q84+R84+M85+N85+O85+P85+Q85+S84+S85+R85</f>
        <v>77890</v>
      </c>
      <c r="U76" s="264"/>
    </row>
    <row r="77" spans="1:21" ht="12.75">
      <c r="A77" s="521"/>
      <c r="B77" s="516"/>
      <c r="C77" s="516"/>
      <c r="D77" s="560"/>
      <c r="E77" s="511"/>
      <c r="F77" s="514"/>
      <c r="G77" s="502">
        <f>SUM(K84:S84)</f>
        <v>645536</v>
      </c>
      <c r="H77" s="265" t="s">
        <v>115</v>
      </c>
      <c r="I77" s="266"/>
      <c r="J77" s="267"/>
      <c r="K77" s="268">
        <f t="shared" si="8"/>
        <v>0</v>
      </c>
      <c r="L77" s="267"/>
      <c r="M77" s="267"/>
      <c r="N77" s="267"/>
      <c r="O77" s="267"/>
      <c r="P77" s="267"/>
      <c r="Q77" s="267"/>
      <c r="R77" s="267"/>
      <c r="S77" s="269"/>
      <c r="T77" s="483"/>
      <c r="U77" s="264"/>
    </row>
    <row r="78" spans="1:21" ht="12.75">
      <c r="A78" s="521"/>
      <c r="B78" s="516"/>
      <c r="C78" s="516"/>
      <c r="D78" s="560"/>
      <c r="E78" s="511"/>
      <c r="F78" s="514"/>
      <c r="G78" s="503"/>
      <c r="H78" s="265" t="s">
        <v>116</v>
      </c>
      <c r="I78" s="266"/>
      <c r="J78" s="267"/>
      <c r="K78" s="268">
        <f t="shared" si="8"/>
        <v>0</v>
      </c>
      <c r="L78" s="267"/>
      <c r="M78" s="267"/>
      <c r="N78" s="267"/>
      <c r="O78" s="267"/>
      <c r="P78" s="267"/>
      <c r="Q78" s="267"/>
      <c r="R78" s="267"/>
      <c r="S78" s="269"/>
      <c r="T78" s="483"/>
      <c r="U78" s="264"/>
    </row>
    <row r="79" spans="1:21" ht="12.75">
      <c r="A79" s="521"/>
      <c r="B79" s="516"/>
      <c r="C79" s="516"/>
      <c r="D79" s="560"/>
      <c r="E79" s="511"/>
      <c r="F79" s="514"/>
      <c r="G79" s="270" t="s">
        <v>117</v>
      </c>
      <c r="H79" s="265" t="s">
        <v>118</v>
      </c>
      <c r="I79" s="266"/>
      <c r="J79" s="267"/>
      <c r="K79" s="268">
        <f t="shared" si="8"/>
        <v>0</v>
      </c>
      <c r="L79" s="267"/>
      <c r="M79" s="267"/>
      <c r="N79" s="267"/>
      <c r="O79" s="267"/>
      <c r="P79" s="267"/>
      <c r="Q79" s="267"/>
      <c r="R79" s="267"/>
      <c r="S79" s="269"/>
      <c r="T79" s="483"/>
      <c r="U79" s="264"/>
    </row>
    <row r="80" spans="1:21" ht="12.75">
      <c r="A80" s="521"/>
      <c r="B80" s="516"/>
      <c r="C80" s="516"/>
      <c r="D80" s="560"/>
      <c r="E80" s="511"/>
      <c r="F80" s="514"/>
      <c r="G80" s="502">
        <f>SUM(K85:S85)</f>
        <v>0</v>
      </c>
      <c r="H80" s="265" t="s">
        <v>119</v>
      </c>
      <c r="I80" s="266">
        <f>81744-64448</f>
        <v>17296</v>
      </c>
      <c r="J80" s="267">
        <f>105459+64448-75362</f>
        <v>94545</v>
      </c>
      <c r="K80" s="268">
        <f t="shared" si="8"/>
        <v>111841</v>
      </c>
      <c r="L80" s="267">
        <f>219629+75362</f>
        <v>294991</v>
      </c>
      <c r="M80" s="267">
        <v>55824</v>
      </c>
      <c r="N80" s="267"/>
      <c r="O80" s="267"/>
      <c r="P80" s="267"/>
      <c r="Q80" s="267"/>
      <c r="R80" s="267"/>
      <c r="S80" s="269"/>
      <c r="T80" s="483"/>
      <c r="U80" s="264"/>
    </row>
    <row r="81" spans="1:21" ht="12.75">
      <c r="A81" s="521"/>
      <c r="B81" s="516"/>
      <c r="C81" s="516"/>
      <c r="D81" s="560"/>
      <c r="E81" s="511"/>
      <c r="F81" s="514">
        <v>2013</v>
      </c>
      <c r="G81" s="503"/>
      <c r="H81" s="265" t="s">
        <v>120</v>
      </c>
      <c r="I81" s="266"/>
      <c r="J81" s="267"/>
      <c r="K81" s="268">
        <f t="shared" si="8"/>
        <v>0</v>
      </c>
      <c r="L81" s="267"/>
      <c r="M81" s="267"/>
      <c r="N81" s="267"/>
      <c r="O81" s="267"/>
      <c r="P81" s="267"/>
      <c r="Q81" s="267"/>
      <c r="R81" s="267"/>
      <c r="S81" s="269"/>
      <c r="T81" s="483"/>
      <c r="U81" s="264"/>
    </row>
    <row r="82" spans="1:21" ht="12.75">
      <c r="A82" s="521"/>
      <c r="B82" s="516"/>
      <c r="C82" s="516"/>
      <c r="D82" s="560"/>
      <c r="E82" s="511"/>
      <c r="F82" s="514"/>
      <c r="G82" s="270" t="s">
        <v>121</v>
      </c>
      <c r="H82" s="265" t="s">
        <v>122</v>
      </c>
      <c r="I82" s="266"/>
      <c r="J82" s="267"/>
      <c r="K82" s="268">
        <f t="shared" si="8"/>
        <v>0</v>
      </c>
      <c r="L82" s="267"/>
      <c r="M82" s="267"/>
      <c r="N82" s="267"/>
      <c r="O82" s="267"/>
      <c r="P82" s="267"/>
      <c r="Q82" s="267"/>
      <c r="R82" s="267"/>
      <c r="S82" s="269"/>
      <c r="T82" s="483"/>
      <c r="U82" s="264"/>
    </row>
    <row r="83" spans="1:21" ht="12.75">
      <c r="A83" s="521"/>
      <c r="B83" s="516"/>
      <c r="C83" s="516"/>
      <c r="D83" s="560"/>
      <c r="E83" s="511"/>
      <c r="F83" s="514"/>
      <c r="G83" s="502">
        <f>G77+G80</f>
        <v>645536</v>
      </c>
      <c r="H83" s="265" t="s">
        <v>123</v>
      </c>
      <c r="I83" s="266"/>
      <c r="J83" s="267"/>
      <c r="K83" s="268">
        <f t="shared" si="8"/>
        <v>0</v>
      </c>
      <c r="L83" s="267"/>
      <c r="M83" s="267"/>
      <c r="N83" s="267"/>
      <c r="O83" s="267"/>
      <c r="P83" s="267"/>
      <c r="Q83" s="267"/>
      <c r="R83" s="267"/>
      <c r="S83" s="269"/>
      <c r="T83" s="483"/>
      <c r="U83" s="264"/>
    </row>
    <row r="84" spans="1:21" ht="12.75">
      <c r="A84" s="521"/>
      <c r="B84" s="516"/>
      <c r="C84" s="516"/>
      <c r="D84" s="560"/>
      <c r="E84" s="511"/>
      <c r="F84" s="514"/>
      <c r="G84" s="504"/>
      <c r="H84" s="265" t="s">
        <v>124</v>
      </c>
      <c r="I84" s="271">
        <f>I76+I78+I80+I82</f>
        <v>24134</v>
      </c>
      <c r="J84" s="272">
        <f>J76+J78+J80+J82</f>
        <v>131917</v>
      </c>
      <c r="K84" s="268">
        <f t="shared" si="8"/>
        <v>156051</v>
      </c>
      <c r="L84" s="272">
        <f aca="true" t="shared" si="10" ref="L84:S85">L76+L78+L80+L82</f>
        <v>411595</v>
      </c>
      <c r="M84" s="272">
        <f t="shared" si="10"/>
        <v>77890</v>
      </c>
      <c r="N84" s="272">
        <f t="shared" si="10"/>
        <v>0</v>
      </c>
      <c r="O84" s="272">
        <f t="shared" si="10"/>
        <v>0</v>
      </c>
      <c r="P84" s="272">
        <f t="shared" si="10"/>
        <v>0</v>
      </c>
      <c r="Q84" s="272">
        <f t="shared" si="10"/>
        <v>0</v>
      </c>
      <c r="R84" s="272">
        <f t="shared" si="10"/>
        <v>0</v>
      </c>
      <c r="S84" s="273">
        <f t="shared" si="10"/>
        <v>0</v>
      </c>
      <c r="T84" s="483"/>
      <c r="U84" s="264"/>
    </row>
    <row r="85" spans="1:21" ht="13.5" thickBot="1">
      <c r="A85" s="522"/>
      <c r="B85" s="517"/>
      <c r="C85" s="517"/>
      <c r="D85" s="561"/>
      <c r="E85" s="512"/>
      <c r="F85" s="518"/>
      <c r="G85" s="472"/>
      <c r="H85" s="274" t="s">
        <v>125</v>
      </c>
      <c r="I85" s="275">
        <f>I77+I79+I81+I83</f>
        <v>0</v>
      </c>
      <c r="J85" s="276">
        <f>J77+J79+J81+J83</f>
        <v>0</v>
      </c>
      <c r="K85" s="277">
        <f t="shared" si="8"/>
        <v>0</v>
      </c>
      <c r="L85" s="276">
        <f t="shared" si="10"/>
        <v>0</v>
      </c>
      <c r="M85" s="276">
        <f t="shared" si="10"/>
        <v>0</v>
      </c>
      <c r="N85" s="276">
        <f t="shared" si="10"/>
        <v>0</v>
      </c>
      <c r="O85" s="276">
        <f t="shared" si="10"/>
        <v>0</v>
      </c>
      <c r="P85" s="276">
        <f t="shared" si="10"/>
        <v>0</v>
      </c>
      <c r="Q85" s="276">
        <f t="shared" si="10"/>
        <v>0</v>
      </c>
      <c r="R85" s="276">
        <f t="shared" si="10"/>
        <v>0</v>
      </c>
      <c r="S85" s="278">
        <f t="shared" si="10"/>
        <v>0</v>
      </c>
      <c r="T85" s="484"/>
      <c r="U85" s="264"/>
    </row>
    <row r="86" spans="1:21" ht="12.75" customHeight="1" thickBot="1">
      <c r="A86" s="520">
        <f>A76+1</f>
        <v>9</v>
      </c>
      <c r="B86" s="515">
        <v>710</v>
      </c>
      <c r="C86" s="515">
        <v>71095</v>
      </c>
      <c r="D86" s="523" t="s">
        <v>136</v>
      </c>
      <c r="E86" s="519" t="s">
        <v>137</v>
      </c>
      <c r="F86" s="553">
        <v>2008</v>
      </c>
      <c r="G86" s="259" t="s">
        <v>113</v>
      </c>
      <c r="H86" s="260" t="s">
        <v>114</v>
      </c>
      <c r="I86" s="261">
        <f>1262252+6214</f>
        <v>1268466</v>
      </c>
      <c r="J86" s="262">
        <v>1319059</v>
      </c>
      <c r="K86" s="262">
        <f t="shared" si="8"/>
        <v>2587525</v>
      </c>
      <c r="L86" s="262">
        <v>8779170</v>
      </c>
      <c r="M86" s="262"/>
      <c r="N86" s="262"/>
      <c r="O86" s="262"/>
      <c r="P86" s="262"/>
      <c r="Q86" s="262"/>
      <c r="R86" s="262"/>
      <c r="S86" s="263"/>
      <c r="T86" s="482">
        <f>M94+N94+O94+P94+Q94+R94+M95+N95+O95+P95+Q95+S94+S95+R95</f>
        <v>0</v>
      </c>
      <c r="U86" s="264"/>
    </row>
    <row r="87" spans="1:21" ht="13.5" thickBot="1">
      <c r="A87" s="521"/>
      <c r="B87" s="516"/>
      <c r="C87" s="516"/>
      <c r="D87" s="524"/>
      <c r="E87" s="519"/>
      <c r="F87" s="551"/>
      <c r="G87" s="502">
        <f>SUM(K94:S94)</f>
        <v>11366695</v>
      </c>
      <c r="H87" s="265" t="s">
        <v>115</v>
      </c>
      <c r="I87" s="266">
        <v>1463633</v>
      </c>
      <c r="J87" s="267">
        <v>40484</v>
      </c>
      <c r="K87" s="268">
        <f t="shared" si="8"/>
        <v>1504117</v>
      </c>
      <c r="L87" s="267">
        <f>15150000+1159516</f>
        <v>16309516</v>
      </c>
      <c r="M87" s="267"/>
      <c r="N87" s="267"/>
      <c r="O87" s="267"/>
      <c r="P87" s="267"/>
      <c r="Q87" s="267"/>
      <c r="R87" s="267"/>
      <c r="S87" s="269"/>
      <c r="T87" s="483"/>
      <c r="U87" s="264"/>
    </row>
    <row r="88" spans="1:21" ht="13.5" thickBot="1">
      <c r="A88" s="521"/>
      <c r="B88" s="516"/>
      <c r="C88" s="516"/>
      <c r="D88" s="524"/>
      <c r="E88" s="519"/>
      <c r="F88" s="551"/>
      <c r="G88" s="503"/>
      <c r="H88" s="265" t="s">
        <v>116</v>
      </c>
      <c r="I88" s="266"/>
      <c r="J88" s="267"/>
      <c r="K88" s="268">
        <f t="shared" si="8"/>
        <v>0</v>
      </c>
      <c r="L88" s="267"/>
      <c r="M88" s="267"/>
      <c r="N88" s="267"/>
      <c r="O88" s="267"/>
      <c r="P88" s="267"/>
      <c r="Q88" s="267"/>
      <c r="R88" s="267"/>
      <c r="S88" s="269"/>
      <c r="T88" s="483"/>
      <c r="U88" s="264"/>
    </row>
    <row r="89" spans="1:21" ht="13.5" thickBot="1">
      <c r="A89" s="521"/>
      <c r="B89" s="516"/>
      <c r="C89" s="516"/>
      <c r="D89" s="524"/>
      <c r="E89" s="519"/>
      <c r="F89" s="551"/>
      <c r="G89" s="270" t="s">
        <v>117</v>
      </c>
      <c r="H89" s="265" t="s">
        <v>118</v>
      </c>
      <c r="I89" s="266">
        <v>1308097</v>
      </c>
      <c r="J89" s="267">
        <v>2838929</v>
      </c>
      <c r="K89" s="268">
        <f t="shared" si="8"/>
        <v>4147026</v>
      </c>
      <c r="L89" s="267">
        <v>8730474</v>
      </c>
      <c r="M89" s="267"/>
      <c r="N89" s="267"/>
      <c r="O89" s="267"/>
      <c r="P89" s="267"/>
      <c r="Q89" s="267"/>
      <c r="R89" s="267"/>
      <c r="S89" s="269"/>
      <c r="T89" s="483"/>
      <c r="U89" s="264"/>
    </row>
    <row r="90" spans="1:21" ht="13.5" thickBot="1">
      <c r="A90" s="521"/>
      <c r="B90" s="516"/>
      <c r="C90" s="516"/>
      <c r="D90" s="524"/>
      <c r="E90" s="519"/>
      <c r="F90" s="554"/>
      <c r="G90" s="502">
        <f>SUM(K95:S95)</f>
        <v>103663633</v>
      </c>
      <c r="H90" s="265" t="s">
        <v>119</v>
      </c>
      <c r="I90" s="266"/>
      <c r="J90" s="267"/>
      <c r="K90" s="268">
        <f t="shared" si="8"/>
        <v>0</v>
      </c>
      <c r="L90" s="267"/>
      <c r="M90" s="267"/>
      <c r="N90" s="267"/>
      <c r="O90" s="267"/>
      <c r="P90" s="267"/>
      <c r="Q90" s="267"/>
      <c r="R90" s="267"/>
      <c r="S90" s="269"/>
      <c r="T90" s="483"/>
      <c r="U90" s="264"/>
    </row>
    <row r="91" spans="1:21" ht="13.5" thickBot="1">
      <c r="A91" s="521"/>
      <c r="B91" s="516"/>
      <c r="C91" s="516"/>
      <c r="D91" s="524"/>
      <c r="E91" s="519"/>
      <c r="F91" s="550">
        <v>2012</v>
      </c>
      <c r="G91" s="503"/>
      <c r="H91" s="265" t="s">
        <v>120</v>
      </c>
      <c r="I91" s="266">
        <v>7412545</v>
      </c>
      <c r="J91" s="267">
        <v>16087259</v>
      </c>
      <c r="K91" s="268">
        <f t="shared" si="8"/>
        <v>23499804</v>
      </c>
      <c r="L91" s="267">
        <v>49472696</v>
      </c>
      <c r="M91" s="267"/>
      <c r="N91" s="267"/>
      <c r="O91" s="267"/>
      <c r="P91" s="267"/>
      <c r="Q91" s="267"/>
      <c r="R91" s="267"/>
      <c r="S91" s="269"/>
      <c r="T91" s="483"/>
      <c r="U91" s="264"/>
    </row>
    <row r="92" spans="1:21" ht="13.5" thickBot="1">
      <c r="A92" s="521"/>
      <c r="B92" s="516"/>
      <c r="C92" s="516"/>
      <c r="D92" s="524"/>
      <c r="E92" s="519"/>
      <c r="F92" s="551"/>
      <c r="G92" s="270" t="s">
        <v>121</v>
      </c>
      <c r="H92" s="265" t="s">
        <v>122</v>
      </c>
      <c r="I92" s="266"/>
      <c r="J92" s="267"/>
      <c r="K92" s="268">
        <f t="shared" si="8"/>
        <v>0</v>
      </c>
      <c r="L92" s="267"/>
      <c r="M92" s="267"/>
      <c r="N92" s="267"/>
      <c r="O92" s="267"/>
      <c r="P92" s="267"/>
      <c r="Q92" s="267"/>
      <c r="R92" s="267"/>
      <c r="S92" s="269"/>
      <c r="T92" s="483"/>
      <c r="U92" s="264"/>
    </row>
    <row r="93" spans="1:21" ht="13.5" thickBot="1">
      <c r="A93" s="521"/>
      <c r="B93" s="516"/>
      <c r="C93" s="516"/>
      <c r="D93" s="524"/>
      <c r="E93" s="519"/>
      <c r="F93" s="551"/>
      <c r="G93" s="502">
        <f>G87+G90</f>
        <v>115030328</v>
      </c>
      <c r="H93" s="265" t="s">
        <v>123</v>
      </c>
      <c r="I93" s="266"/>
      <c r="J93" s="267"/>
      <c r="K93" s="268">
        <f t="shared" si="8"/>
        <v>0</v>
      </c>
      <c r="L93" s="267"/>
      <c r="M93" s="267"/>
      <c r="N93" s="267"/>
      <c r="O93" s="267"/>
      <c r="P93" s="267"/>
      <c r="Q93" s="267"/>
      <c r="R93" s="267"/>
      <c r="S93" s="269"/>
      <c r="T93" s="483"/>
      <c r="U93" s="264"/>
    </row>
    <row r="94" spans="1:22" ht="13.5" thickBot="1">
      <c r="A94" s="521"/>
      <c r="B94" s="516"/>
      <c r="C94" s="516"/>
      <c r="D94" s="524"/>
      <c r="E94" s="519"/>
      <c r="F94" s="551"/>
      <c r="G94" s="504"/>
      <c r="H94" s="265" t="s">
        <v>124</v>
      </c>
      <c r="I94" s="271">
        <f>I86+I88+I90+I92</f>
        <v>1268466</v>
      </c>
      <c r="J94" s="272">
        <f>J86+J88+J90+J92</f>
        <v>1319059</v>
      </c>
      <c r="K94" s="268">
        <f t="shared" si="8"/>
        <v>2587525</v>
      </c>
      <c r="L94" s="272">
        <f aca="true" t="shared" si="11" ref="L94:S95">L86+L88+L90+L92</f>
        <v>8779170</v>
      </c>
      <c r="M94" s="272">
        <f t="shared" si="11"/>
        <v>0</v>
      </c>
      <c r="N94" s="272">
        <f t="shared" si="11"/>
        <v>0</v>
      </c>
      <c r="O94" s="272">
        <f t="shared" si="11"/>
        <v>0</v>
      </c>
      <c r="P94" s="272">
        <f t="shared" si="11"/>
        <v>0</v>
      </c>
      <c r="Q94" s="272">
        <f t="shared" si="11"/>
        <v>0</v>
      </c>
      <c r="R94" s="272">
        <f t="shared" si="11"/>
        <v>0</v>
      </c>
      <c r="S94" s="273">
        <f t="shared" si="11"/>
        <v>0</v>
      </c>
      <c r="T94" s="483"/>
      <c r="U94" s="264"/>
      <c r="V94" s="264"/>
    </row>
    <row r="95" spans="1:21" ht="13.5" thickBot="1">
      <c r="A95" s="522"/>
      <c r="B95" s="517"/>
      <c r="C95" s="517"/>
      <c r="D95" s="525"/>
      <c r="E95" s="519"/>
      <c r="F95" s="552"/>
      <c r="G95" s="472"/>
      <c r="H95" s="274" t="s">
        <v>125</v>
      </c>
      <c r="I95" s="275">
        <f>I87+I89+I91+I93</f>
        <v>10184275</v>
      </c>
      <c r="J95" s="276">
        <f>J87+J89+J91+J93</f>
        <v>18966672</v>
      </c>
      <c r="K95" s="277">
        <f t="shared" si="8"/>
        <v>29150947</v>
      </c>
      <c r="L95" s="276">
        <f t="shared" si="11"/>
        <v>74512686</v>
      </c>
      <c r="M95" s="276">
        <f t="shared" si="11"/>
        <v>0</v>
      </c>
      <c r="N95" s="276">
        <f t="shared" si="11"/>
        <v>0</v>
      </c>
      <c r="O95" s="276">
        <f t="shared" si="11"/>
        <v>0</v>
      </c>
      <c r="P95" s="276">
        <f t="shared" si="11"/>
        <v>0</v>
      </c>
      <c r="Q95" s="276">
        <f t="shared" si="11"/>
        <v>0</v>
      </c>
      <c r="R95" s="276">
        <f t="shared" si="11"/>
        <v>0</v>
      </c>
      <c r="S95" s="278">
        <f t="shared" si="11"/>
        <v>0</v>
      </c>
      <c r="T95" s="484"/>
      <c r="U95" s="264"/>
    </row>
    <row r="96" spans="1:21" ht="12.75">
      <c r="A96" s="520">
        <f>A86+1</f>
        <v>10</v>
      </c>
      <c r="B96" s="515">
        <v>710</v>
      </c>
      <c r="C96" s="515">
        <v>71095</v>
      </c>
      <c r="D96" s="544" t="s">
        <v>138</v>
      </c>
      <c r="E96" s="510" t="s">
        <v>137</v>
      </c>
      <c r="F96" s="513">
        <v>2008</v>
      </c>
      <c r="G96" s="259" t="s">
        <v>113</v>
      </c>
      <c r="H96" s="260" t="s">
        <v>114</v>
      </c>
      <c r="I96" s="261">
        <f>767419+6214</f>
        <v>773633</v>
      </c>
      <c r="J96" s="262">
        <v>722583</v>
      </c>
      <c r="K96" s="262"/>
      <c r="L96" s="262">
        <v>6387104</v>
      </c>
      <c r="M96" s="262"/>
      <c r="N96" s="262"/>
      <c r="O96" s="262"/>
      <c r="P96" s="262"/>
      <c r="Q96" s="262"/>
      <c r="R96" s="262"/>
      <c r="S96" s="263"/>
      <c r="T96" s="482">
        <f>M104+N104+O104+P104+Q104+R104+M105+N105+O105+P105+Q105+S104+S105+R105</f>
        <v>0</v>
      </c>
      <c r="U96" s="264"/>
    </row>
    <row r="97" spans="1:21" ht="12.75">
      <c r="A97" s="521"/>
      <c r="B97" s="516"/>
      <c r="C97" s="516"/>
      <c r="D97" s="545"/>
      <c r="E97" s="511"/>
      <c r="F97" s="514"/>
      <c r="G97" s="502">
        <f>SUM(K104:S104)</f>
        <v>7883320</v>
      </c>
      <c r="H97" s="265" t="s">
        <v>115</v>
      </c>
      <c r="I97" s="266">
        <f>1236708+1196984</f>
        <v>2433692</v>
      </c>
      <c r="J97" s="267">
        <f>2558473+570047</f>
        <v>3128520</v>
      </c>
      <c r="K97" s="268">
        <f aca="true" t="shared" si="12" ref="K97:K128">I97+J97</f>
        <v>5562212</v>
      </c>
      <c r="L97" s="267">
        <f>1579953+13041956</f>
        <v>14621909</v>
      </c>
      <c r="M97" s="267"/>
      <c r="N97" s="267"/>
      <c r="O97" s="267"/>
      <c r="P97" s="267"/>
      <c r="Q97" s="267"/>
      <c r="R97" s="267"/>
      <c r="S97" s="269"/>
      <c r="T97" s="483"/>
      <c r="U97" s="264"/>
    </row>
    <row r="98" spans="1:21" ht="12.75">
      <c r="A98" s="521"/>
      <c r="B98" s="516"/>
      <c r="C98" s="516"/>
      <c r="D98" s="545"/>
      <c r="E98" s="511"/>
      <c r="F98" s="514"/>
      <c r="G98" s="503"/>
      <c r="H98" s="265" t="s">
        <v>116</v>
      </c>
      <c r="I98" s="266"/>
      <c r="J98" s="267"/>
      <c r="K98" s="268">
        <f t="shared" si="12"/>
        <v>0</v>
      </c>
      <c r="L98" s="267"/>
      <c r="M98" s="267"/>
      <c r="N98" s="267"/>
      <c r="O98" s="267"/>
      <c r="P98" s="267"/>
      <c r="Q98" s="267"/>
      <c r="R98" s="267"/>
      <c r="S98" s="269"/>
      <c r="T98" s="483"/>
      <c r="U98" s="264"/>
    </row>
    <row r="99" spans="1:21" ht="12.75">
      <c r="A99" s="521"/>
      <c r="B99" s="516"/>
      <c r="C99" s="516"/>
      <c r="D99" s="545"/>
      <c r="E99" s="511"/>
      <c r="F99" s="514"/>
      <c r="G99" s="270" t="s">
        <v>117</v>
      </c>
      <c r="H99" s="265" t="s">
        <v>118</v>
      </c>
      <c r="I99" s="266"/>
      <c r="J99" s="267"/>
      <c r="K99" s="268">
        <f t="shared" si="12"/>
        <v>0</v>
      </c>
      <c r="L99" s="267"/>
      <c r="M99" s="267"/>
      <c r="N99" s="267"/>
      <c r="O99" s="267"/>
      <c r="P99" s="267"/>
      <c r="Q99" s="267"/>
      <c r="R99" s="267"/>
      <c r="S99" s="269"/>
      <c r="T99" s="483"/>
      <c r="U99" s="264"/>
    </row>
    <row r="100" spans="1:22" ht="12.75">
      <c r="A100" s="521"/>
      <c r="B100" s="516"/>
      <c r="C100" s="516"/>
      <c r="D100" s="545"/>
      <c r="E100" s="511"/>
      <c r="F100" s="514"/>
      <c r="G100" s="502">
        <f>SUM(K105:S105)</f>
        <v>70695531</v>
      </c>
      <c r="H100" s="265" t="s">
        <v>119</v>
      </c>
      <c r="I100" s="266"/>
      <c r="J100" s="267"/>
      <c r="K100" s="268">
        <f t="shared" si="12"/>
        <v>0</v>
      </c>
      <c r="L100" s="267"/>
      <c r="M100" s="267"/>
      <c r="N100" s="267"/>
      <c r="O100" s="267"/>
      <c r="P100" s="267"/>
      <c r="Q100" s="267"/>
      <c r="R100" s="267"/>
      <c r="S100" s="269"/>
      <c r="T100" s="483"/>
      <c r="U100" s="264"/>
      <c r="V100" s="264"/>
    </row>
    <row r="101" spans="1:21" ht="12.75">
      <c r="A101" s="521"/>
      <c r="B101" s="516"/>
      <c r="C101" s="516"/>
      <c r="D101" s="545"/>
      <c r="E101" s="511"/>
      <c r="F101" s="514">
        <v>2012</v>
      </c>
      <c r="G101" s="503"/>
      <c r="H101" s="265" t="s">
        <v>120</v>
      </c>
      <c r="I101" s="266">
        <v>3710137</v>
      </c>
      <c r="J101" s="267">
        <v>7675415</v>
      </c>
      <c r="K101" s="268">
        <f t="shared" si="12"/>
        <v>11385552</v>
      </c>
      <c r="L101" s="267">
        <v>39125858</v>
      </c>
      <c r="M101" s="267"/>
      <c r="N101" s="267"/>
      <c r="O101" s="267"/>
      <c r="P101" s="267"/>
      <c r="Q101" s="267"/>
      <c r="R101" s="267"/>
      <c r="S101" s="269"/>
      <c r="T101" s="483"/>
      <c r="U101" s="264"/>
    </row>
    <row r="102" spans="1:21" ht="12.75">
      <c r="A102" s="521"/>
      <c r="B102" s="516"/>
      <c r="C102" s="516"/>
      <c r="D102" s="545"/>
      <c r="E102" s="511"/>
      <c r="F102" s="514"/>
      <c r="G102" s="270" t="s">
        <v>121</v>
      </c>
      <c r="H102" s="265" t="s">
        <v>122</v>
      </c>
      <c r="I102" s="266"/>
      <c r="J102" s="267"/>
      <c r="K102" s="268">
        <f t="shared" si="12"/>
        <v>0</v>
      </c>
      <c r="L102" s="267"/>
      <c r="M102" s="267"/>
      <c r="N102" s="267"/>
      <c r="O102" s="267"/>
      <c r="P102" s="267"/>
      <c r="Q102" s="267"/>
      <c r="R102" s="267"/>
      <c r="S102" s="269"/>
      <c r="T102" s="483"/>
      <c r="U102" s="264"/>
    </row>
    <row r="103" spans="1:21" ht="12.75">
      <c r="A103" s="521"/>
      <c r="B103" s="516"/>
      <c r="C103" s="516"/>
      <c r="D103" s="545"/>
      <c r="E103" s="511"/>
      <c r="F103" s="514"/>
      <c r="G103" s="502">
        <f>G97+G100</f>
        <v>78578851</v>
      </c>
      <c r="H103" s="265" t="s">
        <v>123</v>
      </c>
      <c r="I103" s="266"/>
      <c r="J103" s="267"/>
      <c r="K103" s="268">
        <f t="shared" si="12"/>
        <v>0</v>
      </c>
      <c r="L103" s="267"/>
      <c r="M103" s="267"/>
      <c r="N103" s="267"/>
      <c r="O103" s="267"/>
      <c r="P103" s="267"/>
      <c r="Q103" s="267"/>
      <c r="R103" s="267"/>
      <c r="S103" s="269"/>
      <c r="T103" s="483"/>
      <c r="U103" s="264"/>
    </row>
    <row r="104" spans="1:22" ht="12.75">
      <c r="A104" s="521"/>
      <c r="B104" s="516"/>
      <c r="C104" s="516"/>
      <c r="D104" s="545"/>
      <c r="E104" s="511"/>
      <c r="F104" s="514"/>
      <c r="G104" s="504"/>
      <c r="H104" s="265" t="s">
        <v>124</v>
      </c>
      <c r="I104" s="271">
        <f>I96+I98+I100+I102</f>
        <v>773633</v>
      </c>
      <c r="J104" s="272">
        <f>J96+J98+J100+J102</f>
        <v>722583</v>
      </c>
      <c r="K104" s="268">
        <f t="shared" si="12"/>
        <v>1496216</v>
      </c>
      <c r="L104" s="272">
        <f aca="true" t="shared" si="13" ref="L104:S105">L96+L98+L100+L102</f>
        <v>6387104</v>
      </c>
      <c r="M104" s="272">
        <f t="shared" si="13"/>
        <v>0</v>
      </c>
      <c r="N104" s="272">
        <f t="shared" si="13"/>
        <v>0</v>
      </c>
      <c r="O104" s="272">
        <f t="shared" si="13"/>
        <v>0</v>
      </c>
      <c r="P104" s="272">
        <f t="shared" si="13"/>
        <v>0</v>
      </c>
      <c r="Q104" s="272">
        <f t="shared" si="13"/>
        <v>0</v>
      </c>
      <c r="R104" s="272">
        <f t="shared" si="13"/>
        <v>0</v>
      </c>
      <c r="S104" s="273">
        <f t="shared" si="13"/>
        <v>0</v>
      </c>
      <c r="T104" s="483"/>
      <c r="U104" s="264"/>
      <c r="V104" s="264"/>
    </row>
    <row r="105" spans="1:22" ht="13.5" thickBot="1">
      <c r="A105" s="522"/>
      <c r="B105" s="517"/>
      <c r="C105" s="517"/>
      <c r="D105" s="546"/>
      <c r="E105" s="512"/>
      <c r="F105" s="518"/>
      <c r="G105" s="472"/>
      <c r="H105" s="274" t="s">
        <v>125</v>
      </c>
      <c r="I105" s="275">
        <f>I97+I99+I101+I103</f>
        <v>6143829</v>
      </c>
      <c r="J105" s="276">
        <f>J97+J99+J101+J103</f>
        <v>10803935</v>
      </c>
      <c r="K105" s="277">
        <f t="shared" si="12"/>
        <v>16947764</v>
      </c>
      <c r="L105" s="276">
        <f t="shared" si="13"/>
        <v>53747767</v>
      </c>
      <c r="M105" s="276">
        <f t="shared" si="13"/>
        <v>0</v>
      </c>
      <c r="N105" s="276">
        <f t="shared" si="13"/>
        <v>0</v>
      </c>
      <c r="O105" s="276">
        <f t="shared" si="13"/>
        <v>0</v>
      </c>
      <c r="P105" s="276">
        <f t="shared" si="13"/>
        <v>0</v>
      </c>
      <c r="Q105" s="276">
        <f t="shared" si="13"/>
        <v>0</v>
      </c>
      <c r="R105" s="276">
        <f t="shared" si="13"/>
        <v>0</v>
      </c>
      <c r="S105" s="278">
        <f t="shared" si="13"/>
        <v>0</v>
      </c>
      <c r="T105" s="484"/>
      <c r="U105" s="264"/>
      <c r="V105" s="264"/>
    </row>
    <row r="106" spans="1:21" ht="12.75" customHeight="1" thickBot="1">
      <c r="A106" s="520">
        <f>A96+1</f>
        <v>11</v>
      </c>
      <c r="B106" s="515">
        <v>710</v>
      </c>
      <c r="C106" s="515">
        <v>71095</v>
      </c>
      <c r="D106" s="523" t="s">
        <v>139</v>
      </c>
      <c r="E106" s="519" t="s">
        <v>137</v>
      </c>
      <c r="F106" s="553">
        <v>2011</v>
      </c>
      <c r="G106" s="259" t="s">
        <v>113</v>
      </c>
      <c r="H106" s="260" t="s">
        <v>114</v>
      </c>
      <c r="I106" s="261"/>
      <c r="J106" s="262">
        <f>9221+1363</f>
        <v>10584</v>
      </c>
      <c r="K106" s="262">
        <f t="shared" si="12"/>
        <v>10584</v>
      </c>
      <c r="L106" s="262">
        <f>90075+75057</f>
        <v>165132</v>
      </c>
      <c r="M106" s="262">
        <f>40555+36753</f>
        <v>77308</v>
      </c>
      <c r="N106" s="262"/>
      <c r="O106" s="262"/>
      <c r="P106" s="262"/>
      <c r="Q106" s="262"/>
      <c r="R106" s="262"/>
      <c r="S106" s="263"/>
      <c r="T106" s="482">
        <f>M114+N114+O114+P114+Q114+R114+M115+N115+O115+P115+Q115+S114+S115+R115</f>
        <v>307187</v>
      </c>
      <c r="U106" s="264"/>
    </row>
    <row r="107" spans="1:21" ht="13.5" thickBot="1">
      <c r="A107" s="521"/>
      <c r="B107" s="516"/>
      <c r="C107" s="516"/>
      <c r="D107" s="524"/>
      <c r="E107" s="519"/>
      <c r="F107" s="551"/>
      <c r="G107" s="502">
        <f>SUM(K114:S114)</f>
        <v>1045512</v>
      </c>
      <c r="H107" s="265" t="s">
        <v>115</v>
      </c>
      <c r="I107" s="266"/>
      <c r="J107" s="267"/>
      <c r="K107" s="268">
        <f t="shared" si="12"/>
        <v>0</v>
      </c>
      <c r="L107" s="267"/>
      <c r="M107" s="267"/>
      <c r="N107" s="267"/>
      <c r="O107" s="267"/>
      <c r="P107" s="267"/>
      <c r="Q107" s="267"/>
      <c r="R107" s="267"/>
      <c r="S107" s="269"/>
      <c r="T107" s="483"/>
      <c r="U107" s="264"/>
    </row>
    <row r="108" spans="1:21" ht="13.5" thickBot="1">
      <c r="A108" s="521"/>
      <c r="B108" s="516"/>
      <c r="C108" s="516"/>
      <c r="D108" s="524"/>
      <c r="E108" s="519"/>
      <c r="F108" s="551"/>
      <c r="G108" s="503"/>
      <c r="H108" s="265" t="s">
        <v>116</v>
      </c>
      <c r="I108" s="266"/>
      <c r="J108" s="267"/>
      <c r="K108" s="268">
        <f t="shared" si="12"/>
        <v>0</v>
      </c>
      <c r="L108" s="267"/>
      <c r="M108" s="267"/>
      <c r="N108" s="267"/>
      <c r="O108" s="267"/>
      <c r="P108" s="267"/>
      <c r="Q108" s="267"/>
      <c r="R108" s="267"/>
      <c r="S108" s="269"/>
      <c r="T108" s="483"/>
      <c r="U108" s="264"/>
    </row>
    <row r="109" spans="1:21" ht="13.5" thickBot="1">
      <c r="A109" s="521"/>
      <c r="B109" s="516"/>
      <c r="C109" s="516"/>
      <c r="D109" s="524"/>
      <c r="E109" s="519"/>
      <c r="F109" s="551"/>
      <c r="G109" s="270" t="s">
        <v>117</v>
      </c>
      <c r="H109" s="265" t="s">
        <v>118</v>
      </c>
      <c r="I109" s="266"/>
      <c r="J109" s="267"/>
      <c r="K109" s="268">
        <f t="shared" si="12"/>
        <v>0</v>
      </c>
      <c r="L109" s="267"/>
      <c r="M109" s="267"/>
      <c r="N109" s="267"/>
      <c r="O109" s="267"/>
      <c r="P109" s="267"/>
      <c r="Q109" s="267"/>
      <c r="R109" s="267"/>
      <c r="S109" s="269"/>
      <c r="T109" s="483"/>
      <c r="U109" s="264"/>
    </row>
    <row r="110" spans="1:21" ht="13.5" thickBot="1">
      <c r="A110" s="521"/>
      <c r="B110" s="516"/>
      <c r="C110" s="516"/>
      <c r="D110" s="524"/>
      <c r="E110" s="519"/>
      <c r="F110" s="554"/>
      <c r="G110" s="502">
        <f>SUM(K115:S115)</f>
        <v>0</v>
      </c>
      <c r="H110" s="265" t="s">
        <v>119</v>
      </c>
      <c r="I110" s="266"/>
      <c r="J110" s="267">
        <v>52184</v>
      </c>
      <c r="K110" s="268">
        <f t="shared" si="12"/>
        <v>52184</v>
      </c>
      <c r="L110" s="267">
        <v>510425</v>
      </c>
      <c r="M110" s="267">
        <v>229879</v>
      </c>
      <c r="N110" s="267"/>
      <c r="O110" s="267"/>
      <c r="P110" s="267"/>
      <c r="Q110" s="267"/>
      <c r="R110" s="267"/>
      <c r="S110" s="269"/>
      <c r="T110" s="483"/>
      <c r="U110" s="264"/>
    </row>
    <row r="111" spans="1:21" ht="13.5" thickBot="1">
      <c r="A111" s="521"/>
      <c r="B111" s="516"/>
      <c r="C111" s="516"/>
      <c r="D111" s="524"/>
      <c r="E111" s="519"/>
      <c r="F111" s="550">
        <v>2013</v>
      </c>
      <c r="G111" s="503"/>
      <c r="H111" s="265" t="s">
        <v>120</v>
      </c>
      <c r="I111" s="266"/>
      <c r="J111" s="267"/>
      <c r="K111" s="268">
        <f t="shared" si="12"/>
        <v>0</v>
      </c>
      <c r="L111" s="267"/>
      <c r="M111" s="267"/>
      <c r="N111" s="267"/>
      <c r="O111" s="267"/>
      <c r="P111" s="267"/>
      <c r="Q111" s="267"/>
      <c r="R111" s="267"/>
      <c r="S111" s="269"/>
      <c r="T111" s="483"/>
      <c r="U111" s="264"/>
    </row>
    <row r="112" spans="1:21" ht="13.5" thickBot="1">
      <c r="A112" s="521"/>
      <c r="B112" s="516"/>
      <c r="C112" s="516"/>
      <c r="D112" s="524"/>
      <c r="E112" s="519"/>
      <c r="F112" s="551"/>
      <c r="G112" s="270" t="s">
        <v>121</v>
      </c>
      <c r="H112" s="265" t="s">
        <v>122</v>
      </c>
      <c r="I112" s="266"/>
      <c r="J112" s="267"/>
      <c r="K112" s="268">
        <f t="shared" si="12"/>
        <v>0</v>
      </c>
      <c r="L112" s="267"/>
      <c r="M112" s="267"/>
      <c r="N112" s="267"/>
      <c r="O112" s="267"/>
      <c r="P112" s="267"/>
      <c r="Q112" s="267"/>
      <c r="R112" s="267"/>
      <c r="S112" s="269"/>
      <c r="T112" s="483"/>
      <c r="U112" s="264"/>
    </row>
    <row r="113" spans="1:21" ht="13.5" thickBot="1">
      <c r="A113" s="521"/>
      <c r="B113" s="516"/>
      <c r="C113" s="516"/>
      <c r="D113" s="524"/>
      <c r="E113" s="519"/>
      <c r="F113" s="551"/>
      <c r="G113" s="502">
        <f>G107+G110</f>
        <v>1045512</v>
      </c>
      <c r="H113" s="265" t="s">
        <v>123</v>
      </c>
      <c r="I113" s="266"/>
      <c r="J113" s="267"/>
      <c r="K113" s="268">
        <f t="shared" si="12"/>
        <v>0</v>
      </c>
      <c r="L113" s="267"/>
      <c r="M113" s="267"/>
      <c r="N113" s="267"/>
      <c r="O113" s="267"/>
      <c r="P113" s="267"/>
      <c r="Q113" s="267"/>
      <c r="R113" s="267"/>
      <c r="S113" s="269"/>
      <c r="T113" s="483"/>
      <c r="U113" s="264"/>
    </row>
    <row r="114" spans="1:22" ht="13.5" thickBot="1">
      <c r="A114" s="521"/>
      <c r="B114" s="516"/>
      <c r="C114" s="516"/>
      <c r="D114" s="524"/>
      <c r="E114" s="519"/>
      <c r="F114" s="551"/>
      <c r="G114" s="504"/>
      <c r="H114" s="265" t="s">
        <v>124</v>
      </c>
      <c r="I114" s="271">
        <f>I106+I108+I110+I112</f>
        <v>0</v>
      </c>
      <c r="J114" s="272">
        <f>J106+J108+J110+J112</f>
        <v>62768</v>
      </c>
      <c r="K114" s="268">
        <f t="shared" si="12"/>
        <v>62768</v>
      </c>
      <c r="L114" s="272">
        <f aca="true" t="shared" si="14" ref="L114:S115">L106+L108+L110+L112</f>
        <v>675557</v>
      </c>
      <c r="M114" s="272">
        <f t="shared" si="14"/>
        <v>307187</v>
      </c>
      <c r="N114" s="272">
        <f t="shared" si="14"/>
        <v>0</v>
      </c>
      <c r="O114" s="272">
        <f t="shared" si="14"/>
        <v>0</v>
      </c>
      <c r="P114" s="272">
        <f t="shared" si="14"/>
        <v>0</v>
      </c>
      <c r="Q114" s="272">
        <f t="shared" si="14"/>
        <v>0</v>
      </c>
      <c r="R114" s="272">
        <f t="shared" si="14"/>
        <v>0</v>
      </c>
      <c r="S114" s="273">
        <f t="shared" si="14"/>
        <v>0</v>
      </c>
      <c r="T114" s="483"/>
      <c r="U114" s="264"/>
      <c r="V114" s="264"/>
    </row>
    <row r="115" spans="1:21" ht="13.5" thickBot="1">
      <c r="A115" s="522"/>
      <c r="B115" s="517"/>
      <c r="C115" s="517"/>
      <c r="D115" s="525"/>
      <c r="E115" s="519"/>
      <c r="F115" s="552"/>
      <c r="G115" s="472"/>
      <c r="H115" s="274" t="s">
        <v>125</v>
      </c>
      <c r="I115" s="275">
        <f>I107+I109+I111+I113</f>
        <v>0</v>
      </c>
      <c r="J115" s="276">
        <f>J107+J109+J111+J113</f>
        <v>0</v>
      </c>
      <c r="K115" s="277">
        <f t="shared" si="12"/>
        <v>0</v>
      </c>
      <c r="L115" s="276">
        <f t="shared" si="14"/>
        <v>0</v>
      </c>
      <c r="M115" s="276">
        <f t="shared" si="14"/>
        <v>0</v>
      </c>
      <c r="N115" s="276">
        <f t="shared" si="14"/>
        <v>0</v>
      </c>
      <c r="O115" s="276">
        <f t="shared" si="14"/>
        <v>0</v>
      </c>
      <c r="P115" s="276">
        <f t="shared" si="14"/>
        <v>0</v>
      </c>
      <c r="Q115" s="276">
        <f t="shared" si="14"/>
        <v>0</v>
      </c>
      <c r="R115" s="276">
        <f t="shared" si="14"/>
        <v>0</v>
      </c>
      <c r="S115" s="278">
        <f t="shared" si="14"/>
        <v>0</v>
      </c>
      <c r="T115" s="484"/>
      <c r="U115" s="264"/>
    </row>
    <row r="116" spans="1:21" ht="12.75" customHeight="1" thickBot="1">
      <c r="A116" s="520">
        <f>A106+1</f>
        <v>12</v>
      </c>
      <c r="B116" s="515">
        <v>710</v>
      </c>
      <c r="C116" s="515">
        <v>71095</v>
      </c>
      <c r="D116" s="523" t="s">
        <v>140</v>
      </c>
      <c r="E116" s="519" t="s">
        <v>137</v>
      </c>
      <c r="F116" s="553">
        <v>2011</v>
      </c>
      <c r="G116" s="259" t="s">
        <v>113</v>
      </c>
      <c r="H116" s="260" t="s">
        <v>114</v>
      </c>
      <c r="I116" s="261"/>
      <c r="J116" s="262">
        <f>13069+1383</f>
        <v>14452</v>
      </c>
      <c r="K116" s="262">
        <f t="shared" si="12"/>
        <v>14452</v>
      </c>
      <c r="L116" s="262">
        <f>121022+129356</f>
        <v>250378</v>
      </c>
      <c r="M116" s="262">
        <f>64476+82572</f>
        <v>147048</v>
      </c>
      <c r="N116" s="262">
        <f>41611+34405</f>
        <v>76016</v>
      </c>
      <c r="O116" s="262"/>
      <c r="P116" s="262"/>
      <c r="Q116" s="262"/>
      <c r="R116" s="262"/>
      <c r="S116" s="263"/>
      <c r="T116" s="482">
        <f>M124+N124+O124+P124+Q124+R124+M125+N125+O125+P125+Q125+S124+S125+R125</f>
        <v>811452</v>
      </c>
      <c r="U116" s="264"/>
    </row>
    <row r="117" spans="1:21" ht="13.5" thickBot="1">
      <c r="A117" s="521"/>
      <c r="B117" s="516"/>
      <c r="C117" s="516"/>
      <c r="D117" s="524"/>
      <c r="E117" s="519"/>
      <c r="F117" s="551"/>
      <c r="G117" s="502">
        <f>SUM(K124:S124)</f>
        <v>1848900</v>
      </c>
      <c r="H117" s="265" t="s">
        <v>115</v>
      </c>
      <c r="I117" s="266"/>
      <c r="J117" s="267"/>
      <c r="K117" s="268">
        <f t="shared" si="12"/>
        <v>0</v>
      </c>
      <c r="L117" s="267"/>
      <c r="M117" s="267"/>
      <c r="N117" s="267"/>
      <c r="O117" s="267"/>
      <c r="P117" s="267"/>
      <c r="Q117" s="267"/>
      <c r="R117" s="267"/>
      <c r="S117" s="269"/>
      <c r="T117" s="483"/>
      <c r="U117" s="264"/>
    </row>
    <row r="118" spans="1:21" ht="13.5" thickBot="1">
      <c r="A118" s="521"/>
      <c r="B118" s="516"/>
      <c r="C118" s="516"/>
      <c r="D118" s="524"/>
      <c r="E118" s="519"/>
      <c r="F118" s="551"/>
      <c r="G118" s="503"/>
      <c r="H118" s="265" t="s">
        <v>116</v>
      </c>
      <c r="I118" s="266"/>
      <c r="J118" s="267"/>
      <c r="K118" s="268">
        <f t="shared" si="12"/>
        <v>0</v>
      </c>
      <c r="L118" s="267"/>
      <c r="M118" s="267"/>
      <c r="N118" s="267"/>
      <c r="O118" s="267"/>
      <c r="P118" s="267"/>
      <c r="Q118" s="267"/>
      <c r="R118" s="267"/>
      <c r="S118" s="269"/>
      <c r="T118" s="483"/>
      <c r="U118" s="264"/>
    </row>
    <row r="119" spans="1:21" ht="13.5" thickBot="1">
      <c r="A119" s="521"/>
      <c r="B119" s="516"/>
      <c r="C119" s="516"/>
      <c r="D119" s="524"/>
      <c r="E119" s="519"/>
      <c r="F119" s="551"/>
      <c r="G119" s="270" t="s">
        <v>117</v>
      </c>
      <c r="H119" s="265" t="s">
        <v>118</v>
      </c>
      <c r="I119" s="266"/>
      <c r="J119" s="267"/>
      <c r="K119" s="268">
        <f t="shared" si="12"/>
        <v>0</v>
      </c>
      <c r="L119" s="267"/>
      <c r="M119" s="267"/>
      <c r="N119" s="267"/>
      <c r="O119" s="267"/>
      <c r="P119" s="267"/>
      <c r="Q119" s="267"/>
      <c r="R119" s="267"/>
      <c r="S119" s="269"/>
      <c r="T119" s="483"/>
      <c r="U119" s="264"/>
    </row>
    <row r="120" spans="1:21" ht="13.5" thickBot="1">
      <c r="A120" s="521"/>
      <c r="B120" s="516"/>
      <c r="C120" s="516"/>
      <c r="D120" s="524"/>
      <c r="E120" s="519"/>
      <c r="F120" s="554"/>
      <c r="G120" s="502">
        <f>SUM(K125:S125)</f>
        <v>0</v>
      </c>
      <c r="H120" s="265" t="s">
        <v>119</v>
      </c>
      <c r="I120" s="266"/>
      <c r="J120" s="267">
        <v>74057</v>
      </c>
      <c r="K120" s="268">
        <f t="shared" si="12"/>
        <v>74057</v>
      </c>
      <c r="L120" s="267">
        <v>698561</v>
      </c>
      <c r="M120" s="267">
        <v>420965</v>
      </c>
      <c r="N120" s="267">
        <v>167423</v>
      </c>
      <c r="O120" s="267"/>
      <c r="P120" s="267"/>
      <c r="Q120" s="267"/>
      <c r="R120" s="267"/>
      <c r="S120" s="269"/>
      <c r="T120" s="483"/>
      <c r="U120" s="264"/>
    </row>
    <row r="121" spans="1:21" ht="13.5" thickBot="1">
      <c r="A121" s="521"/>
      <c r="B121" s="516"/>
      <c r="C121" s="516"/>
      <c r="D121" s="524"/>
      <c r="E121" s="519"/>
      <c r="F121" s="550">
        <v>2014</v>
      </c>
      <c r="G121" s="503"/>
      <c r="H121" s="265" t="s">
        <v>120</v>
      </c>
      <c r="I121" s="266"/>
      <c r="J121" s="267"/>
      <c r="K121" s="268">
        <f t="shared" si="12"/>
        <v>0</v>
      </c>
      <c r="L121" s="267"/>
      <c r="M121" s="267"/>
      <c r="N121" s="267"/>
      <c r="O121" s="267"/>
      <c r="P121" s="267"/>
      <c r="Q121" s="267"/>
      <c r="R121" s="267"/>
      <c r="S121" s="269"/>
      <c r="T121" s="483"/>
      <c r="U121" s="264"/>
    </row>
    <row r="122" spans="1:21" ht="13.5" thickBot="1">
      <c r="A122" s="521"/>
      <c r="B122" s="516"/>
      <c r="C122" s="516"/>
      <c r="D122" s="524"/>
      <c r="E122" s="519"/>
      <c r="F122" s="551"/>
      <c r="G122" s="270" t="s">
        <v>121</v>
      </c>
      <c r="H122" s="265" t="s">
        <v>122</v>
      </c>
      <c r="I122" s="266"/>
      <c r="J122" s="267"/>
      <c r="K122" s="268">
        <f t="shared" si="12"/>
        <v>0</v>
      </c>
      <c r="L122" s="267"/>
      <c r="M122" s="267"/>
      <c r="N122" s="267"/>
      <c r="O122" s="267"/>
      <c r="P122" s="267"/>
      <c r="Q122" s="267"/>
      <c r="R122" s="267"/>
      <c r="S122" s="269"/>
      <c r="T122" s="483"/>
      <c r="U122" s="264"/>
    </row>
    <row r="123" spans="1:21" ht="13.5" thickBot="1">
      <c r="A123" s="521"/>
      <c r="B123" s="516"/>
      <c r="C123" s="516"/>
      <c r="D123" s="524"/>
      <c r="E123" s="519"/>
      <c r="F123" s="551"/>
      <c r="G123" s="502">
        <f>G117+G120</f>
        <v>1848900</v>
      </c>
      <c r="H123" s="265" t="s">
        <v>123</v>
      </c>
      <c r="I123" s="266"/>
      <c r="J123" s="267"/>
      <c r="K123" s="268">
        <f t="shared" si="12"/>
        <v>0</v>
      </c>
      <c r="L123" s="267"/>
      <c r="M123" s="267"/>
      <c r="N123" s="267"/>
      <c r="O123" s="267"/>
      <c r="P123" s="267"/>
      <c r="Q123" s="267"/>
      <c r="R123" s="267"/>
      <c r="S123" s="269"/>
      <c r="T123" s="483"/>
      <c r="U123" s="264"/>
    </row>
    <row r="124" spans="1:22" ht="13.5" thickBot="1">
      <c r="A124" s="521"/>
      <c r="B124" s="516"/>
      <c r="C124" s="516"/>
      <c r="D124" s="524"/>
      <c r="E124" s="519"/>
      <c r="F124" s="551"/>
      <c r="G124" s="504"/>
      <c r="H124" s="265" t="s">
        <v>124</v>
      </c>
      <c r="I124" s="271">
        <f>I116+I118+I120+I122</f>
        <v>0</v>
      </c>
      <c r="J124" s="272">
        <f>J116+J118+J120+J122</f>
        <v>88509</v>
      </c>
      <c r="K124" s="268">
        <f t="shared" si="12"/>
        <v>88509</v>
      </c>
      <c r="L124" s="272">
        <f aca="true" t="shared" si="15" ref="L124:S125">L116+L118+L120+L122</f>
        <v>948939</v>
      </c>
      <c r="M124" s="272">
        <f t="shared" si="15"/>
        <v>568013</v>
      </c>
      <c r="N124" s="272">
        <f t="shared" si="15"/>
        <v>243439</v>
      </c>
      <c r="O124" s="272">
        <f t="shared" si="15"/>
        <v>0</v>
      </c>
      <c r="P124" s="272">
        <f t="shared" si="15"/>
        <v>0</v>
      </c>
      <c r="Q124" s="272">
        <f t="shared" si="15"/>
        <v>0</v>
      </c>
      <c r="R124" s="272">
        <f t="shared" si="15"/>
        <v>0</v>
      </c>
      <c r="S124" s="273">
        <f t="shared" si="15"/>
        <v>0</v>
      </c>
      <c r="T124" s="483"/>
      <c r="U124" s="264"/>
      <c r="V124" s="264"/>
    </row>
    <row r="125" spans="1:21" ht="13.5" thickBot="1">
      <c r="A125" s="522"/>
      <c r="B125" s="517"/>
      <c r="C125" s="517"/>
      <c r="D125" s="525"/>
      <c r="E125" s="519"/>
      <c r="F125" s="552"/>
      <c r="G125" s="472"/>
      <c r="H125" s="274" t="s">
        <v>125</v>
      </c>
      <c r="I125" s="275">
        <f>I117+I119+I121+I123</f>
        <v>0</v>
      </c>
      <c r="J125" s="276">
        <f>J117+J119+J121+J123</f>
        <v>0</v>
      </c>
      <c r="K125" s="277">
        <f t="shared" si="12"/>
        <v>0</v>
      </c>
      <c r="L125" s="276">
        <f t="shared" si="15"/>
        <v>0</v>
      </c>
      <c r="M125" s="276">
        <f t="shared" si="15"/>
        <v>0</v>
      </c>
      <c r="N125" s="276">
        <f t="shared" si="15"/>
        <v>0</v>
      </c>
      <c r="O125" s="276">
        <f t="shared" si="15"/>
        <v>0</v>
      </c>
      <c r="P125" s="276">
        <f t="shared" si="15"/>
        <v>0</v>
      </c>
      <c r="Q125" s="276">
        <f t="shared" si="15"/>
        <v>0</v>
      </c>
      <c r="R125" s="276">
        <f t="shared" si="15"/>
        <v>0</v>
      </c>
      <c r="S125" s="278">
        <f t="shared" si="15"/>
        <v>0</v>
      </c>
      <c r="T125" s="484"/>
      <c r="U125" s="264"/>
    </row>
    <row r="126" spans="1:21" ht="13.5" customHeight="1">
      <c r="A126" s="520">
        <v>13</v>
      </c>
      <c r="B126" s="515">
        <v>710</v>
      </c>
      <c r="C126" s="515">
        <v>71095</v>
      </c>
      <c r="D126" s="499" t="s">
        <v>141</v>
      </c>
      <c r="E126" s="541" t="s">
        <v>137</v>
      </c>
      <c r="F126" s="553">
        <v>2009</v>
      </c>
      <c r="G126" s="259" t="s">
        <v>113</v>
      </c>
      <c r="H126" s="260" t="s">
        <v>114</v>
      </c>
      <c r="I126" s="262">
        <f>8959+541+38040+4840</f>
        <v>52380</v>
      </c>
      <c r="J126" s="262">
        <f>73336+53408</f>
        <v>126744</v>
      </c>
      <c r="K126" s="262">
        <f t="shared" si="12"/>
        <v>179124</v>
      </c>
      <c r="L126" s="262">
        <f>44985+124049</f>
        <v>169034</v>
      </c>
      <c r="M126" s="262"/>
      <c r="N126" s="262"/>
      <c r="O126" s="262"/>
      <c r="P126" s="262"/>
      <c r="Q126" s="262"/>
      <c r="R126" s="262"/>
      <c r="S126" s="263"/>
      <c r="T126" s="482">
        <f>M134+N134+O134+P134+Q134+R134+M135+N135+O135+P135+Q135+S134+S135+R135</f>
        <v>0</v>
      </c>
      <c r="U126" s="264"/>
    </row>
    <row r="127" spans="1:21" ht="12.75">
      <c r="A127" s="521"/>
      <c r="B127" s="516"/>
      <c r="C127" s="516"/>
      <c r="D127" s="500"/>
      <c r="E127" s="542"/>
      <c r="F127" s="551"/>
      <c r="G127" s="502">
        <f>SUM(K134:S134)</f>
        <v>1284969</v>
      </c>
      <c r="H127" s="265" t="s">
        <v>115</v>
      </c>
      <c r="I127" s="266"/>
      <c r="J127" s="267"/>
      <c r="K127" s="268">
        <f t="shared" si="12"/>
        <v>0</v>
      </c>
      <c r="L127" s="267"/>
      <c r="M127" s="267"/>
      <c r="N127" s="267"/>
      <c r="O127" s="267"/>
      <c r="P127" s="267"/>
      <c r="Q127" s="267"/>
      <c r="R127" s="267"/>
      <c r="S127" s="269"/>
      <c r="T127" s="483"/>
      <c r="U127" s="264"/>
    </row>
    <row r="128" spans="1:21" ht="12.75">
      <c r="A128" s="521"/>
      <c r="B128" s="516"/>
      <c r="C128" s="516"/>
      <c r="D128" s="500"/>
      <c r="E128" s="542"/>
      <c r="F128" s="551"/>
      <c r="G128" s="503"/>
      <c r="H128" s="265" t="s">
        <v>116</v>
      </c>
      <c r="I128" s="266"/>
      <c r="J128" s="267"/>
      <c r="K128" s="268">
        <f t="shared" si="12"/>
        <v>0</v>
      </c>
      <c r="L128" s="267"/>
      <c r="M128" s="267"/>
      <c r="N128" s="267"/>
      <c r="O128" s="267"/>
      <c r="P128" s="267"/>
      <c r="Q128" s="267"/>
      <c r="R128" s="267"/>
      <c r="S128" s="269"/>
      <c r="T128" s="483"/>
      <c r="U128" s="264"/>
    </row>
    <row r="129" spans="1:21" ht="12.75">
      <c r="A129" s="521"/>
      <c r="B129" s="516"/>
      <c r="C129" s="516"/>
      <c r="D129" s="500"/>
      <c r="E129" s="542"/>
      <c r="F129" s="551"/>
      <c r="G129" s="270" t="s">
        <v>117</v>
      </c>
      <c r="H129" s="265" t="s">
        <v>118</v>
      </c>
      <c r="I129" s="266"/>
      <c r="J129" s="267"/>
      <c r="K129" s="268">
        <f aca="true" t="shared" si="16" ref="K129:K160">I129+J129</f>
        <v>0</v>
      </c>
      <c r="L129" s="267"/>
      <c r="M129" s="267"/>
      <c r="N129" s="267"/>
      <c r="O129" s="267"/>
      <c r="P129" s="267"/>
      <c r="Q129" s="267"/>
      <c r="R129" s="267"/>
      <c r="S129" s="269"/>
      <c r="T129" s="483"/>
      <c r="U129" s="264"/>
    </row>
    <row r="130" spans="1:21" ht="12.75">
      <c r="A130" s="521"/>
      <c r="B130" s="516"/>
      <c r="C130" s="516"/>
      <c r="D130" s="500"/>
      <c r="E130" s="542"/>
      <c r="F130" s="554"/>
      <c r="G130" s="502">
        <f>SUM(K135:S135)</f>
        <v>0</v>
      </c>
      <c r="H130" s="265" t="s">
        <v>119</v>
      </c>
      <c r="I130" s="267">
        <f>50837+215531</f>
        <v>266368</v>
      </c>
      <c r="J130" s="267">
        <v>415570</v>
      </c>
      <c r="K130" s="268">
        <f t="shared" si="16"/>
        <v>681938</v>
      </c>
      <c r="L130" s="267">
        <v>254873</v>
      </c>
      <c r="M130" s="267"/>
      <c r="N130" s="267"/>
      <c r="O130" s="267"/>
      <c r="P130" s="267"/>
      <c r="Q130" s="267"/>
      <c r="R130" s="267"/>
      <c r="S130" s="269"/>
      <c r="T130" s="483"/>
      <c r="U130" s="264"/>
    </row>
    <row r="131" spans="1:21" ht="12.75">
      <c r="A131" s="521"/>
      <c r="B131" s="516"/>
      <c r="C131" s="516"/>
      <c r="D131" s="500"/>
      <c r="E131" s="542"/>
      <c r="F131" s="550">
        <v>2012</v>
      </c>
      <c r="G131" s="503"/>
      <c r="H131" s="265" t="s">
        <v>120</v>
      </c>
      <c r="I131" s="266"/>
      <c r="J131" s="267"/>
      <c r="K131" s="268">
        <f t="shared" si="16"/>
        <v>0</v>
      </c>
      <c r="L131" s="267"/>
      <c r="M131" s="267"/>
      <c r="N131" s="267"/>
      <c r="O131" s="267"/>
      <c r="P131" s="267"/>
      <c r="Q131" s="267"/>
      <c r="R131" s="267"/>
      <c r="S131" s="269"/>
      <c r="T131" s="483"/>
      <c r="U131" s="264"/>
    </row>
    <row r="132" spans="1:21" ht="12.75">
      <c r="A132" s="521"/>
      <c r="B132" s="516"/>
      <c r="C132" s="516"/>
      <c r="D132" s="500"/>
      <c r="E132" s="542"/>
      <c r="F132" s="551"/>
      <c r="G132" s="270" t="s">
        <v>121</v>
      </c>
      <c r="H132" s="265" t="s">
        <v>122</v>
      </c>
      <c r="I132" s="266"/>
      <c r="J132" s="267"/>
      <c r="K132" s="268">
        <f t="shared" si="16"/>
        <v>0</v>
      </c>
      <c r="L132" s="267"/>
      <c r="M132" s="267"/>
      <c r="N132" s="267"/>
      <c r="O132" s="267"/>
      <c r="P132" s="267"/>
      <c r="Q132" s="267"/>
      <c r="R132" s="267"/>
      <c r="S132" s="269"/>
      <c r="T132" s="483"/>
      <c r="U132" s="264"/>
    </row>
    <row r="133" spans="1:21" ht="12.75">
      <c r="A133" s="521"/>
      <c r="B133" s="516"/>
      <c r="C133" s="516"/>
      <c r="D133" s="500"/>
      <c r="E133" s="542"/>
      <c r="F133" s="551"/>
      <c r="G133" s="502">
        <f>G127+G130</f>
        <v>1284969</v>
      </c>
      <c r="H133" s="265" t="s">
        <v>123</v>
      </c>
      <c r="I133" s="266"/>
      <c r="J133" s="267"/>
      <c r="K133" s="268">
        <f t="shared" si="16"/>
        <v>0</v>
      </c>
      <c r="L133" s="267"/>
      <c r="M133" s="267"/>
      <c r="N133" s="267"/>
      <c r="O133" s="267"/>
      <c r="P133" s="267"/>
      <c r="Q133" s="267"/>
      <c r="R133" s="267"/>
      <c r="S133" s="269"/>
      <c r="T133" s="483"/>
      <c r="U133" s="264"/>
    </row>
    <row r="134" spans="1:21" ht="12.75">
      <c r="A134" s="521"/>
      <c r="B134" s="516"/>
      <c r="C134" s="516"/>
      <c r="D134" s="500"/>
      <c r="E134" s="542"/>
      <c r="F134" s="551"/>
      <c r="G134" s="504"/>
      <c r="H134" s="265" t="s">
        <v>124</v>
      </c>
      <c r="I134" s="271">
        <f>I126+I128+I130+I132</f>
        <v>318748</v>
      </c>
      <c r="J134" s="272">
        <f>J126+J128+J130+J132</f>
        <v>542314</v>
      </c>
      <c r="K134" s="268">
        <f t="shared" si="16"/>
        <v>861062</v>
      </c>
      <c r="L134" s="272">
        <f aca="true" t="shared" si="17" ref="L134:S135">L126+L128+L130+L132</f>
        <v>423907</v>
      </c>
      <c r="M134" s="272">
        <f t="shared" si="17"/>
        <v>0</v>
      </c>
      <c r="N134" s="272">
        <f t="shared" si="17"/>
        <v>0</v>
      </c>
      <c r="O134" s="272">
        <f t="shared" si="17"/>
        <v>0</v>
      </c>
      <c r="P134" s="272">
        <f t="shared" si="17"/>
        <v>0</v>
      </c>
      <c r="Q134" s="272">
        <f t="shared" si="17"/>
        <v>0</v>
      </c>
      <c r="R134" s="272">
        <f t="shared" si="17"/>
        <v>0</v>
      </c>
      <c r="S134" s="273">
        <f t="shared" si="17"/>
        <v>0</v>
      </c>
      <c r="T134" s="483"/>
      <c r="U134" s="264"/>
    </row>
    <row r="135" spans="1:21" ht="13.5" thickBot="1">
      <c r="A135" s="522"/>
      <c r="B135" s="517"/>
      <c r="C135" s="517"/>
      <c r="D135" s="501"/>
      <c r="E135" s="543"/>
      <c r="F135" s="552"/>
      <c r="G135" s="472"/>
      <c r="H135" s="274" t="s">
        <v>125</v>
      </c>
      <c r="I135" s="275">
        <f>I127+I129+I131+I133</f>
        <v>0</v>
      </c>
      <c r="J135" s="276">
        <f>J127+J129+J131+J133</f>
        <v>0</v>
      </c>
      <c r="K135" s="277">
        <f t="shared" si="16"/>
        <v>0</v>
      </c>
      <c r="L135" s="276">
        <f t="shared" si="17"/>
        <v>0</v>
      </c>
      <c r="M135" s="276">
        <f t="shared" si="17"/>
        <v>0</v>
      </c>
      <c r="N135" s="276">
        <f t="shared" si="17"/>
        <v>0</v>
      </c>
      <c r="O135" s="276">
        <f t="shared" si="17"/>
        <v>0</v>
      </c>
      <c r="P135" s="276">
        <f t="shared" si="17"/>
        <v>0</v>
      </c>
      <c r="Q135" s="276">
        <f t="shared" si="17"/>
        <v>0</v>
      </c>
      <c r="R135" s="276">
        <f t="shared" si="17"/>
        <v>0</v>
      </c>
      <c r="S135" s="278">
        <f t="shared" si="17"/>
        <v>0</v>
      </c>
      <c r="T135" s="484"/>
      <c r="U135" s="264"/>
    </row>
    <row r="136" spans="1:21" ht="12.75">
      <c r="A136" s="520">
        <v>14</v>
      </c>
      <c r="B136" s="515">
        <v>710</v>
      </c>
      <c r="C136" s="515">
        <v>71095</v>
      </c>
      <c r="D136" s="499" t="s">
        <v>142</v>
      </c>
      <c r="E136" s="541" t="s">
        <v>143</v>
      </c>
      <c r="F136" s="553">
        <v>2012</v>
      </c>
      <c r="G136" s="259" t="s">
        <v>113</v>
      </c>
      <c r="H136" s="260" t="s">
        <v>114</v>
      </c>
      <c r="I136" s="262"/>
      <c r="J136" s="262"/>
      <c r="K136" s="262">
        <f t="shared" si="16"/>
        <v>0</v>
      </c>
      <c r="L136" s="262">
        <v>15810</v>
      </c>
      <c r="M136" s="262">
        <v>27942</v>
      </c>
      <c r="N136" s="262">
        <v>22154</v>
      </c>
      <c r="O136" s="262"/>
      <c r="P136" s="262"/>
      <c r="Q136" s="262"/>
      <c r="R136" s="262"/>
      <c r="S136" s="263"/>
      <c r="T136" s="482">
        <f>M144+N144+O144+P144+Q144+R144+M145+N145+O145+P145+Q145+S144+S145+R145</f>
        <v>333980</v>
      </c>
      <c r="U136" s="264"/>
    </row>
    <row r="137" spans="1:21" ht="12.75">
      <c r="A137" s="521"/>
      <c r="B137" s="516"/>
      <c r="C137" s="516"/>
      <c r="D137" s="500"/>
      <c r="E137" s="542"/>
      <c r="F137" s="551"/>
      <c r="G137" s="502">
        <f>SUM(K144:S144)</f>
        <v>439369</v>
      </c>
      <c r="H137" s="265" t="s">
        <v>115</v>
      </c>
      <c r="I137" s="266"/>
      <c r="J137" s="267"/>
      <c r="K137" s="268">
        <f t="shared" si="16"/>
        <v>0</v>
      </c>
      <c r="L137" s="267"/>
      <c r="M137" s="267"/>
      <c r="N137" s="267"/>
      <c r="O137" s="267"/>
      <c r="P137" s="267"/>
      <c r="Q137" s="267"/>
      <c r="R137" s="267"/>
      <c r="S137" s="269"/>
      <c r="T137" s="483"/>
      <c r="U137" s="264"/>
    </row>
    <row r="138" spans="1:21" ht="12.75">
      <c r="A138" s="521"/>
      <c r="B138" s="516"/>
      <c r="C138" s="516"/>
      <c r="D138" s="500"/>
      <c r="E138" s="542"/>
      <c r="F138" s="551"/>
      <c r="G138" s="503"/>
      <c r="H138" s="265" t="s">
        <v>116</v>
      </c>
      <c r="I138" s="266"/>
      <c r="J138" s="267"/>
      <c r="K138" s="268">
        <f t="shared" si="16"/>
        <v>0</v>
      </c>
      <c r="L138" s="267"/>
      <c r="M138" s="267"/>
      <c r="N138" s="267"/>
      <c r="O138" s="267"/>
      <c r="P138" s="267"/>
      <c r="Q138" s="267"/>
      <c r="R138" s="267"/>
      <c r="S138" s="269"/>
      <c r="T138" s="483"/>
      <c r="U138" s="264"/>
    </row>
    <row r="139" spans="1:21" ht="12.75">
      <c r="A139" s="521"/>
      <c r="B139" s="516"/>
      <c r="C139" s="516"/>
      <c r="D139" s="500"/>
      <c r="E139" s="542"/>
      <c r="F139" s="551"/>
      <c r="G139" s="270" t="s">
        <v>117</v>
      </c>
      <c r="H139" s="265" t="s">
        <v>118</v>
      </c>
      <c r="I139" s="266"/>
      <c r="J139" s="267"/>
      <c r="K139" s="268">
        <f t="shared" si="16"/>
        <v>0</v>
      </c>
      <c r="L139" s="267"/>
      <c r="M139" s="267"/>
      <c r="N139" s="267"/>
      <c r="O139" s="267"/>
      <c r="P139" s="267"/>
      <c r="Q139" s="267"/>
      <c r="R139" s="267"/>
      <c r="S139" s="269"/>
      <c r="T139" s="483"/>
      <c r="U139" s="264"/>
    </row>
    <row r="140" spans="1:21" ht="12.75">
      <c r="A140" s="521"/>
      <c r="B140" s="516"/>
      <c r="C140" s="516"/>
      <c r="D140" s="500"/>
      <c r="E140" s="542"/>
      <c r="F140" s="554"/>
      <c r="G140" s="502">
        <f>SUM(K145:S145)</f>
        <v>0</v>
      </c>
      <c r="H140" s="265" t="s">
        <v>119</v>
      </c>
      <c r="I140" s="267"/>
      <c r="J140" s="267"/>
      <c r="K140" s="268">
        <f t="shared" si="16"/>
        <v>0</v>
      </c>
      <c r="L140" s="267">
        <v>89579</v>
      </c>
      <c r="M140" s="267">
        <v>158347</v>
      </c>
      <c r="N140" s="267">
        <v>125537</v>
      </c>
      <c r="O140" s="267"/>
      <c r="P140" s="267"/>
      <c r="Q140" s="267"/>
      <c r="R140" s="267"/>
      <c r="S140" s="269"/>
      <c r="T140" s="483"/>
      <c r="U140" s="264"/>
    </row>
    <row r="141" spans="1:21" ht="12.75">
      <c r="A141" s="521"/>
      <c r="B141" s="516"/>
      <c r="C141" s="516"/>
      <c r="D141" s="500"/>
      <c r="E141" s="542"/>
      <c r="F141" s="550">
        <v>2014</v>
      </c>
      <c r="G141" s="503"/>
      <c r="H141" s="265" t="s">
        <v>120</v>
      </c>
      <c r="I141" s="266"/>
      <c r="J141" s="267"/>
      <c r="K141" s="268">
        <f t="shared" si="16"/>
        <v>0</v>
      </c>
      <c r="L141" s="267"/>
      <c r="M141" s="267"/>
      <c r="N141" s="267"/>
      <c r="O141" s="267"/>
      <c r="P141" s="267"/>
      <c r="Q141" s="267"/>
      <c r="R141" s="267"/>
      <c r="S141" s="269"/>
      <c r="T141" s="483"/>
      <c r="U141" s="264"/>
    </row>
    <row r="142" spans="1:21" ht="12.75">
      <c r="A142" s="521"/>
      <c r="B142" s="516"/>
      <c r="C142" s="516"/>
      <c r="D142" s="500"/>
      <c r="E142" s="542"/>
      <c r="F142" s="551"/>
      <c r="G142" s="270" t="s">
        <v>121</v>
      </c>
      <c r="H142" s="265" t="s">
        <v>122</v>
      </c>
      <c r="I142" s="266"/>
      <c r="J142" s="267"/>
      <c r="K142" s="268">
        <f t="shared" si="16"/>
        <v>0</v>
      </c>
      <c r="L142" s="267"/>
      <c r="M142" s="267"/>
      <c r="N142" s="267"/>
      <c r="O142" s="267"/>
      <c r="P142" s="267"/>
      <c r="Q142" s="267"/>
      <c r="R142" s="267"/>
      <c r="S142" s="269"/>
      <c r="T142" s="483"/>
      <c r="U142" s="264"/>
    </row>
    <row r="143" spans="1:21" ht="12.75">
      <c r="A143" s="521"/>
      <c r="B143" s="516"/>
      <c r="C143" s="516"/>
      <c r="D143" s="500"/>
      <c r="E143" s="542"/>
      <c r="F143" s="551"/>
      <c r="G143" s="502">
        <f>G137+G140</f>
        <v>439369</v>
      </c>
      <c r="H143" s="265" t="s">
        <v>123</v>
      </c>
      <c r="I143" s="266"/>
      <c r="J143" s="267"/>
      <c r="K143" s="268">
        <f t="shared" si="16"/>
        <v>0</v>
      </c>
      <c r="L143" s="267"/>
      <c r="M143" s="267"/>
      <c r="N143" s="267"/>
      <c r="O143" s="267"/>
      <c r="P143" s="267"/>
      <c r="Q143" s="267"/>
      <c r="R143" s="267"/>
      <c r="S143" s="269"/>
      <c r="T143" s="483"/>
      <c r="U143" s="264"/>
    </row>
    <row r="144" spans="1:21" ht="12.75">
      <c r="A144" s="521"/>
      <c r="B144" s="516"/>
      <c r="C144" s="516"/>
      <c r="D144" s="500"/>
      <c r="E144" s="542"/>
      <c r="F144" s="551"/>
      <c r="G144" s="504"/>
      <c r="H144" s="265" t="s">
        <v>124</v>
      </c>
      <c r="I144" s="271">
        <f>I136+I138+I140+I142</f>
        <v>0</v>
      </c>
      <c r="J144" s="272">
        <f>J136+J138+J140+J142</f>
        <v>0</v>
      </c>
      <c r="K144" s="268">
        <f t="shared" si="16"/>
        <v>0</v>
      </c>
      <c r="L144" s="272">
        <f aca="true" t="shared" si="18" ref="L144:S145">L136+L138+L140+L142</f>
        <v>105389</v>
      </c>
      <c r="M144" s="272">
        <f t="shared" si="18"/>
        <v>186289</v>
      </c>
      <c r="N144" s="272">
        <f t="shared" si="18"/>
        <v>147691</v>
      </c>
      <c r="O144" s="272">
        <f t="shared" si="18"/>
        <v>0</v>
      </c>
      <c r="P144" s="272">
        <f t="shared" si="18"/>
        <v>0</v>
      </c>
      <c r="Q144" s="272">
        <f t="shared" si="18"/>
        <v>0</v>
      </c>
      <c r="R144" s="272">
        <f t="shared" si="18"/>
        <v>0</v>
      </c>
      <c r="S144" s="273">
        <f t="shared" si="18"/>
        <v>0</v>
      </c>
      <c r="T144" s="483"/>
      <c r="U144" s="264"/>
    </row>
    <row r="145" spans="1:21" ht="13.5" thickBot="1">
      <c r="A145" s="522"/>
      <c r="B145" s="517"/>
      <c r="C145" s="517"/>
      <c r="D145" s="501"/>
      <c r="E145" s="543"/>
      <c r="F145" s="552"/>
      <c r="G145" s="472"/>
      <c r="H145" s="274" t="s">
        <v>125</v>
      </c>
      <c r="I145" s="275">
        <f>I137+I139+I141+I143</f>
        <v>0</v>
      </c>
      <c r="J145" s="276">
        <f>J137+J139+J141+J143</f>
        <v>0</v>
      </c>
      <c r="K145" s="277">
        <f t="shared" si="16"/>
        <v>0</v>
      </c>
      <c r="L145" s="276">
        <f t="shared" si="18"/>
        <v>0</v>
      </c>
      <c r="M145" s="276">
        <f t="shared" si="18"/>
        <v>0</v>
      </c>
      <c r="N145" s="276">
        <f t="shared" si="18"/>
        <v>0</v>
      </c>
      <c r="O145" s="276">
        <f t="shared" si="18"/>
        <v>0</v>
      </c>
      <c r="P145" s="276">
        <f t="shared" si="18"/>
        <v>0</v>
      </c>
      <c r="Q145" s="276">
        <f t="shared" si="18"/>
        <v>0</v>
      </c>
      <c r="R145" s="276">
        <f t="shared" si="18"/>
        <v>0</v>
      </c>
      <c r="S145" s="278">
        <f t="shared" si="18"/>
        <v>0</v>
      </c>
      <c r="T145" s="484"/>
      <c r="U145" s="264"/>
    </row>
    <row r="146" spans="1:21" ht="12.75" customHeight="1" thickBot="1">
      <c r="A146" s="520">
        <f>A136+1</f>
        <v>15</v>
      </c>
      <c r="B146" s="528">
        <v>750</v>
      </c>
      <c r="C146" s="528">
        <v>75023</v>
      </c>
      <c r="D146" s="544" t="s">
        <v>144</v>
      </c>
      <c r="E146" s="519" t="s">
        <v>145</v>
      </c>
      <c r="F146" s="513">
        <v>2010</v>
      </c>
      <c r="G146" s="259" t="s">
        <v>113</v>
      </c>
      <c r="H146" s="260" t="s">
        <v>114</v>
      </c>
      <c r="I146" s="279">
        <v>43843</v>
      </c>
      <c r="J146" s="262">
        <v>247433</v>
      </c>
      <c r="K146" s="262">
        <f t="shared" si="16"/>
        <v>291276</v>
      </c>
      <c r="L146" s="262">
        <v>1859033</v>
      </c>
      <c r="M146" s="262">
        <v>182447</v>
      </c>
      <c r="N146" s="262"/>
      <c r="O146" s="262"/>
      <c r="P146" s="262"/>
      <c r="Q146" s="262"/>
      <c r="R146" s="262"/>
      <c r="S146" s="263"/>
      <c r="T146" s="482">
        <f>M154+N154+O154+P154+Q154+R154+M155+N155+O155+P155+Q155+S154+S155+R155</f>
        <v>3893290</v>
      </c>
      <c r="U146" s="264"/>
    </row>
    <row r="147" spans="1:21" ht="13.5" thickBot="1">
      <c r="A147" s="521"/>
      <c r="B147" s="529"/>
      <c r="C147" s="529"/>
      <c r="D147" s="545"/>
      <c r="E147" s="519"/>
      <c r="F147" s="514"/>
      <c r="G147" s="502">
        <f>SUM(K154:S154)</f>
        <v>9330973</v>
      </c>
      <c r="H147" s="265" t="s">
        <v>115</v>
      </c>
      <c r="I147" s="280"/>
      <c r="J147" s="267">
        <f>246900+90203+21125</f>
        <v>358228</v>
      </c>
      <c r="K147" s="268">
        <f t="shared" si="16"/>
        <v>358228</v>
      </c>
      <c r="L147" s="267">
        <v>1813752</v>
      </c>
      <c r="M147" s="267">
        <v>790802</v>
      </c>
      <c r="N147" s="267"/>
      <c r="O147" s="267"/>
      <c r="P147" s="267"/>
      <c r="Q147" s="267"/>
      <c r="R147" s="267"/>
      <c r="S147" s="269"/>
      <c r="T147" s="483"/>
      <c r="U147" s="264"/>
    </row>
    <row r="148" spans="1:21" ht="13.5" thickBot="1">
      <c r="A148" s="521"/>
      <c r="B148" s="529"/>
      <c r="C148" s="529"/>
      <c r="D148" s="545"/>
      <c r="E148" s="519"/>
      <c r="F148" s="514"/>
      <c r="G148" s="503"/>
      <c r="H148" s="265" t="s">
        <v>116</v>
      </c>
      <c r="I148" s="280"/>
      <c r="J148" s="267"/>
      <c r="K148" s="268">
        <f t="shared" si="16"/>
        <v>0</v>
      </c>
      <c r="L148" s="267"/>
      <c r="M148" s="267"/>
      <c r="N148" s="267"/>
      <c r="O148" s="267"/>
      <c r="P148" s="267"/>
      <c r="Q148" s="267"/>
      <c r="R148" s="267"/>
      <c r="S148" s="269"/>
      <c r="T148" s="483"/>
      <c r="U148" s="264"/>
    </row>
    <row r="149" spans="1:21" ht="13.5" thickBot="1">
      <c r="A149" s="521"/>
      <c r="B149" s="529"/>
      <c r="C149" s="529"/>
      <c r="D149" s="545"/>
      <c r="E149" s="519"/>
      <c r="F149" s="514"/>
      <c r="G149" s="270" t="s">
        <v>117</v>
      </c>
      <c r="H149" s="265" t="s">
        <v>118</v>
      </c>
      <c r="I149" s="280"/>
      <c r="J149" s="267"/>
      <c r="K149" s="268">
        <f t="shared" si="16"/>
        <v>0</v>
      </c>
      <c r="L149" s="267"/>
      <c r="M149" s="267"/>
      <c r="N149" s="267"/>
      <c r="O149" s="267"/>
      <c r="P149" s="267"/>
      <c r="Q149" s="267"/>
      <c r="R149" s="267"/>
      <c r="S149" s="269"/>
      <c r="T149" s="483"/>
      <c r="U149" s="264"/>
    </row>
    <row r="150" spans="1:21" ht="13.5" thickBot="1">
      <c r="A150" s="521"/>
      <c r="B150" s="529"/>
      <c r="C150" s="529"/>
      <c r="D150" s="545"/>
      <c r="E150" s="519"/>
      <c r="F150" s="514"/>
      <c r="G150" s="502">
        <f>SUM(K155:S155)</f>
        <v>11851122</v>
      </c>
      <c r="H150" s="265" t="s">
        <v>119</v>
      </c>
      <c r="I150" s="280">
        <v>131525</v>
      </c>
      <c r="J150" s="267">
        <v>742296</v>
      </c>
      <c r="K150" s="268">
        <f t="shared" si="16"/>
        <v>873821</v>
      </c>
      <c r="L150" s="267">
        <v>5576760</v>
      </c>
      <c r="M150" s="267">
        <v>547636</v>
      </c>
      <c r="N150" s="267"/>
      <c r="O150" s="267"/>
      <c r="P150" s="267"/>
      <c r="Q150" s="267"/>
      <c r="R150" s="267"/>
      <c r="S150" s="269"/>
      <c r="T150" s="483"/>
      <c r="U150" s="264"/>
    </row>
    <row r="151" spans="1:22" ht="13.5" thickBot="1">
      <c r="A151" s="521"/>
      <c r="B151" s="529">
        <v>801</v>
      </c>
      <c r="C151" s="529">
        <v>80195</v>
      </c>
      <c r="D151" s="545"/>
      <c r="E151" s="519"/>
      <c r="F151" s="514">
        <v>2013</v>
      </c>
      <c r="G151" s="503"/>
      <c r="H151" s="265" t="s">
        <v>120</v>
      </c>
      <c r="I151" s="280"/>
      <c r="J151" s="267">
        <v>1074684</v>
      </c>
      <c r="K151" s="268">
        <f t="shared" si="16"/>
        <v>1074684</v>
      </c>
      <c r="L151" s="267">
        <v>5441251</v>
      </c>
      <c r="M151" s="267">
        <v>2372405</v>
      </c>
      <c r="N151" s="267"/>
      <c r="O151" s="267"/>
      <c r="P151" s="267"/>
      <c r="Q151" s="267"/>
      <c r="R151" s="267"/>
      <c r="S151" s="269"/>
      <c r="T151" s="483"/>
      <c r="U151" s="264"/>
      <c r="V151" s="264"/>
    </row>
    <row r="152" spans="1:21" ht="13.5" thickBot="1">
      <c r="A152" s="521"/>
      <c r="B152" s="529"/>
      <c r="C152" s="529"/>
      <c r="D152" s="545"/>
      <c r="E152" s="519"/>
      <c r="F152" s="514"/>
      <c r="G152" s="270" t="s">
        <v>121</v>
      </c>
      <c r="H152" s="265" t="s">
        <v>122</v>
      </c>
      <c r="I152" s="280"/>
      <c r="J152" s="267"/>
      <c r="K152" s="268">
        <f t="shared" si="16"/>
        <v>0</v>
      </c>
      <c r="L152" s="267"/>
      <c r="M152" s="267"/>
      <c r="N152" s="267"/>
      <c r="O152" s="267"/>
      <c r="P152" s="267"/>
      <c r="Q152" s="267"/>
      <c r="R152" s="267"/>
      <c r="S152" s="269"/>
      <c r="T152" s="483"/>
      <c r="U152" s="264"/>
    </row>
    <row r="153" spans="1:21" ht="13.5" thickBot="1">
      <c r="A153" s="521"/>
      <c r="B153" s="529"/>
      <c r="C153" s="529"/>
      <c r="D153" s="545"/>
      <c r="E153" s="519"/>
      <c r="F153" s="514"/>
      <c r="G153" s="502">
        <f>G147+G150</f>
        <v>21182095</v>
      </c>
      <c r="H153" s="265" t="s">
        <v>123</v>
      </c>
      <c r="I153" s="280"/>
      <c r="J153" s="267"/>
      <c r="K153" s="268">
        <f t="shared" si="16"/>
        <v>0</v>
      </c>
      <c r="L153" s="267"/>
      <c r="M153" s="267"/>
      <c r="N153" s="267"/>
      <c r="O153" s="267"/>
      <c r="P153" s="267"/>
      <c r="Q153" s="267"/>
      <c r="R153" s="267"/>
      <c r="S153" s="269"/>
      <c r="T153" s="483"/>
      <c r="U153" s="264"/>
    </row>
    <row r="154" spans="1:21" ht="13.5" thickBot="1">
      <c r="A154" s="521"/>
      <c r="B154" s="529"/>
      <c r="C154" s="529"/>
      <c r="D154" s="545"/>
      <c r="E154" s="519"/>
      <c r="F154" s="514"/>
      <c r="G154" s="504"/>
      <c r="H154" s="265" t="s">
        <v>124</v>
      </c>
      <c r="I154" s="281">
        <f>I146+I148+I150+I152</f>
        <v>175368</v>
      </c>
      <c r="J154" s="272">
        <f>J146+J148+J150+J152</f>
        <v>989729</v>
      </c>
      <c r="K154" s="268">
        <f t="shared" si="16"/>
        <v>1165097</v>
      </c>
      <c r="L154" s="272">
        <f aca="true" t="shared" si="19" ref="L154:S155">L146+L148+L150+L152</f>
        <v>7435793</v>
      </c>
      <c r="M154" s="272">
        <f t="shared" si="19"/>
        <v>730083</v>
      </c>
      <c r="N154" s="272">
        <f t="shared" si="19"/>
        <v>0</v>
      </c>
      <c r="O154" s="272">
        <f t="shared" si="19"/>
        <v>0</v>
      </c>
      <c r="P154" s="272">
        <f t="shared" si="19"/>
        <v>0</v>
      </c>
      <c r="Q154" s="272">
        <f t="shared" si="19"/>
        <v>0</v>
      </c>
      <c r="R154" s="272">
        <f t="shared" si="19"/>
        <v>0</v>
      </c>
      <c r="S154" s="273">
        <f t="shared" si="19"/>
        <v>0</v>
      </c>
      <c r="T154" s="483"/>
      <c r="U154" s="264"/>
    </row>
    <row r="155" spans="1:21" ht="13.5" thickBot="1">
      <c r="A155" s="522"/>
      <c r="B155" s="530"/>
      <c r="C155" s="530"/>
      <c r="D155" s="546"/>
      <c r="E155" s="519"/>
      <c r="F155" s="518"/>
      <c r="G155" s="472"/>
      <c r="H155" s="274" t="s">
        <v>125</v>
      </c>
      <c r="I155" s="282">
        <f>I147+I149+I151+I153</f>
        <v>0</v>
      </c>
      <c r="J155" s="276">
        <f>J147+J149+J151+J153</f>
        <v>1432912</v>
      </c>
      <c r="K155" s="277">
        <f t="shared" si="16"/>
        <v>1432912</v>
      </c>
      <c r="L155" s="276">
        <f t="shared" si="19"/>
        <v>7255003</v>
      </c>
      <c r="M155" s="276">
        <f t="shared" si="19"/>
        <v>3163207</v>
      </c>
      <c r="N155" s="276">
        <f t="shared" si="19"/>
        <v>0</v>
      </c>
      <c r="O155" s="276">
        <f t="shared" si="19"/>
        <v>0</v>
      </c>
      <c r="P155" s="276">
        <f t="shared" si="19"/>
        <v>0</v>
      </c>
      <c r="Q155" s="276">
        <f t="shared" si="19"/>
        <v>0</v>
      </c>
      <c r="R155" s="276">
        <f t="shared" si="19"/>
        <v>0</v>
      </c>
      <c r="S155" s="278">
        <f t="shared" si="19"/>
        <v>0</v>
      </c>
      <c r="T155" s="484"/>
      <c r="U155" s="264"/>
    </row>
    <row r="156" spans="1:21" ht="12.75" customHeight="1">
      <c r="A156" s="520">
        <f>A146+1</f>
        <v>16</v>
      </c>
      <c r="B156" s="515">
        <v>801</v>
      </c>
      <c r="C156" s="515">
        <v>80110</v>
      </c>
      <c r="D156" s="544" t="s">
        <v>146</v>
      </c>
      <c r="E156" s="510" t="s">
        <v>147</v>
      </c>
      <c r="F156" s="513">
        <v>2010</v>
      </c>
      <c r="G156" s="291" t="s">
        <v>113</v>
      </c>
      <c r="H156" s="260" t="s">
        <v>114</v>
      </c>
      <c r="I156" s="261"/>
      <c r="J156" s="262"/>
      <c r="K156" s="262">
        <f t="shared" si="16"/>
        <v>0</v>
      </c>
      <c r="L156" s="262"/>
      <c r="M156" s="262"/>
      <c r="N156" s="262"/>
      <c r="O156" s="262"/>
      <c r="P156" s="262"/>
      <c r="Q156" s="262"/>
      <c r="R156" s="262"/>
      <c r="S156" s="263"/>
      <c r="T156" s="482">
        <f>M164+N164+O164+P164+Q164+R164+M165+N165+O165+P165+Q165+S164+S165+R165</f>
        <v>0</v>
      </c>
      <c r="U156" s="264"/>
    </row>
    <row r="157" spans="1:21" ht="12.75">
      <c r="A157" s="521"/>
      <c r="B157" s="516"/>
      <c r="C157" s="516"/>
      <c r="D157" s="545"/>
      <c r="E157" s="511"/>
      <c r="F157" s="514"/>
      <c r="G157" s="555">
        <f>SUM(K164:S164)</f>
        <v>78544</v>
      </c>
      <c r="H157" s="265" t="s">
        <v>115</v>
      </c>
      <c r="I157" s="266"/>
      <c r="J157" s="267"/>
      <c r="K157" s="268">
        <f t="shared" si="16"/>
        <v>0</v>
      </c>
      <c r="L157" s="267"/>
      <c r="M157" s="267"/>
      <c r="N157" s="267"/>
      <c r="O157" s="267"/>
      <c r="P157" s="267"/>
      <c r="Q157" s="267"/>
      <c r="R157" s="267"/>
      <c r="S157" s="269"/>
      <c r="T157" s="483"/>
      <c r="U157" s="264"/>
    </row>
    <row r="158" spans="1:21" ht="12.75">
      <c r="A158" s="521"/>
      <c r="B158" s="516"/>
      <c r="C158" s="516"/>
      <c r="D158" s="545"/>
      <c r="E158" s="511"/>
      <c r="F158" s="514"/>
      <c r="G158" s="556"/>
      <c r="H158" s="265" t="s">
        <v>116</v>
      </c>
      <c r="I158" s="266"/>
      <c r="J158" s="267"/>
      <c r="K158" s="268">
        <f t="shared" si="16"/>
        <v>0</v>
      </c>
      <c r="L158" s="267"/>
      <c r="M158" s="267"/>
      <c r="N158" s="267"/>
      <c r="O158" s="267"/>
      <c r="P158" s="267"/>
      <c r="Q158" s="267"/>
      <c r="R158" s="267"/>
      <c r="S158" s="269"/>
      <c r="T158" s="483"/>
      <c r="U158" s="264"/>
    </row>
    <row r="159" spans="1:21" ht="12.75">
      <c r="A159" s="521"/>
      <c r="B159" s="516"/>
      <c r="C159" s="516"/>
      <c r="D159" s="545"/>
      <c r="E159" s="511"/>
      <c r="F159" s="514"/>
      <c r="G159" s="292" t="s">
        <v>117</v>
      </c>
      <c r="H159" s="265" t="s">
        <v>118</v>
      </c>
      <c r="I159" s="266"/>
      <c r="J159" s="267"/>
      <c r="K159" s="268">
        <f t="shared" si="16"/>
        <v>0</v>
      </c>
      <c r="L159" s="267"/>
      <c r="M159" s="267"/>
      <c r="N159" s="267"/>
      <c r="O159" s="267"/>
      <c r="P159" s="267"/>
      <c r="Q159" s="267"/>
      <c r="R159" s="267"/>
      <c r="S159" s="269"/>
      <c r="T159" s="483"/>
      <c r="U159" s="264"/>
    </row>
    <row r="160" spans="1:21" ht="12.75">
      <c r="A160" s="521"/>
      <c r="B160" s="516"/>
      <c r="C160" s="516"/>
      <c r="D160" s="545"/>
      <c r="E160" s="511"/>
      <c r="F160" s="514"/>
      <c r="G160" s="555">
        <f>SUM(K165:S165)</f>
        <v>0</v>
      </c>
      <c r="H160" s="265" t="s">
        <v>119</v>
      </c>
      <c r="I160" s="266">
        <f>24550-1559</f>
        <v>22991</v>
      </c>
      <c r="J160" s="285">
        <v>30964</v>
      </c>
      <c r="K160" s="268">
        <f t="shared" si="16"/>
        <v>53955</v>
      </c>
      <c r="L160" s="267">
        <f>15532+9057</f>
        <v>24589</v>
      </c>
      <c r="M160" s="267"/>
      <c r="N160" s="267"/>
      <c r="O160" s="267"/>
      <c r="P160" s="267"/>
      <c r="Q160" s="267"/>
      <c r="R160" s="267"/>
      <c r="S160" s="269"/>
      <c r="T160" s="483"/>
      <c r="U160" s="264"/>
    </row>
    <row r="161" spans="1:21" ht="12.75">
      <c r="A161" s="521"/>
      <c r="B161" s="516"/>
      <c r="C161" s="516"/>
      <c r="D161" s="545"/>
      <c r="E161" s="511"/>
      <c r="F161" s="514">
        <v>2012</v>
      </c>
      <c r="G161" s="556"/>
      <c r="H161" s="265" t="s">
        <v>120</v>
      </c>
      <c r="I161" s="266"/>
      <c r="J161" s="267"/>
      <c r="K161" s="268">
        <f aca="true" t="shared" si="20" ref="K161:K192">I161+J161</f>
        <v>0</v>
      </c>
      <c r="L161" s="267"/>
      <c r="M161" s="267"/>
      <c r="N161" s="267"/>
      <c r="O161" s="267"/>
      <c r="P161" s="267"/>
      <c r="Q161" s="267"/>
      <c r="R161" s="267"/>
      <c r="S161" s="269"/>
      <c r="T161" s="483"/>
      <c r="U161" s="264"/>
    </row>
    <row r="162" spans="1:21" ht="12.75">
      <c r="A162" s="521"/>
      <c r="B162" s="516"/>
      <c r="C162" s="516"/>
      <c r="D162" s="545"/>
      <c r="E162" s="511"/>
      <c r="F162" s="514"/>
      <c r="G162" s="292" t="s">
        <v>121</v>
      </c>
      <c r="H162" s="265" t="s">
        <v>122</v>
      </c>
      <c r="I162" s="266"/>
      <c r="J162" s="267"/>
      <c r="K162" s="268">
        <f t="shared" si="20"/>
        <v>0</v>
      </c>
      <c r="L162" s="267"/>
      <c r="M162" s="267"/>
      <c r="N162" s="267"/>
      <c r="O162" s="267"/>
      <c r="P162" s="267"/>
      <c r="Q162" s="267"/>
      <c r="R162" s="267"/>
      <c r="S162" s="269"/>
      <c r="T162" s="483"/>
      <c r="U162" s="264"/>
    </row>
    <row r="163" spans="1:21" ht="12.75">
      <c r="A163" s="521"/>
      <c r="B163" s="516"/>
      <c r="C163" s="516"/>
      <c r="D163" s="545"/>
      <c r="E163" s="511"/>
      <c r="F163" s="514"/>
      <c r="G163" s="555">
        <f>G157+G160</f>
        <v>78544</v>
      </c>
      <c r="H163" s="265" t="s">
        <v>123</v>
      </c>
      <c r="I163" s="266"/>
      <c r="J163" s="267"/>
      <c r="K163" s="268">
        <f t="shared" si="20"/>
        <v>0</v>
      </c>
      <c r="L163" s="267"/>
      <c r="M163" s="267"/>
      <c r="N163" s="267"/>
      <c r="O163" s="267"/>
      <c r="P163" s="267"/>
      <c r="Q163" s="267"/>
      <c r="R163" s="267"/>
      <c r="S163" s="269"/>
      <c r="T163" s="483"/>
      <c r="U163" s="264"/>
    </row>
    <row r="164" spans="1:21" ht="12.75">
      <c r="A164" s="521"/>
      <c r="B164" s="516"/>
      <c r="C164" s="516"/>
      <c r="D164" s="545"/>
      <c r="E164" s="511"/>
      <c r="F164" s="514"/>
      <c r="G164" s="557"/>
      <c r="H164" s="265" t="s">
        <v>124</v>
      </c>
      <c r="I164" s="271">
        <f>I156+I158+I160+I162</f>
        <v>22991</v>
      </c>
      <c r="J164" s="272">
        <f>J156+J158+J160+J162</f>
        <v>30964</v>
      </c>
      <c r="K164" s="268">
        <f t="shared" si="20"/>
        <v>53955</v>
      </c>
      <c r="L164" s="272">
        <f aca="true" t="shared" si="21" ref="L164:S165">L156+L158+L160+L162</f>
        <v>24589</v>
      </c>
      <c r="M164" s="272">
        <f t="shared" si="21"/>
        <v>0</v>
      </c>
      <c r="N164" s="272">
        <f t="shared" si="21"/>
        <v>0</v>
      </c>
      <c r="O164" s="272">
        <f t="shared" si="21"/>
        <v>0</v>
      </c>
      <c r="P164" s="272">
        <f t="shared" si="21"/>
        <v>0</v>
      </c>
      <c r="Q164" s="272">
        <f t="shared" si="21"/>
        <v>0</v>
      </c>
      <c r="R164" s="272">
        <f t="shared" si="21"/>
        <v>0</v>
      </c>
      <c r="S164" s="273">
        <f t="shared" si="21"/>
        <v>0</v>
      </c>
      <c r="T164" s="483"/>
      <c r="U164" s="264"/>
    </row>
    <row r="165" spans="1:21" ht="13.5" thickBot="1">
      <c r="A165" s="522"/>
      <c r="B165" s="517"/>
      <c r="C165" s="517"/>
      <c r="D165" s="546"/>
      <c r="E165" s="512"/>
      <c r="F165" s="518"/>
      <c r="G165" s="558"/>
      <c r="H165" s="274" t="s">
        <v>125</v>
      </c>
      <c r="I165" s="275">
        <f>I157+I159+I161+I163</f>
        <v>0</v>
      </c>
      <c r="J165" s="276">
        <f>J157+J159+J161+J163</f>
        <v>0</v>
      </c>
      <c r="K165" s="277">
        <f t="shared" si="20"/>
        <v>0</v>
      </c>
      <c r="L165" s="276">
        <f t="shared" si="21"/>
        <v>0</v>
      </c>
      <c r="M165" s="276">
        <f t="shared" si="21"/>
        <v>0</v>
      </c>
      <c r="N165" s="276">
        <f t="shared" si="21"/>
        <v>0</v>
      </c>
      <c r="O165" s="276">
        <f t="shared" si="21"/>
        <v>0</v>
      </c>
      <c r="P165" s="276">
        <f t="shared" si="21"/>
        <v>0</v>
      </c>
      <c r="Q165" s="276">
        <f t="shared" si="21"/>
        <v>0</v>
      </c>
      <c r="R165" s="276">
        <f t="shared" si="21"/>
        <v>0</v>
      </c>
      <c r="S165" s="278">
        <f t="shared" si="21"/>
        <v>0</v>
      </c>
      <c r="T165" s="484"/>
      <c r="U165" s="264"/>
    </row>
    <row r="166" spans="1:21" ht="12.75">
      <c r="A166" s="520">
        <f>A156+1</f>
        <v>17</v>
      </c>
      <c r="B166" s="515">
        <v>801</v>
      </c>
      <c r="C166" s="515">
        <v>80110</v>
      </c>
      <c r="D166" s="523" t="s">
        <v>146</v>
      </c>
      <c r="E166" s="510" t="s">
        <v>148</v>
      </c>
      <c r="F166" s="513">
        <v>2010</v>
      </c>
      <c r="G166" s="259" t="s">
        <v>113</v>
      </c>
      <c r="H166" s="260" t="s">
        <v>114</v>
      </c>
      <c r="I166" s="261"/>
      <c r="J166" s="262"/>
      <c r="K166" s="262">
        <f t="shared" si="20"/>
        <v>0</v>
      </c>
      <c r="L166" s="262"/>
      <c r="M166" s="262"/>
      <c r="N166" s="262"/>
      <c r="O166" s="262"/>
      <c r="P166" s="262"/>
      <c r="Q166" s="262"/>
      <c r="R166" s="262"/>
      <c r="S166" s="263"/>
      <c r="T166" s="482">
        <f>M174+N174+O174+P174+Q174+R174+M175+N175+O175+P175+Q175+S174+S175+R175</f>
        <v>0</v>
      </c>
      <c r="U166" s="264"/>
    </row>
    <row r="167" spans="1:21" ht="12.75">
      <c r="A167" s="521"/>
      <c r="B167" s="516"/>
      <c r="C167" s="516"/>
      <c r="D167" s="524"/>
      <c r="E167" s="511"/>
      <c r="F167" s="514"/>
      <c r="G167" s="502">
        <f>SUM(K174:S174)</f>
        <v>77210.2</v>
      </c>
      <c r="H167" s="265" t="s">
        <v>115</v>
      </c>
      <c r="I167" s="266"/>
      <c r="J167" s="267"/>
      <c r="K167" s="268">
        <f t="shared" si="20"/>
        <v>0</v>
      </c>
      <c r="L167" s="267"/>
      <c r="M167" s="267"/>
      <c r="N167" s="267"/>
      <c r="O167" s="267"/>
      <c r="P167" s="267"/>
      <c r="Q167" s="267"/>
      <c r="R167" s="267"/>
      <c r="S167" s="269"/>
      <c r="T167" s="483"/>
      <c r="U167" s="264"/>
    </row>
    <row r="168" spans="1:21" ht="12.75">
      <c r="A168" s="521"/>
      <c r="B168" s="516"/>
      <c r="C168" s="516"/>
      <c r="D168" s="524"/>
      <c r="E168" s="511"/>
      <c r="F168" s="514"/>
      <c r="G168" s="503"/>
      <c r="H168" s="265" t="s">
        <v>116</v>
      </c>
      <c r="I168" s="266"/>
      <c r="J168" s="267"/>
      <c r="K168" s="268">
        <f t="shared" si="20"/>
        <v>0</v>
      </c>
      <c r="L168" s="267"/>
      <c r="M168" s="267"/>
      <c r="N168" s="267"/>
      <c r="O168" s="267"/>
      <c r="P168" s="267"/>
      <c r="Q168" s="267"/>
      <c r="R168" s="267"/>
      <c r="S168" s="269"/>
      <c r="T168" s="483"/>
      <c r="U168" s="264"/>
    </row>
    <row r="169" spans="1:21" ht="12.75">
      <c r="A169" s="521"/>
      <c r="B169" s="516"/>
      <c r="C169" s="516"/>
      <c r="D169" s="524"/>
      <c r="E169" s="511"/>
      <c r="F169" s="514"/>
      <c r="G169" s="270" t="s">
        <v>117</v>
      </c>
      <c r="H169" s="265" t="s">
        <v>118</v>
      </c>
      <c r="I169" s="266"/>
      <c r="J169" s="267"/>
      <c r="K169" s="268">
        <f t="shared" si="20"/>
        <v>0</v>
      </c>
      <c r="L169" s="267"/>
      <c r="M169" s="267"/>
      <c r="N169" s="267"/>
      <c r="O169" s="267"/>
      <c r="P169" s="267"/>
      <c r="Q169" s="267"/>
      <c r="R169" s="267"/>
      <c r="S169" s="269"/>
      <c r="T169" s="483"/>
      <c r="U169" s="264"/>
    </row>
    <row r="170" spans="1:21" ht="12.75">
      <c r="A170" s="521"/>
      <c r="B170" s="516"/>
      <c r="C170" s="516"/>
      <c r="D170" s="524"/>
      <c r="E170" s="511"/>
      <c r="F170" s="514"/>
      <c r="G170" s="502">
        <f>SUM(J175:S175)</f>
        <v>0</v>
      </c>
      <c r="H170" s="265" t="s">
        <v>119</v>
      </c>
      <c r="I170" s="266">
        <f>61771.2-47969</f>
        <v>13802.199999999997</v>
      </c>
      <c r="J170" s="267">
        <v>47965</v>
      </c>
      <c r="K170" s="268">
        <f t="shared" si="20"/>
        <v>61767.2</v>
      </c>
      <c r="L170" s="267">
        <v>15443</v>
      </c>
      <c r="M170" s="267"/>
      <c r="N170" s="267"/>
      <c r="O170" s="267"/>
      <c r="P170" s="267"/>
      <c r="Q170" s="267"/>
      <c r="R170" s="267"/>
      <c r="S170" s="269"/>
      <c r="T170" s="483"/>
      <c r="U170" s="264"/>
    </row>
    <row r="171" spans="1:21" ht="12.75">
      <c r="A171" s="521"/>
      <c r="B171" s="516"/>
      <c r="C171" s="516"/>
      <c r="D171" s="524"/>
      <c r="E171" s="511"/>
      <c r="F171" s="514">
        <v>2012</v>
      </c>
      <c r="G171" s="503"/>
      <c r="H171" s="265" t="s">
        <v>120</v>
      </c>
      <c r="I171" s="266"/>
      <c r="J171" s="267"/>
      <c r="K171" s="268">
        <f t="shared" si="20"/>
        <v>0</v>
      </c>
      <c r="L171" s="267"/>
      <c r="M171" s="267"/>
      <c r="N171" s="267"/>
      <c r="O171" s="267"/>
      <c r="P171" s="267"/>
      <c r="Q171" s="267"/>
      <c r="R171" s="267"/>
      <c r="S171" s="269"/>
      <c r="T171" s="483"/>
      <c r="U171" s="264"/>
    </row>
    <row r="172" spans="1:21" ht="12.75">
      <c r="A172" s="521"/>
      <c r="B172" s="516"/>
      <c r="C172" s="516"/>
      <c r="D172" s="524"/>
      <c r="E172" s="511"/>
      <c r="F172" s="514"/>
      <c r="G172" s="270" t="s">
        <v>121</v>
      </c>
      <c r="H172" s="265" t="s">
        <v>122</v>
      </c>
      <c r="I172" s="266"/>
      <c r="J172" s="267"/>
      <c r="K172" s="268">
        <f t="shared" si="20"/>
        <v>0</v>
      </c>
      <c r="L172" s="267"/>
      <c r="M172" s="267"/>
      <c r="N172" s="267"/>
      <c r="O172" s="267"/>
      <c r="P172" s="267"/>
      <c r="Q172" s="267"/>
      <c r="R172" s="267"/>
      <c r="S172" s="269"/>
      <c r="T172" s="483"/>
      <c r="U172" s="264"/>
    </row>
    <row r="173" spans="1:21" ht="12.75">
      <c r="A173" s="521"/>
      <c r="B173" s="516"/>
      <c r="C173" s="516"/>
      <c r="D173" s="524"/>
      <c r="E173" s="511"/>
      <c r="F173" s="514"/>
      <c r="G173" s="502">
        <f>G167+G170</f>
        <v>77210.2</v>
      </c>
      <c r="H173" s="265" t="s">
        <v>123</v>
      </c>
      <c r="I173" s="266"/>
      <c r="J173" s="267"/>
      <c r="K173" s="268">
        <f t="shared" si="20"/>
        <v>0</v>
      </c>
      <c r="L173" s="267"/>
      <c r="M173" s="267"/>
      <c r="N173" s="267"/>
      <c r="O173" s="267"/>
      <c r="P173" s="267"/>
      <c r="Q173" s="267"/>
      <c r="R173" s="267"/>
      <c r="S173" s="269"/>
      <c r="T173" s="483"/>
      <c r="U173" s="264"/>
    </row>
    <row r="174" spans="1:21" ht="12.75">
      <c r="A174" s="521"/>
      <c r="B174" s="516"/>
      <c r="C174" s="516"/>
      <c r="D174" s="524"/>
      <c r="E174" s="511"/>
      <c r="F174" s="514"/>
      <c r="G174" s="504"/>
      <c r="H174" s="265" t="s">
        <v>124</v>
      </c>
      <c r="I174" s="271">
        <f>I166+I168+I170+I172</f>
        <v>13802.199999999997</v>
      </c>
      <c r="J174" s="272">
        <f>J166+J168+J170+J172</f>
        <v>47965</v>
      </c>
      <c r="K174" s="268">
        <f t="shared" si="20"/>
        <v>61767.2</v>
      </c>
      <c r="L174" s="272">
        <f aca="true" t="shared" si="22" ref="L174:S175">L166+L168+L170+L172</f>
        <v>15443</v>
      </c>
      <c r="M174" s="272">
        <f t="shared" si="22"/>
        <v>0</v>
      </c>
      <c r="N174" s="272">
        <f t="shared" si="22"/>
        <v>0</v>
      </c>
      <c r="O174" s="272">
        <f t="shared" si="22"/>
        <v>0</v>
      </c>
      <c r="P174" s="272">
        <f t="shared" si="22"/>
        <v>0</v>
      </c>
      <c r="Q174" s="272">
        <f t="shared" si="22"/>
        <v>0</v>
      </c>
      <c r="R174" s="272">
        <f t="shared" si="22"/>
        <v>0</v>
      </c>
      <c r="S174" s="273">
        <f t="shared" si="22"/>
        <v>0</v>
      </c>
      <c r="T174" s="483"/>
      <c r="U174" s="264"/>
    </row>
    <row r="175" spans="1:21" ht="13.5" thickBot="1">
      <c r="A175" s="522"/>
      <c r="B175" s="517"/>
      <c r="C175" s="517"/>
      <c r="D175" s="525"/>
      <c r="E175" s="512"/>
      <c r="F175" s="518"/>
      <c r="G175" s="472"/>
      <c r="H175" s="274" t="s">
        <v>125</v>
      </c>
      <c r="I175" s="275">
        <f>I167+I169+I171+I173</f>
        <v>0</v>
      </c>
      <c r="J175" s="276">
        <f>J167+J169+J171+J173</f>
        <v>0</v>
      </c>
      <c r="K175" s="277">
        <f t="shared" si="20"/>
        <v>0</v>
      </c>
      <c r="L175" s="276">
        <f t="shared" si="22"/>
        <v>0</v>
      </c>
      <c r="M175" s="276">
        <f t="shared" si="22"/>
        <v>0</v>
      </c>
      <c r="N175" s="276">
        <f t="shared" si="22"/>
        <v>0</v>
      </c>
      <c r="O175" s="276">
        <f t="shared" si="22"/>
        <v>0</v>
      </c>
      <c r="P175" s="276">
        <f t="shared" si="22"/>
        <v>0</v>
      </c>
      <c r="Q175" s="276">
        <f t="shared" si="22"/>
        <v>0</v>
      </c>
      <c r="R175" s="276">
        <f t="shared" si="22"/>
        <v>0</v>
      </c>
      <c r="S175" s="278">
        <f t="shared" si="22"/>
        <v>0</v>
      </c>
      <c r="T175" s="484"/>
      <c r="U175" s="264"/>
    </row>
    <row r="176" spans="1:21" ht="12.75">
      <c r="A176" s="520">
        <f>A166+1</f>
        <v>18</v>
      </c>
      <c r="B176" s="515">
        <v>801</v>
      </c>
      <c r="C176" s="515">
        <v>80110</v>
      </c>
      <c r="D176" s="523" t="s">
        <v>146</v>
      </c>
      <c r="E176" s="510" t="s">
        <v>149</v>
      </c>
      <c r="F176" s="513">
        <v>2011</v>
      </c>
      <c r="G176" s="259" t="s">
        <v>113</v>
      </c>
      <c r="H176" s="260" t="s">
        <v>114</v>
      </c>
      <c r="I176" s="261"/>
      <c r="J176" s="262"/>
      <c r="K176" s="262">
        <f t="shared" si="20"/>
        <v>0</v>
      </c>
      <c r="L176" s="262"/>
      <c r="M176" s="262"/>
      <c r="N176" s="262"/>
      <c r="O176" s="262"/>
      <c r="P176" s="262"/>
      <c r="Q176" s="262"/>
      <c r="R176" s="262"/>
      <c r="S176" s="263"/>
      <c r="T176" s="482">
        <f>M184+N184+O184+P184+Q184+R184+M185+N185+O185+P185+Q185+S184+S185+R185</f>
        <v>16052</v>
      </c>
      <c r="U176" s="264"/>
    </row>
    <row r="177" spans="1:21" ht="12.75">
      <c r="A177" s="521"/>
      <c r="B177" s="516"/>
      <c r="C177" s="516"/>
      <c r="D177" s="524"/>
      <c r="E177" s="511"/>
      <c r="F177" s="514"/>
      <c r="G177" s="502">
        <f>SUM(K184:S184)</f>
        <v>80258</v>
      </c>
      <c r="H177" s="265" t="s">
        <v>115</v>
      </c>
      <c r="I177" s="266"/>
      <c r="J177" s="267"/>
      <c r="K177" s="268">
        <f t="shared" si="20"/>
        <v>0</v>
      </c>
      <c r="L177" s="267"/>
      <c r="M177" s="267"/>
      <c r="N177" s="267"/>
      <c r="O177" s="267"/>
      <c r="P177" s="267"/>
      <c r="Q177" s="267"/>
      <c r="R177" s="267"/>
      <c r="S177" s="269"/>
      <c r="T177" s="483"/>
      <c r="U177" s="264"/>
    </row>
    <row r="178" spans="1:21" ht="12.75">
      <c r="A178" s="521"/>
      <c r="B178" s="516"/>
      <c r="C178" s="516"/>
      <c r="D178" s="524"/>
      <c r="E178" s="511"/>
      <c r="F178" s="514"/>
      <c r="G178" s="503"/>
      <c r="H178" s="265" t="s">
        <v>116</v>
      </c>
      <c r="I178" s="266"/>
      <c r="J178" s="267"/>
      <c r="K178" s="268">
        <f t="shared" si="20"/>
        <v>0</v>
      </c>
      <c r="L178" s="267"/>
      <c r="M178" s="267"/>
      <c r="N178" s="267"/>
      <c r="O178" s="267"/>
      <c r="P178" s="267"/>
      <c r="Q178" s="267"/>
      <c r="R178" s="267"/>
      <c r="S178" s="269"/>
      <c r="T178" s="483"/>
      <c r="U178" s="264"/>
    </row>
    <row r="179" spans="1:21" ht="12.75">
      <c r="A179" s="521"/>
      <c r="B179" s="516"/>
      <c r="C179" s="516"/>
      <c r="D179" s="524"/>
      <c r="E179" s="511"/>
      <c r="F179" s="514"/>
      <c r="G179" s="270" t="s">
        <v>117</v>
      </c>
      <c r="H179" s="265" t="s">
        <v>118</v>
      </c>
      <c r="I179" s="266"/>
      <c r="J179" s="267"/>
      <c r="K179" s="268">
        <f t="shared" si="20"/>
        <v>0</v>
      </c>
      <c r="L179" s="267"/>
      <c r="M179" s="267"/>
      <c r="N179" s="267"/>
      <c r="O179" s="267"/>
      <c r="P179" s="267"/>
      <c r="Q179" s="267"/>
      <c r="R179" s="267"/>
      <c r="S179" s="269"/>
      <c r="T179" s="483"/>
      <c r="U179" s="264"/>
    </row>
    <row r="180" spans="1:21" ht="12.75">
      <c r="A180" s="521"/>
      <c r="B180" s="516"/>
      <c r="C180" s="516"/>
      <c r="D180" s="524"/>
      <c r="E180" s="511"/>
      <c r="F180" s="514"/>
      <c r="G180" s="502">
        <f>SUM(J185:S185)</f>
        <v>0</v>
      </c>
      <c r="H180" s="265" t="s">
        <v>119</v>
      </c>
      <c r="I180" s="266"/>
      <c r="J180" s="267">
        <v>7754</v>
      </c>
      <c r="K180" s="268">
        <f t="shared" si="20"/>
        <v>7754</v>
      </c>
      <c r="L180" s="267">
        <v>56452</v>
      </c>
      <c r="M180" s="267">
        <v>16052</v>
      </c>
      <c r="N180" s="267"/>
      <c r="O180" s="267"/>
      <c r="P180" s="267"/>
      <c r="Q180" s="267"/>
      <c r="R180" s="267"/>
      <c r="S180" s="269"/>
      <c r="T180" s="483"/>
      <c r="U180" s="264"/>
    </row>
    <row r="181" spans="1:21" ht="12.75">
      <c r="A181" s="521"/>
      <c r="B181" s="516"/>
      <c r="C181" s="516"/>
      <c r="D181" s="524"/>
      <c r="E181" s="511"/>
      <c r="F181" s="514">
        <v>2013</v>
      </c>
      <c r="G181" s="503"/>
      <c r="H181" s="265" t="s">
        <v>120</v>
      </c>
      <c r="I181" s="266"/>
      <c r="J181" s="267"/>
      <c r="K181" s="268">
        <f t="shared" si="20"/>
        <v>0</v>
      </c>
      <c r="L181" s="267"/>
      <c r="M181" s="267"/>
      <c r="N181" s="267"/>
      <c r="O181" s="267"/>
      <c r="P181" s="267"/>
      <c r="Q181" s="267"/>
      <c r="R181" s="267"/>
      <c r="S181" s="269"/>
      <c r="T181" s="483"/>
      <c r="U181" s="264"/>
    </row>
    <row r="182" spans="1:21" ht="12.75">
      <c r="A182" s="521"/>
      <c r="B182" s="516"/>
      <c r="C182" s="516"/>
      <c r="D182" s="524"/>
      <c r="E182" s="511"/>
      <c r="F182" s="514"/>
      <c r="G182" s="270" t="s">
        <v>121</v>
      </c>
      <c r="H182" s="265" t="s">
        <v>122</v>
      </c>
      <c r="I182" s="266"/>
      <c r="J182" s="267"/>
      <c r="K182" s="268">
        <f t="shared" si="20"/>
        <v>0</v>
      </c>
      <c r="L182" s="267"/>
      <c r="M182" s="267"/>
      <c r="N182" s="267"/>
      <c r="O182" s="267"/>
      <c r="P182" s="267"/>
      <c r="Q182" s="267"/>
      <c r="R182" s="267"/>
      <c r="S182" s="269"/>
      <c r="T182" s="483"/>
      <c r="U182" s="264"/>
    </row>
    <row r="183" spans="1:21" ht="12.75">
      <c r="A183" s="521"/>
      <c r="B183" s="516"/>
      <c r="C183" s="516"/>
      <c r="D183" s="524"/>
      <c r="E183" s="511"/>
      <c r="F183" s="514"/>
      <c r="G183" s="502">
        <f>G177+G180</f>
        <v>80258</v>
      </c>
      <c r="H183" s="265" t="s">
        <v>123</v>
      </c>
      <c r="I183" s="266"/>
      <c r="J183" s="267"/>
      <c r="K183" s="268">
        <f t="shared" si="20"/>
        <v>0</v>
      </c>
      <c r="L183" s="267"/>
      <c r="M183" s="267"/>
      <c r="N183" s="267"/>
      <c r="O183" s="267"/>
      <c r="P183" s="267"/>
      <c r="Q183" s="267"/>
      <c r="R183" s="267"/>
      <c r="S183" s="269"/>
      <c r="T183" s="483"/>
      <c r="U183" s="264"/>
    </row>
    <row r="184" spans="1:21" ht="12.75">
      <c r="A184" s="521"/>
      <c r="B184" s="516"/>
      <c r="C184" s="516"/>
      <c r="D184" s="524"/>
      <c r="E184" s="511"/>
      <c r="F184" s="514"/>
      <c r="G184" s="504"/>
      <c r="H184" s="265" t="s">
        <v>124</v>
      </c>
      <c r="I184" s="271">
        <f>I176+I178+I180+I182</f>
        <v>0</v>
      </c>
      <c r="J184" s="272">
        <f>J176+J178+J180+J182</f>
        <v>7754</v>
      </c>
      <c r="K184" s="268">
        <f t="shared" si="20"/>
        <v>7754</v>
      </c>
      <c r="L184" s="272">
        <f aca="true" t="shared" si="23" ref="L184:S185">L176+L178+L180+L182</f>
        <v>56452</v>
      </c>
      <c r="M184" s="272">
        <f t="shared" si="23"/>
        <v>16052</v>
      </c>
      <c r="N184" s="272">
        <f t="shared" si="23"/>
        <v>0</v>
      </c>
      <c r="O184" s="272">
        <f t="shared" si="23"/>
        <v>0</v>
      </c>
      <c r="P184" s="272">
        <f t="shared" si="23"/>
        <v>0</v>
      </c>
      <c r="Q184" s="272">
        <f t="shared" si="23"/>
        <v>0</v>
      </c>
      <c r="R184" s="272">
        <f t="shared" si="23"/>
        <v>0</v>
      </c>
      <c r="S184" s="273">
        <f t="shared" si="23"/>
        <v>0</v>
      </c>
      <c r="T184" s="483"/>
      <c r="U184" s="264"/>
    </row>
    <row r="185" spans="1:21" ht="13.5" thickBot="1">
      <c r="A185" s="522"/>
      <c r="B185" s="517"/>
      <c r="C185" s="517"/>
      <c r="D185" s="525"/>
      <c r="E185" s="512"/>
      <c r="F185" s="518"/>
      <c r="G185" s="472"/>
      <c r="H185" s="274" t="s">
        <v>125</v>
      </c>
      <c r="I185" s="275">
        <f>I177+I179+I181+I183</f>
        <v>0</v>
      </c>
      <c r="J185" s="276">
        <f>J177+J179+J181+J183</f>
        <v>0</v>
      </c>
      <c r="K185" s="277">
        <f t="shared" si="20"/>
        <v>0</v>
      </c>
      <c r="L185" s="276">
        <f t="shared" si="23"/>
        <v>0</v>
      </c>
      <c r="M185" s="276">
        <f t="shared" si="23"/>
        <v>0</v>
      </c>
      <c r="N185" s="276">
        <f t="shared" si="23"/>
        <v>0</v>
      </c>
      <c r="O185" s="276">
        <f t="shared" si="23"/>
        <v>0</v>
      </c>
      <c r="P185" s="276">
        <f t="shared" si="23"/>
        <v>0</v>
      </c>
      <c r="Q185" s="276">
        <f t="shared" si="23"/>
        <v>0</v>
      </c>
      <c r="R185" s="276">
        <f t="shared" si="23"/>
        <v>0</v>
      </c>
      <c r="S185" s="278">
        <f t="shared" si="23"/>
        <v>0</v>
      </c>
      <c r="T185" s="484"/>
      <c r="U185" s="264"/>
    </row>
    <row r="186" spans="1:21" ht="12.75" customHeight="1">
      <c r="A186" s="520">
        <f>A176+1</f>
        <v>19</v>
      </c>
      <c r="B186" s="515">
        <v>801</v>
      </c>
      <c r="C186" s="515">
        <v>80130</v>
      </c>
      <c r="D186" s="523" t="s">
        <v>146</v>
      </c>
      <c r="E186" s="510" t="s">
        <v>150</v>
      </c>
      <c r="F186" s="513">
        <v>2010</v>
      </c>
      <c r="G186" s="259" t="s">
        <v>113</v>
      </c>
      <c r="H186" s="260" t="s">
        <v>114</v>
      </c>
      <c r="I186" s="261"/>
      <c r="J186" s="262"/>
      <c r="K186" s="262">
        <f t="shared" si="20"/>
        <v>0</v>
      </c>
      <c r="L186" s="262"/>
      <c r="M186" s="262"/>
      <c r="N186" s="262"/>
      <c r="O186" s="262"/>
      <c r="P186" s="262"/>
      <c r="Q186" s="262"/>
      <c r="R186" s="262"/>
      <c r="S186" s="263"/>
      <c r="T186" s="482">
        <f>M194+N194+O194+P194+Q194+R194+M195+N195+O195+P195+Q195+S194+S195+R195</f>
        <v>0</v>
      </c>
      <c r="U186" s="264"/>
    </row>
    <row r="187" spans="1:21" ht="12.75">
      <c r="A187" s="521"/>
      <c r="B187" s="516"/>
      <c r="C187" s="516"/>
      <c r="D187" s="524"/>
      <c r="E187" s="511"/>
      <c r="F187" s="514"/>
      <c r="G187" s="502">
        <f>SUM(K194:S194)</f>
        <v>76182</v>
      </c>
      <c r="H187" s="265" t="s">
        <v>115</v>
      </c>
      <c r="I187" s="266"/>
      <c r="J187" s="267"/>
      <c r="K187" s="268">
        <f t="shared" si="20"/>
        <v>0</v>
      </c>
      <c r="L187" s="267"/>
      <c r="M187" s="267"/>
      <c r="N187" s="267"/>
      <c r="O187" s="267"/>
      <c r="P187" s="267"/>
      <c r="Q187" s="267"/>
      <c r="R187" s="267"/>
      <c r="S187" s="269"/>
      <c r="T187" s="483"/>
      <c r="U187" s="264"/>
    </row>
    <row r="188" spans="1:21" ht="12.75">
      <c r="A188" s="521"/>
      <c r="B188" s="516"/>
      <c r="C188" s="516"/>
      <c r="D188" s="524"/>
      <c r="E188" s="511"/>
      <c r="F188" s="514"/>
      <c r="G188" s="503"/>
      <c r="H188" s="265" t="s">
        <v>116</v>
      </c>
      <c r="I188" s="266"/>
      <c r="J188" s="267"/>
      <c r="K188" s="268">
        <f t="shared" si="20"/>
        <v>0</v>
      </c>
      <c r="L188" s="267"/>
      <c r="M188" s="267"/>
      <c r="N188" s="267"/>
      <c r="O188" s="267"/>
      <c r="P188" s="267"/>
      <c r="Q188" s="267"/>
      <c r="R188" s="267"/>
      <c r="S188" s="269"/>
      <c r="T188" s="483"/>
      <c r="U188" s="264"/>
    </row>
    <row r="189" spans="1:21" ht="12.75">
      <c r="A189" s="521"/>
      <c r="B189" s="516"/>
      <c r="C189" s="516"/>
      <c r="D189" s="524"/>
      <c r="E189" s="511"/>
      <c r="F189" s="514"/>
      <c r="G189" s="270" t="s">
        <v>117</v>
      </c>
      <c r="H189" s="265" t="s">
        <v>118</v>
      </c>
      <c r="I189" s="266"/>
      <c r="J189" s="267"/>
      <c r="K189" s="268">
        <f t="shared" si="20"/>
        <v>0</v>
      </c>
      <c r="L189" s="267"/>
      <c r="M189" s="267"/>
      <c r="N189" s="267"/>
      <c r="O189" s="267"/>
      <c r="P189" s="267"/>
      <c r="Q189" s="267"/>
      <c r="R189" s="267"/>
      <c r="S189" s="269"/>
      <c r="T189" s="483"/>
      <c r="U189" s="264"/>
    </row>
    <row r="190" spans="1:21" ht="12.75">
      <c r="A190" s="521"/>
      <c r="B190" s="516"/>
      <c r="C190" s="516"/>
      <c r="D190" s="524"/>
      <c r="E190" s="511"/>
      <c r="F190" s="514"/>
      <c r="G190" s="502">
        <f>SUM(K195:S195)</f>
        <v>0</v>
      </c>
      <c r="H190" s="265" t="s">
        <v>119</v>
      </c>
      <c r="I190" s="266">
        <v>6018</v>
      </c>
      <c r="J190" s="267">
        <v>53669</v>
      </c>
      <c r="K190" s="268">
        <f t="shared" si="20"/>
        <v>59687</v>
      </c>
      <c r="L190" s="267">
        <v>16495</v>
      </c>
      <c r="M190" s="267"/>
      <c r="N190" s="267"/>
      <c r="O190" s="267"/>
      <c r="P190" s="267"/>
      <c r="Q190" s="267"/>
      <c r="R190" s="267"/>
      <c r="S190" s="269"/>
      <c r="T190" s="483"/>
      <c r="U190" s="264"/>
    </row>
    <row r="191" spans="1:21" ht="12.75">
      <c r="A191" s="521"/>
      <c r="B191" s="516"/>
      <c r="C191" s="516"/>
      <c r="D191" s="524"/>
      <c r="E191" s="511"/>
      <c r="F191" s="514">
        <v>2012</v>
      </c>
      <c r="G191" s="503"/>
      <c r="H191" s="265" t="s">
        <v>120</v>
      </c>
      <c r="I191" s="266"/>
      <c r="J191" s="267"/>
      <c r="K191" s="268">
        <f t="shared" si="20"/>
        <v>0</v>
      </c>
      <c r="L191" s="267"/>
      <c r="M191" s="267"/>
      <c r="N191" s="267"/>
      <c r="O191" s="267"/>
      <c r="P191" s="267"/>
      <c r="Q191" s="267"/>
      <c r="R191" s="267"/>
      <c r="S191" s="269"/>
      <c r="T191" s="483"/>
      <c r="U191" s="264"/>
    </row>
    <row r="192" spans="1:21" ht="12.75">
      <c r="A192" s="521"/>
      <c r="B192" s="516"/>
      <c r="C192" s="516"/>
      <c r="D192" s="524"/>
      <c r="E192" s="511"/>
      <c r="F192" s="514"/>
      <c r="G192" s="270" t="s">
        <v>121</v>
      </c>
      <c r="H192" s="265" t="s">
        <v>122</v>
      </c>
      <c r="I192" s="266"/>
      <c r="J192" s="267"/>
      <c r="K192" s="268">
        <f t="shared" si="20"/>
        <v>0</v>
      </c>
      <c r="L192" s="267"/>
      <c r="M192" s="267"/>
      <c r="N192" s="267"/>
      <c r="O192" s="267"/>
      <c r="P192" s="267"/>
      <c r="Q192" s="267"/>
      <c r="R192" s="267"/>
      <c r="S192" s="269"/>
      <c r="T192" s="483"/>
      <c r="U192" s="264"/>
    </row>
    <row r="193" spans="1:21" ht="12.75">
      <c r="A193" s="521"/>
      <c r="B193" s="516"/>
      <c r="C193" s="516"/>
      <c r="D193" s="524"/>
      <c r="E193" s="511"/>
      <c r="F193" s="514"/>
      <c r="G193" s="502">
        <f>G187+G190</f>
        <v>76182</v>
      </c>
      <c r="H193" s="265" t="s">
        <v>123</v>
      </c>
      <c r="I193" s="266"/>
      <c r="J193" s="267"/>
      <c r="K193" s="268">
        <f aca="true" t="shared" si="24" ref="K193:K224">I193+J193</f>
        <v>0</v>
      </c>
      <c r="L193" s="267"/>
      <c r="M193" s="267"/>
      <c r="N193" s="267"/>
      <c r="O193" s="267"/>
      <c r="P193" s="267"/>
      <c r="Q193" s="267"/>
      <c r="R193" s="267"/>
      <c r="S193" s="269"/>
      <c r="T193" s="483"/>
      <c r="U193" s="264"/>
    </row>
    <row r="194" spans="1:21" ht="12.75">
      <c r="A194" s="521"/>
      <c r="B194" s="516"/>
      <c r="C194" s="516"/>
      <c r="D194" s="524"/>
      <c r="E194" s="511"/>
      <c r="F194" s="514"/>
      <c r="G194" s="504"/>
      <c r="H194" s="265" t="s">
        <v>124</v>
      </c>
      <c r="I194" s="271">
        <f>I186+I188+I190+I192</f>
        <v>6018</v>
      </c>
      <c r="J194" s="272">
        <f>J186+J188+J190+J192</f>
        <v>53669</v>
      </c>
      <c r="K194" s="268">
        <f t="shared" si="24"/>
        <v>59687</v>
      </c>
      <c r="L194" s="272">
        <f aca="true" t="shared" si="25" ref="L194:S195">L186+L188+L190+L192</f>
        <v>16495</v>
      </c>
      <c r="M194" s="272">
        <f t="shared" si="25"/>
        <v>0</v>
      </c>
      <c r="N194" s="272">
        <f t="shared" si="25"/>
        <v>0</v>
      </c>
      <c r="O194" s="272">
        <f t="shared" si="25"/>
        <v>0</v>
      </c>
      <c r="P194" s="272">
        <f t="shared" si="25"/>
        <v>0</v>
      </c>
      <c r="Q194" s="272">
        <f t="shared" si="25"/>
        <v>0</v>
      </c>
      <c r="R194" s="272">
        <f t="shared" si="25"/>
        <v>0</v>
      </c>
      <c r="S194" s="273">
        <f t="shared" si="25"/>
        <v>0</v>
      </c>
      <c r="T194" s="483"/>
      <c r="U194" s="264"/>
    </row>
    <row r="195" spans="1:21" ht="13.5" thickBot="1">
      <c r="A195" s="522"/>
      <c r="B195" s="517"/>
      <c r="C195" s="517"/>
      <c r="D195" s="525"/>
      <c r="E195" s="512"/>
      <c r="F195" s="518"/>
      <c r="G195" s="472"/>
      <c r="H195" s="274" t="s">
        <v>125</v>
      </c>
      <c r="I195" s="275">
        <f>I187+I189+I191+I193</f>
        <v>0</v>
      </c>
      <c r="J195" s="276">
        <f>J187+J189+J191+J193</f>
        <v>0</v>
      </c>
      <c r="K195" s="277">
        <f t="shared" si="24"/>
        <v>0</v>
      </c>
      <c r="L195" s="276">
        <f t="shared" si="25"/>
        <v>0</v>
      </c>
      <c r="M195" s="276">
        <f t="shared" si="25"/>
        <v>0</v>
      </c>
      <c r="N195" s="276">
        <f t="shared" si="25"/>
        <v>0</v>
      </c>
      <c r="O195" s="276">
        <f t="shared" si="25"/>
        <v>0</v>
      </c>
      <c r="P195" s="276">
        <f t="shared" si="25"/>
        <v>0</v>
      </c>
      <c r="Q195" s="276">
        <f t="shared" si="25"/>
        <v>0</v>
      </c>
      <c r="R195" s="276">
        <f t="shared" si="25"/>
        <v>0</v>
      </c>
      <c r="S195" s="278">
        <f t="shared" si="25"/>
        <v>0</v>
      </c>
      <c r="T195" s="484"/>
      <c r="U195" s="264"/>
    </row>
    <row r="196" spans="1:21" ht="12.75">
      <c r="A196" s="520">
        <f>A186+1</f>
        <v>20</v>
      </c>
      <c r="B196" s="515">
        <v>801</v>
      </c>
      <c r="C196" s="515">
        <v>80130</v>
      </c>
      <c r="D196" s="523" t="s">
        <v>151</v>
      </c>
      <c r="E196" s="510" t="s">
        <v>152</v>
      </c>
      <c r="F196" s="513">
        <v>2011</v>
      </c>
      <c r="G196" s="259" t="s">
        <v>113</v>
      </c>
      <c r="H196" s="260" t="s">
        <v>114</v>
      </c>
      <c r="I196" s="261"/>
      <c r="J196" s="262"/>
      <c r="K196" s="262">
        <f t="shared" si="24"/>
        <v>0</v>
      </c>
      <c r="L196" s="262"/>
      <c r="M196" s="262"/>
      <c r="N196" s="262"/>
      <c r="O196" s="262"/>
      <c r="P196" s="262"/>
      <c r="Q196" s="262"/>
      <c r="R196" s="262"/>
      <c r="S196" s="263"/>
      <c r="T196" s="482">
        <f>M204+N204+O204+P204+Q204+R204+M205+N205+O205+P205+Q205+S204+S205+R205</f>
        <v>0</v>
      </c>
      <c r="U196" s="264"/>
    </row>
    <row r="197" spans="1:21" ht="12.75">
      <c r="A197" s="521"/>
      <c r="B197" s="516"/>
      <c r="C197" s="516"/>
      <c r="D197" s="524"/>
      <c r="E197" s="511"/>
      <c r="F197" s="514"/>
      <c r="G197" s="502">
        <f>SUM(K204:S204)</f>
        <v>423134</v>
      </c>
      <c r="H197" s="265" t="s">
        <v>115</v>
      </c>
      <c r="I197" s="266"/>
      <c r="J197" s="267"/>
      <c r="K197" s="268">
        <f t="shared" si="24"/>
        <v>0</v>
      </c>
      <c r="L197" s="267"/>
      <c r="M197" s="267"/>
      <c r="N197" s="267"/>
      <c r="O197" s="267"/>
      <c r="P197" s="267"/>
      <c r="Q197" s="267"/>
      <c r="R197" s="267"/>
      <c r="S197" s="269"/>
      <c r="T197" s="483"/>
      <c r="U197" s="264"/>
    </row>
    <row r="198" spans="1:21" ht="12.75">
      <c r="A198" s="521"/>
      <c r="B198" s="516"/>
      <c r="C198" s="516"/>
      <c r="D198" s="524"/>
      <c r="E198" s="511"/>
      <c r="F198" s="514"/>
      <c r="G198" s="503"/>
      <c r="H198" s="265" t="s">
        <v>116</v>
      </c>
      <c r="I198" s="266"/>
      <c r="J198" s="267"/>
      <c r="K198" s="268">
        <f t="shared" si="24"/>
        <v>0</v>
      </c>
      <c r="L198" s="267"/>
      <c r="M198" s="267"/>
      <c r="N198" s="267"/>
      <c r="O198" s="267"/>
      <c r="P198" s="267"/>
      <c r="Q198" s="267"/>
      <c r="R198" s="267"/>
      <c r="S198" s="269"/>
      <c r="T198" s="483"/>
      <c r="U198" s="264"/>
    </row>
    <row r="199" spans="1:21" ht="12.75">
      <c r="A199" s="521"/>
      <c r="B199" s="516"/>
      <c r="C199" s="516"/>
      <c r="D199" s="524"/>
      <c r="E199" s="511"/>
      <c r="F199" s="514"/>
      <c r="G199" s="270" t="s">
        <v>117</v>
      </c>
      <c r="H199" s="265" t="s">
        <v>118</v>
      </c>
      <c r="I199" s="266"/>
      <c r="J199" s="267"/>
      <c r="K199" s="268">
        <f t="shared" si="24"/>
        <v>0</v>
      </c>
      <c r="L199" s="267"/>
      <c r="M199" s="267"/>
      <c r="N199" s="267"/>
      <c r="O199" s="267"/>
      <c r="P199" s="267"/>
      <c r="Q199" s="267"/>
      <c r="R199" s="267"/>
      <c r="S199" s="269"/>
      <c r="T199" s="483"/>
      <c r="U199" s="264"/>
    </row>
    <row r="200" spans="1:21" ht="12.75">
      <c r="A200" s="521"/>
      <c r="B200" s="516"/>
      <c r="C200" s="516"/>
      <c r="D200" s="524"/>
      <c r="E200" s="511"/>
      <c r="F200" s="514"/>
      <c r="G200" s="502">
        <f>SUM(J205:S205)</f>
        <v>0</v>
      </c>
      <c r="H200" s="265" t="s">
        <v>119</v>
      </c>
      <c r="I200" s="266"/>
      <c r="J200" s="267">
        <v>23595</v>
      </c>
      <c r="K200" s="268">
        <f t="shared" si="24"/>
        <v>23595</v>
      </c>
      <c r="L200" s="267">
        <v>399539</v>
      </c>
      <c r="M200" s="267"/>
      <c r="N200" s="267"/>
      <c r="O200" s="267"/>
      <c r="P200" s="267"/>
      <c r="Q200" s="267"/>
      <c r="R200" s="267"/>
      <c r="S200" s="269"/>
      <c r="T200" s="483"/>
      <c r="U200" s="264"/>
    </row>
    <row r="201" spans="1:21" ht="12.75">
      <c r="A201" s="521"/>
      <c r="B201" s="516"/>
      <c r="C201" s="516"/>
      <c r="D201" s="524"/>
      <c r="E201" s="511"/>
      <c r="F201" s="514">
        <v>2012</v>
      </c>
      <c r="G201" s="503"/>
      <c r="H201" s="265" t="s">
        <v>120</v>
      </c>
      <c r="I201" s="266"/>
      <c r="J201" s="267"/>
      <c r="K201" s="268">
        <f t="shared" si="24"/>
        <v>0</v>
      </c>
      <c r="L201" s="267"/>
      <c r="M201" s="267"/>
      <c r="N201" s="267"/>
      <c r="O201" s="267"/>
      <c r="P201" s="267"/>
      <c r="Q201" s="267"/>
      <c r="R201" s="267"/>
      <c r="S201" s="269"/>
      <c r="T201" s="483"/>
      <c r="U201" s="264"/>
    </row>
    <row r="202" spans="1:21" ht="12.75">
      <c r="A202" s="521"/>
      <c r="B202" s="516"/>
      <c r="C202" s="516"/>
      <c r="D202" s="524"/>
      <c r="E202" s="511"/>
      <c r="F202" s="514"/>
      <c r="G202" s="270" t="s">
        <v>121</v>
      </c>
      <c r="H202" s="265" t="s">
        <v>122</v>
      </c>
      <c r="I202" s="266"/>
      <c r="J202" s="267"/>
      <c r="K202" s="268">
        <f t="shared" si="24"/>
        <v>0</v>
      </c>
      <c r="L202" s="267"/>
      <c r="M202" s="267"/>
      <c r="N202" s="267"/>
      <c r="O202" s="267"/>
      <c r="P202" s="267"/>
      <c r="Q202" s="267"/>
      <c r="R202" s="267"/>
      <c r="S202" s="269"/>
      <c r="T202" s="483"/>
      <c r="U202" s="264"/>
    </row>
    <row r="203" spans="1:21" ht="12.75">
      <c r="A203" s="521"/>
      <c r="B203" s="516"/>
      <c r="C203" s="516"/>
      <c r="D203" s="524"/>
      <c r="E203" s="511"/>
      <c r="F203" s="514"/>
      <c r="G203" s="502">
        <f>G197+G200</f>
        <v>423134</v>
      </c>
      <c r="H203" s="265" t="s">
        <v>123</v>
      </c>
      <c r="I203" s="266"/>
      <c r="J203" s="267"/>
      <c r="K203" s="268">
        <f t="shared" si="24"/>
        <v>0</v>
      </c>
      <c r="L203" s="267"/>
      <c r="M203" s="267"/>
      <c r="N203" s="267"/>
      <c r="O203" s="267"/>
      <c r="P203" s="267"/>
      <c r="Q203" s="267"/>
      <c r="R203" s="267"/>
      <c r="S203" s="269"/>
      <c r="T203" s="483"/>
      <c r="U203" s="264"/>
    </row>
    <row r="204" spans="1:21" ht="12.75">
      <c r="A204" s="521"/>
      <c r="B204" s="516"/>
      <c r="C204" s="516"/>
      <c r="D204" s="524"/>
      <c r="E204" s="511"/>
      <c r="F204" s="514"/>
      <c r="G204" s="504"/>
      <c r="H204" s="265" t="s">
        <v>124</v>
      </c>
      <c r="I204" s="271">
        <f>I196+I198+I200+I202</f>
        <v>0</v>
      </c>
      <c r="J204" s="272">
        <f>J196+J198+J200+J202</f>
        <v>23595</v>
      </c>
      <c r="K204" s="268">
        <f t="shared" si="24"/>
        <v>23595</v>
      </c>
      <c r="L204" s="272">
        <f aca="true" t="shared" si="26" ref="L204:S205">L196+L198+L200+L202</f>
        <v>399539</v>
      </c>
      <c r="M204" s="272">
        <f t="shared" si="26"/>
        <v>0</v>
      </c>
      <c r="N204" s="272">
        <f t="shared" si="26"/>
        <v>0</v>
      </c>
      <c r="O204" s="272">
        <f t="shared" si="26"/>
        <v>0</v>
      </c>
      <c r="P204" s="272">
        <f t="shared" si="26"/>
        <v>0</v>
      </c>
      <c r="Q204" s="272">
        <f t="shared" si="26"/>
        <v>0</v>
      </c>
      <c r="R204" s="272">
        <f t="shared" si="26"/>
        <v>0</v>
      </c>
      <c r="S204" s="273">
        <f t="shared" si="26"/>
        <v>0</v>
      </c>
      <c r="T204" s="483"/>
      <c r="U204" s="264"/>
    </row>
    <row r="205" spans="1:21" ht="13.5" thickBot="1">
      <c r="A205" s="522"/>
      <c r="B205" s="517"/>
      <c r="C205" s="517"/>
      <c r="D205" s="525"/>
      <c r="E205" s="512"/>
      <c r="F205" s="518"/>
      <c r="G205" s="472"/>
      <c r="H205" s="274" t="s">
        <v>125</v>
      </c>
      <c r="I205" s="275">
        <f>I197+I199+I201+I203</f>
        <v>0</v>
      </c>
      <c r="J205" s="276">
        <f>J197+J199+J201+J203</f>
        <v>0</v>
      </c>
      <c r="K205" s="277">
        <f t="shared" si="24"/>
        <v>0</v>
      </c>
      <c r="L205" s="276">
        <f t="shared" si="26"/>
        <v>0</v>
      </c>
      <c r="M205" s="276">
        <f t="shared" si="26"/>
        <v>0</v>
      </c>
      <c r="N205" s="276">
        <f t="shared" si="26"/>
        <v>0</v>
      </c>
      <c r="O205" s="276">
        <f t="shared" si="26"/>
        <v>0</v>
      </c>
      <c r="P205" s="276">
        <f t="shared" si="26"/>
        <v>0</v>
      </c>
      <c r="Q205" s="276">
        <f t="shared" si="26"/>
        <v>0</v>
      </c>
      <c r="R205" s="276">
        <f t="shared" si="26"/>
        <v>0</v>
      </c>
      <c r="S205" s="278">
        <f t="shared" si="26"/>
        <v>0</v>
      </c>
      <c r="T205" s="484"/>
      <c r="U205" s="264"/>
    </row>
    <row r="206" spans="1:21" ht="12.75">
      <c r="A206" s="490">
        <f>A196+1</f>
        <v>21</v>
      </c>
      <c r="B206" s="493">
        <v>801</v>
      </c>
      <c r="C206" s="493">
        <v>80130</v>
      </c>
      <c r="D206" s="496" t="s">
        <v>146</v>
      </c>
      <c r="E206" s="477" t="s">
        <v>153</v>
      </c>
      <c r="F206" s="480">
        <v>2011</v>
      </c>
      <c r="G206" s="293" t="s">
        <v>113</v>
      </c>
      <c r="H206" s="294" t="s">
        <v>114</v>
      </c>
      <c r="I206" s="279"/>
      <c r="J206" s="283"/>
      <c r="K206" s="262">
        <f t="shared" si="24"/>
        <v>0</v>
      </c>
      <c r="L206" s="283"/>
      <c r="M206" s="283"/>
      <c r="N206" s="283"/>
      <c r="O206" s="283"/>
      <c r="P206" s="283"/>
      <c r="Q206" s="283"/>
      <c r="R206" s="283"/>
      <c r="S206" s="284"/>
      <c r="T206" s="482">
        <f>M214+N214+O214+P214+Q214+R214+M215+N215+O215+P215+Q215+S214+S215+R215</f>
        <v>17102</v>
      </c>
      <c r="U206" s="264"/>
    </row>
    <row r="207" spans="1:21" ht="12.75">
      <c r="A207" s="491"/>
      <c r="B207" s="494"/>
      <c r="C207" s="494"/>
      <c r="D207" s="497"/>
      <c r="E207" s="478"/>
      <c r="F207" s="481"/>
      <c r="G207" s="485">
        <f>SUM(K214:S214)</f>
        <v>85510</v>
      </c>
      <c r="H207" s="295" t="s">
        <v>115</v>
      </c>
      <c r="I207" s="280"/>
      <c r="J207" s="285"/>
      <c r="K207" s="268">
        <f t="shared" si="24"/>
        <v>0</v>
      </c>
      <c r="L207" s="285"/>
      <c r="M207" s="285"/>
      <c r="N207" s="285"/>
      <c r="O207" s="285"/>
      <c r="P207" s="285"/>
      <c r="Q207" s="285"/>
      <c r="R207" s="285"/>
      <c r="S207" s="286"/>
      <c r="T207" s="483"/>
      <c r="U207" s="264"/>
    </row>
    <row r="208" spans="1:21" ht="12.75">
      <c r="A208" s="491"/>
      <c r="B208" s="494"/>
      <c r="C208" s="494"/>
      <c r="D208" s="497"/>
      <c r="E208" s="478"/>
      <c r="F208" s="481"/>
      <c r="G208" s="486"/>
      <c r="H208" s="295" t="s">
        <v>116</v>
      </c>
      <c r="I208" s="280"/>
      <c r="J208" s="285"/>
      <c r="K208" s="268">
        <f t="shared" si="24"/>
        <v>0</v>
      </c>
      <c r="L208" s="285"/>
      <c r="M208" s="285"/>
      <c r="N208" s="285"/>
      <c r="O208" s="285"/>
      <c r="P208" s="285"/>
      <c r="Q208" s="285"/>
      <c r="R208" s="285"/>
      <c r="S208" s="286"/>
      <c r="T208" s="483"/>
      <c r="U208" s="264"/>
    </row>
    <row r="209" spans="1:21" ht="12.75">
      <c r="A209" s="491"/>
      <c r="B209" s="494"/>
      <c r="C209" s="494"/>
      <c r="D209" s="497"/>
      <c r="E209" s="478"/>
      <c r="F209" s="481"/>
      <c r="G209" s="296" t="s">
        <v>117</v>
      </c>
      <c r="H209" s="295" t="s">
        <v>118</v>
      </c>
      <c r="I209" s="280"/>
      <c r="J209" s="285"/>
      <c r="K209" s="268">
        <f t="shared" si="24"/>
        <v>0</v>
      </c>
      <c r="L209" s="285"/>
      <c r="M209" s="285"/>
      <c r="N209" s="285"/>
      <c r="O209" s="285"/>
      <c r="P209" s="285"/>
      <c r="Q209" s="285"/>
      <c r="R209" s="285"/>
      <c r="S209" s="286"/>
      <c r="T209" s="483"/>
      <c r="U209" s="264"/>
    </row>
    <row r="210" spans="1:21" ht="12.75">
      <c r="A210" s="491"/>
      <c r="B210" s="494"/>
      <c r="C210" s="494"/>
      <c r="D210" s="497"/>
      <c r="E210" s="478"/>
      <c r="F210" s="481"/>
      <c r="G210" s="485">
        <f>SUM(K215:S215)</f>
        <v>0</v>
      </c>
      <c r="H210" s="295" t="s">
        <v>119</v>
      </c>
      <c r="I210" s="280"/>
      <c r="J210" s="285">
        <f>64000+4408-61344</f>
        <v>7064</v>
      </c>
      <c r="K210" s="268">
        <f t="shared" si="24"/>
        <v>7064</v>
      </c>
      <c r="L210" s="285">
        <v>61344</v>
      </c>
      <c r="M210" s="285">
        <f>16000+1102</f>
        <v>17102</v>
      </c>
      <c r="N210" s="285"/>
      <c r="O210" s="285"/>
      <c r="P210" s="285"/>
      <c r="Q210" s="285"/>
      <c r="R210" s="285"/>
      <c r="S210" s="286"/>
      <c r="T210" s="483"/>
      <c r="U210" s="264"/>
    </row>
    <row r="211" spans="1:21" ht="12.75">
      <c r="A211" s="491"/>
      <c r="B211" s="494"/>
      <c r="C211" s="494"/>
      <c r="D211" s="497"/>
      <c r="E211" s="478"/>
      <c r="F211" s="481">
        <v>2013</v>
      </c>
      <c r="G211" s="486"/>
      <c r="H211" s="295" t="s">
        <v>120</v>
      </c>
      <c r="I211" s="280"/>
      <c r="J211" s="285"/>
      <c r="K211" s="268">
        <f t="shared" si="24"/>
        <v>0</v>
      </c>
      <c r="L211" s="285"/>
      <c r="M211" s="285"/>
      <c r="N211" s="285"/>
      <c r="O211" s="285"/>
      <c r="P211" s="285"/>
      <c r="Q211" s="285"/>
      <c r="R211" s="285"/>
      <c r="S211" s="286"/>
      <c r="T211" s="483"/>
      <c r="U211" s="264"/>
    </row>
    <row r="212" spans="1:21" ht="12.75">
      <c r="A212" s="491"/>
      <c r="B212" s="494"/>
      <c r="C212" s="494"/>
      <c r="D212" s="497"/>
      <c r="E212" s="478"/>
      <c r="F212" s="481"/>
      <c r="G212" s="296" t="s">
        <v>121</v>
      </c>
      <c r="H212" s="295" t="s">
        <v>122</v>
      </c>
      <c r="I212" s="280"/>
      <c r="J212" s="285"/>
      <c r="K212" s="268">
        <f t="shared" si="24"/>
        <v>0</v>
      </c>
      <c r="L212" s="285"/>
      <c r="M212" s="285"/>
      <c r="N212" s="285"/>
      <c r="O212" s="285"/>
      <c r="P212" s="285"/>
      <c r="Q212" s="285"/>
      <c r="R212" s="285"/>
      <c r="S212" s="286"/>
      <c r="T212" s="483"/>
      <c r="U212" s="264"/>
    </row>
    <row r="213" spans="1:21" ht="12.75">
      <c r="A213" s="491"/>
      <c r="B213" s="494"/>
      <c r="C213" s="494"/>
      <c r="D213" s="497"/>
      <c r="E213" s="478"/>
      <c r="F213" s="481"/>
      <c r="G213" s="485">
        <f>G207+G210</f>
        <v>85510</v>
      </c>
      <c r="H213" s="295" t="s">
        <v>123</v>
      </c>
      <c r="I213" s="280"/>
      <c r="J213" s="285"/>
      <c r="K213" s="268">
        <f t="shared" si="24"/>
        <v>0</v>
      </c>
      <c r="L213" s="285"/>
      <c r="M213" s="285"/>
      <c r="N213" s="285"/>
      <c r="O213" s="285"/>
      <c r="P213" s="285"/>
      <c r="Q213" s="285"/>
      <c r="R213" s="285"/>
      <c r="S213" s="286"/>
      <c r="T213" s="483"/>
      <c r="U213" s="264"/>
    </row>
    <row r="214" spans="1:21" ht="12.75">
      <c r="A214" s="491"/>
      <c r="B214" s="494"/>
      <c r="C214" s="494"/>
      <c r="D214" s="497"/>
      <c r="E214" s="478"/>
      <c r="F214" s="481"/>
      <c r="G214" s="488"/>
      <c r="H214" s="295" t="s">
        <v>124</v>
      </c>
      <c r="I214" s="281">
        <f>I206+I208+I210+I212</f>
        <v>0</v>
      </c>
      <c r="J214" s="287">
        <f>J206+J208+J210+J212</f>
        <v>7064</v>
      </c>
      <c r="K214" s="268">
        <f t="shared" si="24"/>
        <v>7064</v>
      </c>
      <c r="L214" s="287">
        <f aca="true" t="shared" si="27" ref="L214:S215">L206+L208+L210+L212</f>
        <v>61344</v>
      </c>
      <c r="M214" s="287">
        <f t="shared" si="27"/>
        <v>17102</v>
      </c>
      <c r="N214" s="287">
        <f t="shared" si="27"/>
        <v>0</v>
      </c>
      <c r="O214" s="287">
        <f t="shared" si="27"/>
        <v>0</v>
      </c>
      <c r="P214" s="287">
        <f t="shared" si="27"/>
        <v>0</v>
      </c>
      <c r="Q214" s="287">
        <f t="shared" si="27"/>
        <v>0</v>
      </c>
      <c r="R214" s="287">
        <f t="shared" si="27"/>
        <v>0</v>
      </c>
      <c r="S214" s="288">
        <f t="shared" si="27"/>
        <v>0</v>
      </c>
      <c r="T214" s="483"/>
      <c r="U214" s="264"/>
    </row>
    <row r="215" spans="1:21" ht="13.5" thickBot="1">
      <c r="A215" s="492"/>
      <c r="B215" s="495"/>
      <c r="C215" s="495"/>
      <c r="D215" s="498"/>
      <c r="E215" s="479"/>
      <c r="F215" s="487"/>
      <c r="G215" s="489"/>
      <c r="H215" s="297" t="s">
        <v>125</v>
      </c>
      <c r="I215" s="282">
        <f>I207+I209+I211+I213</f>
        <v>0</v>
      </c>
      <c r="J215" s="289">
        <f>J207+J209+J211+J213</f>
        <v>0</v>
      </c>
      <c r="K215" s="277">
        <f t="shared" si="24"/>
        <v>0</v>
      </c>
      <c r="L215" s="289">
        <f t="shared" si="27"/>
        <v>0</v>
      </c>
      <c r="M215" s="289">
        <f t="shared" si="27"/>
        <v>0</v>
      </c>
      <c r="N215" s="289">
        <f t="shared" si="27"/>
        <v>0</v>
      </c>
      <c r="O215" s="289">
        <f t="shared" si="27"/>
        <v>0</v>
      </c>
      <c r="P215" s="289">
        <f t="shared" si="27"/>
        <v>0</v>
      </c>
      <c r="Q215" s="289">
        <f t="shared" si="27"/>
        <v>0</v>
      </c>
      <c r="R215" s="289">
        <f t="shared" si="27"/>
        <v>0</v>
      </c>
      <c r="S215" s="290">
        <f t="shared" si="27"/>
        <v>0</v>
      </c>
      <c r="T215" s="484"/>
      <c r="U215" s="264"/>
    </row>
    <row r="216" spans="1:21" ht="12.75">
      <c r="A216" s="490">
        <f>A206+1</f>
        <v>22</v>
      </c>
      <c r="B216" s="493">
        <v>853</v>
      </c>
      <c r="C216" s="493">
        <v>85333</v>
      </c>
      <c r="D216" s="496" t="s">
        <v>154</v>
      </c>
      <c r="E216" s="477" t="s">
        <v>112</v>
      </c>
      <c r="F216" s="480">
        <v>2012</v>
      </c>
      <c r="G216" s="293" t="s">
        <v>113</v>
      </c>
      <c r="H216" s="294" t="s">
        <v>114</v>
      </c>
      <c r="I216" s="279"/>
      <c r="J216" s="283"/>
      <c r="K216" s="262">
        <f t="shared" si="24"/>
        <v>0</v>
      </c>
      <c r="L216" s="283"/>
      <c r="M216" s="283"/>
      <c r="N216" s="283"/>
      <c r="O216" s="283"/>
      <c r="P216" s="283"/>
      <c r="Q216" s="283"/>
      <c r="R216" s="283"/>
      <c r="S216" s="284"/>
      <c r="T216" s="482">
        <f>M224+N224+O224+P224+Q224+R224+M225+N225+O225+P225+Q225+S224+S225+R225</f>
        <v>50895</v>
      </c>
      <c r="U216" s="264"/>
    </row>
    <row r="217" spans="1:21" ht="12.75">
      <c r="A217" s="491"/>
      <c r="B217" s="494"/>
      <c r="C217" s="494"/>
      <c r="D217" s="497"/>
      <c r="E217" s="478"/>
      <c r="F217" s="481"/>
      <c r="G217" s="485">
        <f>SUM(K224:S224)</f>
        <v>87719</v>
      </c>
      <c r="H217" s="295" t="s">
        <v>115</v>
      </c>
      <c r="I217" s="280"/>
      <c r="J217" s="285"/>
      <c r="K217" s="268">
        <f t="shared" si="24"/>
        <v>0</v>
      </c>
      <c r="L217" s="285"/>
      <c r="M217" s="285"/>
      <c r="N217" s="285"/>
      <c r="O217" s="285"/>
      <c r="P217" s="285"/>
      <c r="Q217" s="285"/>
      <c r="R217" s="285"/>
      <c r="S217" s="286"/>
      <c r="T217" s="483"/>
      <c r="U217" s="264"/>
    </row>
    <row r="218" spans="1:21" ht="12.75">
      <c r="A218" s="491"/>
      <c r="B218" s="494"/>
      <c r="C218" s="494"/>
      <c r="D218" s="497"/>
      <c r="E218" s="478"/>
      <c r="F218" s="481"/>
      <c r="G218" s="486"/>
      <c r="H218" s="295" t="s">
        <v>116</v>
      </c>
      <c r="I218" s="280"/>
      <c r="J218" s="285"/>
      <c r="K218" s="268">
        <f t="shared" si="24"/>
        <v>0</v>
      </c>
      <c r="L218" s="285">
        <v>5524</v>
      </c>
      <c r="M218" s="285">
        <v>5918</v>
      </c>
      <c r="N218" s="285">
        <v>1716</v>
      </c>
      <c r="O218" s="285"/>
      <c r="P218" s="285"/>
      <c r="Q218" s="285"/>
      <c r="R218" s="285"/>
      <c r="S218" s="286"/>
      <c r="T218" s="483"/>
      <c r="U218" s="264"/>
    </row>
    <row r="219" spans="1:21" ht="12.75">
      <c r="A219" s="491"/>
      <c r="B219" s="494"/>
      <c r="C219" s="494"/>
      <c r="D219" s="497"/>
      <c r="E219" s="478"/>
      <c r="F219" s="481"/>
      <c r="G219" s="296" t="s">
        <v>117</v>
      </c>
      <c r="H219" s="295" t="s">
        <v>118</v>
      </c>
      <c r="I219" s="280"/>
      <c r="J219" s="285"/>
      <c r="K219" s="268">
        <f t="shared" si="24"/>
        <v>0</v>
      </c>
      <c r="L219" s="285"/>
      <c r="M219" s="285"/>
      <c r="N219" s="285"/>
      <c r="O219" s="285"/>
      <c r="P219" s="285"/>
      <c r="Q219" s="285"/>
      <c r="R219" s="285"/>
      <c r="S219" s="286"/>
      <c r="T219" s="483"/>
      <c r="U219" s="264"/>
    </row>
    <row r="220" spans="1:21" ht="12.75">
      <c r="A220" s="491"/>
      <c r="B220" s="494"/>
      <c r="C220" s="494"/>
      <c r="D220" s="497"/>
      <c r="E220" s="478"/>
      <c r="F220" s="481"/>
      <c r="G220" s="485">
        <f>SUM(K225:S225)</f>
        <v>0</v>
      </c>
      <c r="H220" s="295" t="s">
        <v>119</v>
      </c>
      <c r="I220" s="280"/>
      <c r="J220" s="285"/>
      <c r="K220" s="268">
        <f t="shared" si="24"/>
        <v>0</v>
      </c>
      <c r="L220" s="285">
        <v>31300</v>
      </c>
      <c r="M220" s="285">
        <v>33538</v>
      </c>
      <c r="N220" s="285">
        <v>9723</v>
      </c>
      <c r="O220" s="285"/>
      <c r="P220" s="285"/>
      <c r="Q220" s="285"/>
      <c r="R220" s="285"/>
      <c r="S220" s="286"/>
      <c r="T220" s="483"/>
      <c r="U220" s="264"/>
    </row>
    <row r="221" spans="1:21" ht="12.75">
      <c r="A221" s="491"/>
      <c r="B221" s="494"/>
      <c r="C221" s="494"/>
      <c r="D221" s="497"/>
      <c r="E221" s="478"/>
      <c r="F221" s="481">
        <v>2014</v>
      </c>
      <c r="G221" s="486"/>
      <c r="H221" s="295" t="s">
        <v>120</v>
      </c>
      <c r="I221" s="280"/>
      <c r="J221" s="285"/>
      <c r="K221" s="268">
        <f t="shared" si="24"/>
        <v>0</v>
      </c>
      <c r="L221" s="285"/>
      <c r="M221" s="285"/>
      <c r="N221" s="285"/>
      <c r="O221" s="285"/>
      <c r="P221" s="285"/>
      <c r="Q221" s="285"/>
      <c r="R221" s="285"/>
      <c r="S221" s="286"/>
      <c r="T221" s="483"/>
      <c r="U221" s="264"/>
    </row>
    <row r="222" spans="1:21" ht="12.75">
      <c r="A222" s="491"/>
      <c r="B222" s="494"/>
      <c r="C222" s="494"/>
      <c r="D222" s="497"/>
      <c r="E222" s="478"/>
      <c r="F222" s="481"/>
      <c r="G222" s="296" t="s">
        <v>121</v>
      </c>
      <c r="H222" s="295" t="s">
        <v>122</v>
      </c>
      <c r="I222" s="280"/>
      <c r="J222" s="285"/>
      <c r="K222" s="268">
        <f t="shared" si="24"/>
        <v>0</v>
      </c>
      <c r="L222" s="285"/>
      <c r="M222" s="285"/>
      <c r="N222" s="285"/>
      <c r="O222" s="285"/>
      <c r="P222" s="285"/>
      <c r="Q222" s="285"/>
      <c r="R222" s="285"/>
      <c r="S222" s="286"/>
      <c r="T222" s="483"/>
      <c r="U222" s="264"/>
    </row>
    <row r="223" spans="1:21" ht="12.75">
      <c r="A223" s="491"/>
      <c r="B223" s="494"/>
      <c r="C223" s="494"/>
      <c r="D223" s="497"/>
      <c r="E223" s="478"/>
      <c r="F223" s="481"/>
      <c r="G223" s="485">
        <f>G217+G220</f>
        <v>87719</v>
      </c>
      <c r="H223" s="295" t="s">
        <v>123</v>
      </c>
      <c r="I223" s="280"/>
      <c r="J223" s="285"/>
      <c r="K223" s="268">
        <f t="shared" si="24"/>
        <v>0</v>
      </c>
      <c r="L223" s="285"/>
      <c r="M223" s="285"/>
      <c r="N223" s="285"/>
      <c r="O223" s="285"/>
      <c r="P223" s="285"/>
      <c r="Q223" s="285"/>
      <c r="R223" s="285"/>
      <c r="S223" s="286"/>
      <c r="T223" s="483"/>
      <c r="U223" s="264"/>
    </row>
    <row r="224" spans="1:21" ht="12.75">
      <c r="A224" s="491"/>
      <c r="B224" s="494"/>
      <c r="C224" s="494"/>
      <c r="D224" s="497"/>
      <c r="E224" s="478"/>
      <c r="F224" s="481"/>
      <c r="G224" s="488"/>
      <c r="H224" s="295" t="s">
        <v>124</v>
      </c>
      <c r="I224" s="281">
        <f>I216+I218+I220+I222</f>
        <v>0</v>
      </c>
      <c r="J224" s="287">
        <f>J216+J218+J220+J222</f>
        <v>0</v>
      </c>
      <c r="K224" s="268">
        <f t="shared" si="24"/>
        <v>0</v>
      </c>
      <c r="L224" s="287">
        <f aca="true" t="shared" si="28" ref="L224:S225">L216+L218+L220+L222</f>
        <v>36824</v>
      </c>
      <c r="M224" s="287">
        <f t="shared" si="28"/>
        <v>39456</v>
      </c>
      <c r="N224" s="287">
        <f t="shared" si="28"/>
        <v>11439</v>
      </c>
      <c r="O224" s="287">
        <f t="shared" si="28"/>
        <v>0</v>
      </c>
      <c r="P224" s="287">
        <f t="shared" si="28"/>
        <v>0</v>
      </c>
      <c r="Q224" s="287">
        <f t="shared" si="28"/>
        <v>0</v>
      </c>
      <c r="R224" s="287">
        <f t="shared" si="28"/>
        <v>0</v>
      </c>
      <c r="S224" s="288">
        <f t="shared" si="28"/>
        <v>0</v>
      </c>
      <c r="T224" s="483"/>
      <c r="U224" s="264"/>
    </row>
    <row r="225" spans="1:21" ht="13.5" thickBot="1">
      <c r="A225" s="492"/>
      <c r="B225" s="495"/>
      <c r="C225" s="495"/>
      <c r="D225" s="498"/>
      <c r="E225" s="479"/>
      <c r="F225" s="487"/>
      <c r="G225" s="489"/>
      <c r="H225" s="297" t="s">
        <v>125</v>
      </c>
      <c r="I225" s="282">
        <f>I217+I219+I221+I223</f>
        <v>0</v>
      </c>
      <c r="J225" s="289">
        <f>J217+J219+J221+J223</f>
        <v>0</v>
      </c>
      <c r="K225" s="277">
        <f aca="true" t="shared" si="29" ref="K225:K256">I225+J225</f>
        <v>0</v>
      </c>
      <c r="L225" s="289">
        <f t="shared" si="28"/>
        <v>0</v>
      </c>
      <c r="M225" s="289">
        <f t="shared" si="28"/>
        <v>0</v>
      </c>
      <c r="N225" s="289">
        <f t="shared" si="28"/>
        <v>0</v>
      </c>
      <c r="O225" s="289">
        <f t="shared" si="28"/>
        <v>0</v>
      </c>
      <c r="P225" s="289">
        <f t="shared" si="28"/>
        <v>0</v>
      </c>
      <c r="Q225" s="289">
        <f t="shared" si="28"/>
        <v>0</v>
      </c>
      <c r="R225" s="289">
        <f t="shared" si="28"/>
        <v>0</v>
      </c>
      <c r="S225" s="290">
        <f t="shared" si="28"/>
        <v>0</v>
      </c>
      <c r="T225" s="484"/>
      <c r="U225" s="264"/>
    </row>
    <row r="226" spans="1:21" ht="12.75">
      <c r="A226" s="490">
        <f>A216+1</f>
        <v>23</v>
      </c>
      <c r="B226" s="493">
        <v>853</v>
      </c>
      <c r="C226" s="493">
        <v>85333</v>
      </c>
      <c r="D226" s="496" t="s">
        <v>155</v>
      </c>
      <c r="E226" s="477" t="s">
        <v>112</v>
      </c>
      <c r="F226" s="480">
        <v>2012</v>
      </c>
      <c r="G226" s="293" t="s">
        <v>113</v>
      </c>
      <c r="H226" s="294" t="s">
        <v>114</v>
      </c>
      <c r="I226" s="279"/>
      <c r="J226" s="283"/>
      <c r="K226" s="262">
        <f t="shared" si="29"/>
        <v>0</v>
      </c>
      <c r="L226" s="283">
        <v>22708</v>
      </c>
      <c r="M226" s="283">
        <v>28048</v>
      </c>
      <c r="N226" s="283"/>
      <c r="O226" s="283"/>
      <c r="P226" s="283"/>
      <c r="Q226" s="283"/>
      <c r="R226" s="283"/>
      <c r="S226" s="284"/>
      <c r="T226" s="482">
        <f>M234+N234+O234+P234+Q234+R234+M235+N235+O235+P235+Q235+S234+S235+R235</f>
        <v>186983</v>
      </c>
      <c r="U226" s="264"/>
    </row>
    <row r="227" spans="1:21" ht="12.75">
      <c r="A227" s="491"/>
      <c r="B227" s="494"/>
      <c r="C227" s="494"/>
      <c r="D227" s="497"/>
      <c r="E227" s="478"/>
      <c r="F227" s="481"/>
      <c r="G227" s="485">
        <f>SUM(K234:S234)</f>
        <v>338368</v>
      </c>
      <c r="H227" s="295" t="s">
        <v>115</v>
      </c>
      <c r="I227" s="280"/>
      <c r="J227" s="285"/>
      <c r="K227" s="268">
        <f t="shared" si="29"/>
        <v>0</v>
      </c>
      <c r="L227" s="285"/>
      <c r="M227" s="285"/>
      <c r="N227" s="285"/>
      <c r="O227" s="285"/>
      <c r="P227" s="285"/>
      <c r="Q227" s="285"/>
      <c r="R227" s="285"/>
      <c r="S227" s="286"/>
      <c r="T227" s="483"/>
      <c r="U227" s="264"/>
    </row>
    <row r="228" spans="1:21" ht="12.75">
      <c r="A228" s="491"/>
      <c r="B228" s="494"/>
      <c r="C228" s="494"/>
      <c r="D228" s="497"/>
      <c r="E228" s="478"/>
      <c r="F228" s="481"/>
      <c r="G228" s="486"/>
      <c r="H228" s="295" t="s">
        <v>116</v>
      </c>
      <c r="I228" s="280"/>
      <c r="J228" s="285"/>
      <c r="K228" s="268">
        <f t="shared" si="29"/>
        <v>0</v>
      </c>
      <c r="L228" s="285"/>
      <c r="M228" s="285"/>
      <c r="N228" s="285"/>
      <c r="O228" s="285"/>
      <c r="P228" s="285"/>
      <c r="Q228" s="285"/>
      <c r="R228" s="285"/>
      <c r="S228" s="286"/>
      <c r="T228" s="483"/>
      <c r="U228" s="264"/>
    </row>
    <row r="229" spans="1:21" ht="12.75">
      <c r="A229" s="491"/>
      <c r="B229" s="494"/>
      <c r="C229" s="494"/>
      <c r="D229" s="497"/>
      <c r="E229" s="478"/>
      <c r="F229" s="481"/>
      <c r="G229" s="296" t="s">
        <v>117</v>
      </c>
      <c r="H229" s="295" t="s">
        <v>118</v>
      </c>
      <c r="I229" s="280"/>
      <c r="J229" s="285"/>
      <c r="K229" s="268">
        <f t="shared" si="29"/>
        <v>0</v>
      </c>
      <c r="L229" s="285"/>
      <c r="M229" s="285"/>
      <c r="N229" s="285"/>
      <c r="O229" s="285"/>
      <c r="P229" s="285"/>
      <c r="Q229" s="285"/>
      <c r="R229" s="285"/>
      <c r="S229" s="286"/>
      <c r="T229" s="483"/>
      <c r="U229" s="264"/>
    </row>
    <row r="230" spans="1:21" ht="12.75">
      <c r="A230" s="491"/>
      <c r="B230" s="494"/>
      <c r="C230" s="494"/>
      <c r="D230" s="497"/>
      <c r="E230" s="478"/>
      <c r="F230" s="481"/>
      <c r="G230" s="485">
        <f>SUM(K235:S235)</f>
        <v>0</v>
      </c>
      <c r="H230" s="295" t="s">
        <v>119</v>
      </c>
      <c r="I230" s="280"/>
      <c r="J230" s="285"/>
      <c r="K230" s="268">
        <f t="shared" si="29"/>
        <v>0</v>
      </c>
      <c r="L230" s="285">
        <v>128677</v>
      </c>
      <c r="M230" s="285">
        <v>158935</v>
      </c>
      <c r="N230" s="285"/>
      <c r="O230" s="285"/>
      <c r="P230" s="285"/>
      <c r="Q230" s="285"/>
      <c r="R230" s="285"/>
      <c r="S230" s="286"/>
      <c r="T230" s="483"/>
      <c r="U230" s="264"/>
    </row>
    <row r="231" spans="1:21" ht="12.75">
      <c r="A231" s="491"/>
      <c r="B231" s="494"/>
      <c r="C231" s="494"/>
      <c r="D231" s="497"/>
      <c r="E231" s="478"/>
      <c r="F231" s="481">
        <v>2013</v>
      </c>
      <c r="G231" s="486"/>
      <c r="H231" s="295" t="s">
        <v>120</v>
      </c>
      <c r="I231" s="280"/>
      <c r="J231" s="285"/>
      <c r="K231" s="268">
        <f t="shared" si="29"/>
        <v>0</v>
      </c>
      <c r="L231" s="285"/>
      <c r="M231" s="285"/>
      <c r="N231" s="285"/>
      <c r="O231" s="285"/>
      <c r="P231" s="285"/>
      <c r="Q231" s="285"/>
      <c r="R231" s="285"/>
      <c r="S231" s="286"/>
      <c r="T231" s="483"/>
      <c r="U231" s="264"/>
    </row>
    <row r="232" spans="1:21" ht="12.75">
      <c r="A232" s="491"/>
      <c r="B232" s="494"/>
      <c r="C232" s="494"/>
      <c r="D232" s="497"/>
      <c r="E232" s="478"/>
      <c r="F232" s="481"/>
      <c r="G232" s="296" t="s">
        <v>121</v>
      </c>
      <c r="H232" s="295" t="s">
        <v>122</v>
      </c>
      <c r="I232" s="280"/>
      <c r="J232" s="285"/>
      <c r="K232" s="268">
        <f t="shared" si="29"/>
        <v>0</v>
      </c>
      <c r="L232" s="285"/>
      <c r="M232" s="285"/>
      <c r="N232" s="285"/>
      <c r="O232" s="285"/>
      <c r="P232" s="285"/>
      <c r="Q232" s="285"/>
      <c r="R232" s="285"/>
      <c r="S232" s="286"/>
      <c r="T232" s="483"/>
      <c r="U232" s="264"/>
    </row>
    <row r="233" spans="1:21" ht="12.75">
      <c r="A233" s="491"/>
      <c r="B233" s="494"/>
      <c r="C233" s="494"/>
      <c r="D233" s="497"/>
      <c r="E233" s="478"/>
      <c r="F233" s="481"/>
      <c r="G233" s="485">
        <f>G227+G230</f>
        <v>338368</v>
      </c>
      <c r="H233" s="295" t="s">
        <v>123</v>
      </c>
      <c r="I233" s="280"/>
      <c r="J233" s="285"/>
      <c r="K233" s="268">
        <f t="shared" si="29"/>
        <v>0</v>
      </c>
      <c r="L233" s="285"/>
      <c r="M233" s="285"/>
      <c r="N233" s="285"/>
      <c r="O233" s="285"/>
      <c r="P233" s="285"/>
      <c r="Q233" s="285"/>
      <c r="R233" s="285"/>
      <c r="S233" s="286"/>
      <c r="T233" s="483"/>
      <c r="U233" s="264"/>
    </row>
    <row r="234" spans="1:21" ht="12.75">
      <c r="A234" s="491"/>
      <c r="B234" s="494"/>
      <c r="C234" s="494"/>
      <c r="D234" s="497"/>
      <c r="E234" s="478"/>
      <c r="F234" s="481"/>
      <c r="G234" s="488"/>
      <c r="H234" s="295" t="s">
        <v>124</v>
      </c>
      <c r="I234" s="281">
        <f>I226+I228+I230+I232</f>
        <v>0</v>
      </c>
      <c r="J234" s="287">
        <f>J226+J228+J230+J232</f>
        <v>0</v>
      </c>
      <c r="K234" s="268">
        <f t="shared" si="29"/>
        <v>0</v>
      </c>
      <c r="L234" s="287">
        <f aca="true" t="shared" si="30" ref="L234:S235">L226+L228+L230+L232</f>
        <v>151385</v>
      </c>
      <c r="M234" s="287">
        <f t="shared" si="30"/>
        <v>186983</v>
      </c>
      <c r="N234" s="287">
        <f t="shared" si="30"/>
        <v>0</v>
      </c>
      <c r="O234" s="287">
        <f t="shared" si="30"/>
        <v>0</v>
      </c>
      <c r="P234" s="287">
        <f t="shared" si="30"/>
        <v>0</v>
      </c>
      <c r="Q234" s="287">
        <f t="shared" si="30"/>
        <v>0</v>
      </c>
      <c r="R234" s="287">
        <f t="shared" si="30"/>
        <v>0</v>
      </c>
      <c r="S234" s="288">
        <f t="shared" si="30"/>
        <v>0</v>
      </c>
      <c r="T234" s="483"/>
      <c r="U234" s="264"/>
    </row>
    <row r="235" spans="1:21" ht="13.5" thickBot="1">
      <c r="A235" s="492"/>
      <c r="B235" s="495"/>
      <c r="C235" s="495"/>
      <c r="D235" s="498"/>
      <c r="E235" s="479"/>
      <c r="F235" s="487"/>
      <c r="G235" s="489"/>
      <c r="H235" s="297" t="s">
        <v>125</v>
      </c>
      <c r="I235" s="282">
        <f>I227+I229+I231+I233</f>
        <v>0</v>
      </c>
      <c r="J235" s="289">
        <f>J227+J229+J231+J233</f>
        <v>0</v>
      </c>
      <c r="K235" s="277">
        <f t="shared" si="29"/>
        <v>0</v>
      </c>
      <c r="L235" s="289">
        <f t="shared" si="30"/>
        <v>0</v>
      </c>
      <c r="M235" s="289">
        <f t="shared" si="30"/>
        <v>0</v>
      </c>
      <c r="N235" s="289">
        <f t="shared" si="30"/>
        <v>0</v>
      </c>
      <c r="O235" s="289">
        <f t="shared" si="30"/>
        <v>0</v>
      </c>
      <c r="P235" s="289">
        <f t="shared" si="30"/>
        <v>0</v>
      </c>
      <c r="Q235" s="289">
        <f t="shared" si="30"/>
        <v>0</v>
      </c>
      <c r="R235" s="289">
        <f t="shared" si="30"/>
        <v>0</v>
      </c>
      <c r="S235" s="290">
        <f t="shared" si="30"/>
        <v>0</v>
      </c>
      <c r="T235" s="484"/>
      <c r="U235" s="264"/>
    </row>
    <row r="236" spans="1:21" ht="12.75">
      <c r="A236" s="490">
        <f>A226+1</f>
        <v>24</v>
      </c>
      <c r="B236" s="515">
        <v>801</v>
      </c>
      <c r="C236" s="515">
        <v>80195</v>
      </c>
      <c r="D236" s="499" t="s">
        <v>156</v>
      </c>
      <c r="E236" s="541" t="s">
        <v>157</v>
      </c>
      <c r="F236" s="513">
        <v>2011</v>
      </c>
      <c r="G236" s="259" t="s">
        <v>113</v>
      </c>
      <c r="H236" s="260" t="s">
        <v>114</v>
      </c>
      <c r="I236" s="261"/>
      <c r="J236" s="262"/>
      <c r="K236" s="262">
        <f t="shared" si="29"/>
        <v>0</v>
      </c>
      <c r="L236" s="262"/>
      <c r="M236" s="262"/>
      <c r="N236" s="262"/>
      <c r="O236" s="262"/>
      <c r="P236" s="262"/>
      <c r="Q236" s="262"/>
      <c r="R236" s="262"/>
      <c r="S236" s="263"/>
      <c r="T236" s="482">
        <f>M244+N244+O244+P244+Q244+R244+M245+N245+O245+P245+Q245+S244+S245+R245</f>
        <v>3320</v>
      </c>
      <c r="U236" s="264"/>
    </row>
    <row r="237" spans="1:21" ht="12.75">
      <c r="A237" s="491"/>
      <c r="B237" s="516"/>
      <c r="C237" s="516"/>
      <c r="D237" s="500"/>
      <c r="E237" s="542"/>
      <c r="F237" s="514"/>
      <c r="G237" s="502">
        <f>SUM(K244:S244)</f>
        <v>14956</v>
      </c>
      <c r="H237" s="265" t="s">
        <v>115</v>
      </c>
      <c r="I237" s="266"/>
      <c r="J237" s="267"/>
      <c r="K237" s="268">
        <f t="shared" si="29"/>
        <v>0</v>
      </c>
      <c r="L237" s="267"/>
      <c r="M237" s="267"/>
      <c r="N237" s="267"/>
      <c r="O237" s="267"/>
      <c r="P237" s="267"/>
      <c r="Q237" s="267"/>
      <c r="R237" s="267"/>
      <c r="S237" s="269"/>
      <c r="T237" s="483"/>
      <c r="U237" s="264"/>
    </row>
    <row r="238" spans="1:21" ht="12.75">
      <c r="A238" s="491"/>
      <c r="B238" s="516"/>
      <c r="C238" s="516"/>
      <c r="D238" s="500"/>
      <c r="E238" s="542"/>
      <c r="F238" s="514"/>
      <c r="G238" s="503"/>
      <c r="H238" s="265" t="s">
        <v>116</v>
      </c>
      <c r="I238" s="266"/>
      <c r="J238" s="267">
        <v>1248</v>
      </c>
      <c r="K238" s="268">
        <f t="shared" si="29"/>
        <v>1248</v>
      </c>
      <c r="L238" s="267">
        <v>498</v>
      </c>
      <c r="M238" s="267">
        <v>498</v>
      </c>
      <c r="N238" s="267"/>
      <c r="O238" s="267"/>
      <c r="P238" s="267"/>
      <c r="Q238" s="267"/>
      <c r="R238" s="267"/>
      <c r="S238" s="269"/>
      <c r="T238" s="483"/>
      <c r="U238" s="264"/>
    </row>
    <row r="239" spans="1:21" ht="12.75">
      <c r="A239" s="491"/>
      <c r="B239" s="516"/>
      <c r="C239" s="516"/>
      <c r="D239" s="500"/>
      <c r="E239" s="542"/>
      <c r="F239" s="514"/>
      <c r="G239" s="270" t="s">
        <v>117</v>
      </c>
      <c r="H239" s="265" t="s">
        <v>118</v>
      </c>
      <c r="I239" s="266"/>
      <c r="J239" s="267"/>
      <c r="K239" s="268">
        <f t="shared" si="29"/>
        <v>0</v>
      </c>
      <c r="L239" s="267"/>
      <c r="M239" s="267"/>
      <c r="N239" s="267"/>
      <c r="O239" s="267"/>
      <c r="P239" s="267"/>
      <c r="Q239" s="267"/>
      <c r="R239" s="267"/>
      <c r="S239" s="269"/>
      <c r="T239" s="483"/>
      <c r="U239" s="264"/>
    </row>
    <row r="240" spans="1:21" ht="12.75">
      <c r="A240" s="491"/>
      <c r="B240" s="516"/>
      <c r="C240" s="516"/>
      <c r="D240" s="500"/>
      <c r="E240" s="542"/>
      <c r="F240" s="514"/>
      <c r="G240" s="502">
        <f>I245+J245+L245+M245+N245</f>
        <v>0</v>
      </c>
      <c r="H240" s="265" t="s">
        <v>119</v>
      </c>
      <c r="I240" s="266"/>
      <c r="J240" s="267">
        <v>7068</v>
      </c>
      <c r="K240" s="268">
        <f t="shared" si="29"/>
        <v>7068</v>
      </c>
      <c r="L240" s="267">
        <v>2822</v>
      </c>
      <c r="M240" s="267">
        <v>2822</v>
      </c>
      <c r="N240" s="267"/>
      <c r="O240" s="267"/>
      <c r="P240" s="267"/>
      <c r="Q240" s="267"/>
      <c r="R240" s="267"/>
      <c r="S240" s="269"/>
      <c r="T240" s="483"/>
      <c r="U240" s="264"/>
    </row>
    <row r="241" spans="1:21" ht="12.75">
      <c r="A241" s="491"/>
      <c r="B241" s="516"/>
      <c r="C241" s="516"/>
      <c r="D241" s="500"/>
      <c r="E241" s="542"/>
      <c r="F241" s="550">
        <v>2014</v>
      </c>
      <c r="G241" s="503"/>
      <c r="H241" s="265" t="s">
        <v>120</v>
      </c>
      <c r="I241" s="266"/>
      <c r="J241" s="267"/>
      <c r="K241" s="268">
        <f t="shared" si="29"/>
        <v>0</v>
      </c>
      <c r="L241" s="267"/>
      <c r="M241" s="267"/>
      <c r="N241" s="267"/>
      <c r="O241" s="267"/>
      <c r="P241" s="267"/>
      <c r="Q241" s="267"/>
      <c r="R241" s="267"/>
      <c r="S241" s="269"/>
      <c r="T241" s="483"/>
      <c r="U241" s="264"/>
    </row>
    <row r="242" spans="1:21" ht="12.75">
      <c r="A242" s="491"/>
      <c r="B242" s="516"/>
      <c r="C242" s="516"/>
      <c r="D242" s="500"/>
      <c r="E242" s="542"/>
      <c r="F242" s="551"/>
      <c r="G242" s="270" t="s">
        <v>121</v>
      </c>
      <c r="H242" s="265" t="s">
        <v>122</v>
      </c>
      <c r="I242" s="266"/>
      <c r="J242" s="267"/>
      <c r="K242" s="268">
        <f t="shared" si="29"/>
        <v>0</v>
      </c>
      <c r="L242" s="267"/>
      <c r="M242" s="267"/>
      <c r="N242" s="267"/>
      <c r="O242" s="267"/>
      <c r="P242" s="267"/>
      <c r="Q242" s="267"/>
      <c r="R242" s="267"/>
      <c r="S242" s="269"/>
      <c r="T242" s="483"/>
      <c r="U242" s="264"/>
    </row>
    <row r="243" spans="1:21" ht="12.75">
      <c r="A243" s="491"/>
      <c r="B243" s="516"/>
      <c r="C243" s="516"/>
      <c r="D243" s="500"/>
      <c r="E243" s="542"/>
      <c r="F243" s="551"/>
      <c r="G243" s="575">
        <f>G237+G240</f>
        <v>14956</v>
      </c>
      <c r="H243" s="265" t="s">
        <v>123</v>
      </c>
      <c r="I243" s="266"/>
      <c r="J243" s="267"/>
      <c r="K243" s="268">
        <f t="shared" si="29"/>
        <v>0</v>
      </c>
      <c r="L243" s="267"/>
      <c r="M243" s="267"/>
      <c r="N243" s="267"/>
      <c r="O243" s="267"/>
      <c r="P243" s="267"/>
      <c r="Q243" s="267"/>
      <c r="R243" s="267"/>
      <c r="S243" s="269"/>
      <c r="T243" s="483"/>
      <c r="U243" s="264"/>
    </row>
    <row r="244" spans="1:21" ht="12.75">
      <c r="A244" s="491"/>
      <c r="B244" s="516"/>
      <c r="C244" s="516"/>
      <c r="D244" s="500"/>
      <c r="E244" s="542"/>
      <c r="F244" s="551"/>
      <c r="G244" s="576"/>
      <c r="H244" s="265" t="s">
        <v>124</v>
      </c>
      <c r="I244" s="271">
        <f>I236+I238+I240+I242</f>
        <v>0</v>
      </c>
      <c r="J244" s="272">
        <f>J236+J238+J240+J242</f>
        <v>8316</v>
      </c>
      <c r="K244" s="268">
        <f t="shared" si="29"/>
        <v>8316</v>
      </c>
      <c r="L244" s="272">
        <f aca="true" t="shared" si="31" ref="L244:S244">L236+L238+L240+L242</f>
        <v>3320</v>
      </c>
      <c r="M244" s="272">
        <f t="shared" si="31"/>
        <v>3320</v>
      </c>
      <c r="N244" s="272">
        <f t="shared" si="31"/>
        <v>0</v>
      </c>
      <c r="O244" s="272">
        <f t="shared" si="31"/>
        <v>0</v>
      </c>
      <c r="P244" s="272">
        <f t="shared" si="31"/>
        <v>0</v>
      </c>
      <c r="Q244" s="272">
        <f t="shared" si="31"/>
        <v>0</v>
      </c>
      <c r="R244" s="272">
        <f t="shared" si="31"/>
        <v>0</v>
      </c>
      <c r="S244" s="273">
        <f t="shared" si="31"/>
        <v>0</v>
      </c>
      <c r="T244" s="483"/>
      <c r="U244" s="264"/>
    </row>
    <row r="245" spans="1:21" ht="13.5" thickBot="1">
      <c r="A245" s="492"/>
      <c r="B245" s="517"/>
      <c r="C245" s="517"/>
      <c r="D245" s="501"/>
      <c r="E245" s="543"/>
      <c r="F245" s="552"/>
      <c r="G245" s="577"/>
      <c r="H245" s="274" t="s">
        <v>125</v>
      </c>
      <c r="I245" s="275"/>
      <c r="J245" s="276"/>
      <c r="K245" s="277">
        <f t="shared" si="29"/>
        <v>0</v>
      </c>
      <c r="L245" s="276"/>
      <c r="M245" s="276"/>
      <c r="N245" s="276"/>
      <c r="O245" s="276"/>
      <c r="P245" s="276"/>
      <c r="Q245" s="276"/>
      <c r="R245" s="276"/>
      <c r="S245" s="278"/>
      <c r="T245" s="484"/>
      <c r="U245" s="264"/>
    </row>
    <row r="246" spans="1:21" ht="12.75">
      <c r="A246" s="520">
        <f>A236+1</f>
        <v>25</v>
      </c>
      <c r="B246" s="515">
        <v>853</v>
      </c>
      <c r="C246" s="515">
        <v>85395</v>
      </c>
      <c r="D246" s="499" t="s">
        <v>158</v>
      </c>
      <c r="E246" s="541" t="s">
        <v>157</v>
      </c>
      <c r="F246" s="513">
        <v>2011</v>
      </c>
      <c r="G246" s="259" t="s">
        <v>113</v>
      </c>
      <c r="H246" s="260" t="s">
        <v>114</v>
      </c>
      <c r="I246" s="261"/>
      <c r="J246" s="262"/>
      <c r="K246" s="262">
        <f t="shared" si="29"/>
        <v>0</v>
      </c>
      <c r="L246" s="262"/>
      <c r="M246" s="262"/>
      <c r="N246" s="262"/>
      <c r="O246" s="262"/>
      <c r="P246" s="262"/>
      <c r="Q246" s="262"/>
      <c r="R246" s="262"/>
      <c r="S246" s="263"/>
      <c r="T246" s="482">
        <f>M254+N254+O254+P254+Q254+R254+M255+N255+O255+P255+Q255+S254+S255+R255</f>
        <v>593280</v>
      </c>
      <c r="U246" s="264"/>
    </row>
    <row r="247" spans="1:21" ht="12.75">
      <c r="A247" s="521"/>
      <c r="B247" s="516"/>
      <c r="C247" s="516"/>
      <c r="D247" s="500"/>
      <c r="E247" s="542"/>
      <c r="F247" s="514"/>
      <c r="G247" s="502">
        <f>SUM(K254:S254)</f>
        <v>2717521</v>
      </c>
      <c r="H247" s="265" t="s">
        <v>115</v>
      </c>
      <c r="I247" s="266"/>
      <c r="J247" s="267"/>
      <c r="K247" s="268">
        <f t="shared" si="29"/>
        <v>0</v>
      </c>
      <c r="L247" s="267"/>
      <c r="M247" s="267"/>
      <c r="N247" s="267"/>
      <c r="O247" s="267"/>
      <c r="P247" s="267"/>
      <c r="Q247" s="267"/>
      <c r="R247" s="267"/>
      <c r="S247" s="269"/>
      <c r="T247" s="483"/>
      <c r="U247" s="264"/>
    </row>
    <row r="248" spans="1:21" ht="12.75">
      <c r="A248" s="521"/>
      <c r="B248" s="516"/>
      <c r="C248" s="516"/>
      <c r="D248" s="500"/>
      <c r="E248" s="542"/>
      <c r="F248" s="514"/>
      <c r="G248" s="503"/>
      <c r="H248" s="265" t="s">
        <v>116</v>
      </c>
      <c r="I248" s="266"/>
      <c r="J248" s="267">
        <f>138501-77609</f>
        <v>60892</v>
      </c>
      <c r="K248" s="268">
        <f t="shared" si="29"/>
        <v>60892</v>
      </c>
      <c r="L248" s="267">
        <f>180136+77609</f>
        <v>257745</v>
      </c>
      <c r="M248" s="267">
        <v>88992</v>
      </c>
      <c r="N248" s="267"/>
      <c r="O248" s="267"/>
      <c r="P248" s="267"/>
      <c r="Q248" s="267"/>
      <c r="R248" s="267"/>
      <c r="S248" s="269"/>
      <c r="T248" s="483"/>
      <c r="U248" s="264"/>
    </row>
    <row r="249" spans="1:21" ht="12.75">
      <c r="A249" s="521"/>
      <c r="B249" s="516"/>
      <c r="C249" s="516"/>
      <c r="D249" s="500"/>
      <c r="E249" s="542"/>
      <c r="F249" s="514"/>
      <c r="G249" s="270" t="s">
        <v>117</v>
      </c>
      <c r="H249" s="265" t="s">
        <v>118</v>
      </c>
      <c r="I249" s="266"/>
      <c r="J249" s="267"/>
      <c r="K249" s="268">
        <f t="shared" si="29"/>
        <v>0</v>
      </c>
      <c r="L249" s="267"/>
      <c r="M249" s="267"/>
      <c r="N249" s="267"/>
      <c r="O249" s="267"/>
      <c r="P249" s="267"/>
      <c r="Q249" s="267"/>
      <c r="R249" s="267"/>
      <c r="S249" s="269"/>
      <c r="T249" s="483"/>
      <c r="U249" s="264"/>
    </row>
    <row r="250" spans="1:21" ht="12.75">
      <c r="A250" s="521"/>
      <c r="B250" s="516"/>
      <c r="C250" s="516"/>
      <c r="D250" s="500"/>
      <c r="E250" s="542"/>
      <c r="F250" s="514"/>
      <c r="G250" s="502">
        <f>SUM(K255:S255)</f>
        <v>0</v>
      </c>
      <c r="H250" s="265" t="s">
        <v>119</v>
      </c>
      <c r="I250" s="266"/>
      <c r="J250" s="267">
        <f>784836-439785</f>
        <v>345051</v>
      </c>
      <c r="K250" s="268">
        <f t="shared" si="29"/>
        <v>345051</v>
      </c>
      <c r="L250" s="267">
        <f>1020768+439785</f>
        <v>1460553</v>
      </c>
      <c r="M250" s="267">
        <v>504288</v>
      </c>
      <c r="N250" s="267"/>
      <c r="O250" s="267"/>
      <c r="P250" s="267"/>
      <c r="Q250" s="267"/>
      <c r="R250" s="267"/>
      <c r="S250" s="269"/>
      <c r="T250" s="483"/>
      <c r="U250" s="264"/>
    </row>
    <row r="251" spans="1:21" ht="12.75">
      <c r="A251" s="521"/>
      <c r="B251" s="516"/>
      <c r="C251" s="516"/>
      <c r="D251" s="500"/>
      <c r="E251" s="542"/>
      <c r="F251" s="514">
        <v>2013</v>
      </c>
      <c r="G251" s="503"/>
      <c r="H251" s="265" t="s">
        <v>120</v>
      </c>
      <c r="I251" s="266"/>
      <c r="J251" s="267"/>
      <c r="K251" s="268">
        <f t="shared" si="29"/>
        <v>0</v>
      </c>
      <c r="L251" s="267"/>
      <c r="M251" s="267"/>
      <c r="N251" s="267"/>
      <c r="O251" s="267"/>
      <c r="P251" s="267"/>
      <c r="Q251" s="267"/>
      <c r="R251" s="267"/>
      <c r="S251" s="269"/>
      <c r="T251" s="483"/>
      <c r="U251" s="264"/>
    </row>
    <row r="252" spans="1:21" ht="12.75">
      <c r="A252" s="521"/>
      <c r="B252" s="516"/>
      <c r="C252" s="516"/>
      <c r="D252" s="500"/>
      <c r="E252" s="542"/>
      <c r="F252" s="514"/>
      <c r="G252" s="270" t="s">
        <v>121</v>
      </c>
      <c r="H252" s="265" t="s">
        <v>122</v>
      </c>
      <c r="I252" s="266"/>
      <c r="J252" s="267"/>
      <c r="K252" s="268">
        <f t="shared" si="29"/>
        <v>0</v>
      </c>
      <c r="L252" s="267"/>
      <c r="M252" s="267"/>
      <c r="N252" s="267"/>
      <c r="O252" s="267"/>
      <c r="P252" s="267"/>
      <c r="Q252" s="267"/>
      <c r="R252" s="267"/>
      <c r="S252" s="269"/>
      <c r="T252" s="483"/>
      <c r="U252" s="264"/>
    </row>
    <row r="253" spans="1:21" ht="12.75">
      <c r="A253" s="521"/>
      <c r="B253" s="516"/>
      <c r="C253" s="516"/>
      <c r="D253" s="500"/>
      <c r="E253" s="542"/>
      <c r="F253" s="514"/>
      <c r="G253" s="502">
        <f>G247+G250</f>
        <v>2717521</v>
      </c>
      <c r="H253" s="265" t="s">
        <v>123</v>
      </c>
      <c r="I253" s="266"/>
      <c r="J253" s="267"/>
      <c r="K253" s="268">
        <f t="shared" si="29"/>
        <v>0</v>
      </c>
      <c r="L253" s="267"/>
      <c r="M253" s="267"/>
      <c r="N253" s="267"/>
      <c r="O253" s="267"/>
      <c r="P253" s="267"/>
      <c r="Q253" s="267"/>
      <c r="R253" s="267"/>
      <c r="S253" s="269"/>
      <c r="T253" s="483"/>
      <c r="U253" s="264"/>
    </row>
    <row r="254" spans="1:21" ht="12.75">
      <c r="A254" s="521"/>
      <c r="B254" s="516"/>
      <c r="C254" s="516"/>
      <c r="D254" s="500"/>
      <c r="E254" s="542"/>
      <c r="F254" s="514"/>
      <c r="G254" s="504"/>
      <c r="H254" s="265" t="s">
        <v>124</v>
      </c>
      <c r="I254" s="271">
        <f>I246+I248+I250+I252</f>
        <v>0</v>
      </c>
      <c r="J254" s="272">
        <f>J246+J248+J250+J252</f>
        <v>405943</v>
      </c>
      <c r="K254" s="268">
        <f t="shared" si="29"/>
        <v>405943</v>
      </c>
      <c r="L254" s="272">
        <f aca="true" t="shared" si="32" ref="L254:S255">L246+L248+L250+L252</f>
        <v>1718298</v>
      </c>
      <c r="M254" s="272">
        <f t="shared" si="32"/>
        <v>593280</v>
      </c>
      <c r="N254" s="272">
        <f t="shared" si="32"/>
        <v>0</v>
      </c>
      <c r="O254" s="272">
        <f t="shared" si="32"/>
        <v>0</v>
      </c>
      <c r="P254" s="272">
        <f t="shared" si="32"/>
        <v>0</v>
      </c>
      <c r="Q254" s="272">
        <f t="shared" si="32"/>
        <v>0</v>
      </c>
      <c r="R254" s="272">
        <f t="shared" si="32"/>
        <v>0</v>
      </c>
      <c r="S254" s="273">
        <f t="shared" si="32"/>
        <v>0</v>
      </c>
      <c r="T254" s="483"/>
      <c r="U254" s="264"/>
    </row>
    <row r="255" spans="1:21" ht="13.5" thickBot="1">
      <c r="A255" s="522"/>
      <c r="B255" s="517"/>
      <c r="C255" s="517"/>
      <c r="D255" s="501"/>
      <c r="E255" s="543"/>
      <c r="F255" s="518"/>
      <c r="G255" s="472"/>
      <c r="H255" s="274" t="s">
        <v>125</v>
      </c>
      <c r="I255" s="275">
        <f>I247+I249+I251+I253</f>
        <v>0</v>
      </c>
      <c r="J255" s="276">
        <f>J247+J249+J251+J253</f>
        <v>0</v>
      </c>
      <c r="K255" s="277">
        <f t="shared" si="29"/>
        <v>0</v>
      </c>
      <c r="L255" s="276">
        <f t="shared" si="32"/>
        <v>0</v>
      </c>
      <c r="M255" s="276">
        <f t="shared" si="32"/>
        <v>0</v>
      </c>
      <c r="N255" s="276">
        <f t="shared" si="32"/>
        <v>0</v>
      </c>
      <c r="O255" s="276">
        <f t="shared" si="32"/>
        <v>0</v>
      </c>
      <c r="P255" s="276">
        <f t="shared" si="32"/>
        <v>0</v>
      </c>
      <c r="Q255" s="276">
        <f t="shared" si="32"/>
        <v>0</v>
      </c>
      <c r="R255" s="276">
        <f t="shared" si="32"/>
        <v>0</v>
      </c>
      <c r="S255" s="278">
        <f t="shared" si="32"/>
        <v>0</v>
      </c>
      <c r="T255" s="484"/>
      <c r="U255" s="264"/>
    </row>
    <row r="256" spans="1:21" ht="13.5" thickBot="1">
      <c r="A256" s="531">
        <f>A246+1</f>
        <v>26</v>
      </c>
      <c r="B256" s="534">
        <v>900</v>
      </c>
      <c r="C256" s="534">
        <v>90001</v>
      </c>
      <c r="D256" s="537" t="s">
        <v>159</v>
      </c>
      <c r="E256" s="540" t="s">
        <v>160</v>
      </c>
      <c r="F256" s="410">
        <v>2009</v>
      </c>
      <c r="G256" s="298" t="s">
        <v>113</v>
      </c>
      <c r="H256" s="299" t="s">
        <v>114</v>
      </c>
      <c r="I256" s="300"/>
      <c r="J256" s="301"/>
      <c r="K256" s="301">
        <f t="shared" si="29"/>
        <v>0</v>
      </c>
      <c r="L256" s="301"/>
      <c r="M256" s="301"/>
      <c r="N256" s="301"/>
      <c r="O256" s="301"/>
      <c r="P256" s="301"/>
      <c r="Q256" s="301"/>
      <c r="R256" s="301"/>
      <c r="S256" s="302"/>
      <c r="T256" s="412">
        <f>M264+N264+O264+P264+Q264+R264+M265+N265+O265+P265+Q265+S264+S265+R265</f>
        <v>0</v>
      </c>
      <c r="U256" s="264"/>
    </row>
    <row r="257" spans="1:21" ht="13.5" thickBot="1">
      <c r="A257" s="532"/>
      <c r="B257" s="535"/>
      <c r="C257" s="535"/>
      <c r="D257" s="538"/>
      <c r="E257" s="540"/>
      <c r="F257" s="411"/>
      <c r="G257" s="415">
        <f>SUM(K264:S264)</f>
        <v>0</v>
      </c>
      <c r="H257" s="303" t="s">
        <v>115</v>
      </c>
      <c r="I257" s="304">
        <f>1536778+37088</f>
        <v>1573866</v>
      </c>
      <c r="J257" s="305">
        <v>235658</v>
      </c>
      <c r="K257" s="306">
        <f aca="true" t="shared" si="33" ref="K257:K288">I257+J257</f>
        <v>1809524</v>
      </c>
      <c r="L257" s="305">
        <v>4832447</v>
      </c>
      <c r="M257" s="305"/>
      <c r="N257" s="305"/>
      <c r="O257" s="305"/>
      <c r="P257" s="305"/>
      <c r="Q257" s="305"/>
      <c r="R257" s="305"/>
      <c r="S257" s="307"/>
      <c r="T257" s="413"/>
      <c r="U257" s="264"/>
    </row>
    <row r="258" spans="1:22" ht="13.5" thickBot="1">
      <c r="A258" s="532"/>
      <c r="B258" s="535"/>
      <c r="C258" s="535"/>
      <c r="D258" s="538"/>
      <c r="E258" s="540"/>
      <c r="F258" s="411"/>
      <c r="G258" s="342"/>
      <c r="H258" s="303" t="s">
        <v>116</v>
      </c>
      <c r="I258" s="304"/>
      <c r="J258" s="305"/>
      <c r="K258" s="306">
        <f t="shared" si="33"/>
        <v>0</v>
      </c>
      <c r="L258" s="305"/>
      <c r="M258" s="305"/>
      <c r="N258" s="305"/>
      <c r="O258" s="305"/>
      <c r="P258" s="305"/>
      <c r="Q258" s="305"/>
      <c r="R258" s="305"/>
      <c r="S258" s="307"/>
      <c r="T258" s="413"/>
      <c r="U258" s="264"/>
      <c r="V258" s="264"/>
    </row>
    <row r="259" spans="1:21" ht="13.5" thickBot="1">
      <c r="A259" s="532"/>
      <c r="B259" s="535"/>
      <c r="C259" s="535"/>
      <c r="D259" s="538"/>
      <c r="E259" s="540"/>
      <c r="F259" s="411"/>
      <c r="G259" s="308" t="s">
        <v>117</v>
      </c>
      <c r="H259" s="303" t="s">
        <v>118</v>
      </c>
      <c r="I259" s="304"/>
      <c r="J259" s="305"/>
      <c r="K259" s="306">
        <f t="shared" si="33"/>
        <v>0</v>
      </c>
      <c r="L259" s="305"/>
      <c r="M259" s="305"/>
      <c r="N259" s="305"/>
      <c r="O259" s="305"/>
      <c r="P259" s="305"/>
      <c r="Q259" s="305"/>
      <c r="R259" s="305"/>
      <c r="S259" s="307"/>
      <c r="T259" s="413"/>
      <c r="U259" s="264"/>
    </row>
    <row r="260" spans="1:21" ht="13.5" thickBot="1">
      <c r="A260" s="532"/>
      <c r="B260" s="535"/>
      <c r="C260" s="535"/>
      <c r="D260" s="538"/>
      <c r="E260" s="540"/>
      <c r="F260" s="411"/>
      <c r="G260" s="415">
        <f>SUM(K265:S265)</f>
        <v>21736172</v>
      </c>
      <c r="H260" s="303" t="s">
        <v>119</v>
      </c>
      <c r="I260" s="304"/>
      <c r="J260" s="305"/>
      <c r="K260" s="306">
        <f t="shared" si="33"/>
        <v>0</v>
      </c>
      <c r="L260" s="305"/>
      <c r="M260" s="305"/>
      <c r="N260" s="305"/>
      <c r="O260" s="305"/>
      <c r="P260" s="305"/>
      <c r="Q260" s="305"/>
      <c r="R260" s="305"/>
      <c r="S260" s="307"/>
      <c r="T260" s="413"/>
      <c r="U260" s="264"/>
    </row>
    <row r="261" spans="1:21" ht="13.5" thickBot="1">
      <c r="A261" s="532"/>
      <c r="B261" s="535"/>
      <c r="C261" s="535"/>
      <c r="D261" s="538"/>
      <c r="E261" s="540"/>
      <c r="F261" s="411">
        <v>2012</v>
      </c>
      <c r="G261" s="342"/>
      <c r="H261" s="303" t="s">
        <v>120</v>
      </c>
      <c r="I261" s="304">
        <v>3512014</v>
      </c>
      <c r="J261" s="305">
        <v>538553</v>
      </c>
      <c r="K261" s="306">
        <f t="shared" si="33"/>
        <v>4050567</v>
      </c>
      <c r="L261" s="305">
        <v>11043634</v>
      </c>
      <c r="M261" s="305"/>
      <c r="N261" s="305"/>
      <c r="O261" s="305"/>
      <c r="P261" s="305"/>
      <c r="Q261" s="305"/>
      <c r="R261" s="305"/>
      <c r="S261" s="307"/>
      <c r="T261" s="413"/>
      <c r="U261" s="264"/>
    </row>
    <row r="262" spans="1:21" ht="13.5" thickBot="1">
      <c r="A262" s="532"/>
      <c r="B262" s="535"/>
      <c r="C262" s="535"/>
      <c r="D262" s="538"/>
      <c r="E262" s="540"/>
      <c r="F262" s="411"/>
      <c r="G262" s="308" t="s">
        <v>121</v>
      </c>
      <c r="H262" s="303" t="s">
        <v>122</v>
      </c>
      <c r="I262" s="304"/>
      <c r="J262" s="305"/>
      <c r="K262" s="306">
        <f t="shared" si="33"/>
        <v>0</v>
      </c>
      <c r="L262" s="305"/>
      <c r="M262" s="305"/>
      <c r="N262" s="305"/>
      <c r="O262" s="305"/>
      <c r="P262" s="305"/>
      <c r="Q262" s="305"/>
      <c r="R262" s="305"/>
      <c r="S262" s="307"/>
      <c r="T262" s="413"/>
      <c r="U262" s="264"/>
    </row>
    <row r="263" spans="1:21" ht="13.5" thickBot="1">
      <c r="A263" s="532"/>
      <c r="B263" s="535"/>
      <c r="C263" s="535"/>
      <c r="D263" s="538"/>
      <c r="E263" s="540"/>
      <c r="F263" s="411"/>
      <c r="G263" s="415">
        <f>G257+G260</f>
        <v>21736172</v>
      </c>
      <c r="H263" s="303" t="s">
        <v>123</v>
      </c>
      <c r="I263" s="304"/>
      <c r="J263" s="305"/>
      <c r="K263" s="306">
        <f t="shared" si="33"/>
        <v>0</v>
      </c>
      <c r="L263" s="305"/>
      <c r="M263" s="305"/>
      <c r="N263" s="305"/>
      <c r="O263" s="305"/>
      <c r="P263" s="305"/>
      <c r="Q263" s="305"/>
      <c r="R263" s="305"/>
      <c r="S263" s="307"/>
      <c r="T263" s="413"/>
      <c r="U263" s="264"/>
    </row>
    <row r="264" spans="1:21" ht="13.5" thickBot="1">
      <c r="A264" s="532"/>
      <c r="B264" s="535"/>
      <c r="C264" s="535"/>
      <c r="D264" s="538"/>
      <c r="E264" s="540"/>
      <c r="F264" s="411"/>
      <c r="G264" s="506"/>
      <c r="H264" s="303" t="s">
        <v>124</v>
      </c>
      <c r="I264" s="309">
        <f>I256+I258+I260+I262</f>
        <v>0</v>
      </c>
      <c r="J264" s="310">
        <f>J256+J258+J260+J262</f>
        <v>0</v>
      </c>
      <c r="K264" s="306">
        <f t="shared" si="33"/>
        <v>0</v>
      </c>
      <c r="L264" s="310">
        <f aca="true" t="shared" si="34" ref="L264:S265">L256+L258+L260+L262</f>
        <v>0</v>
      </c>
      <c r="M264" s="310">
        <f t="shared" si="34"/>
        <v>0</v>
      </c>
      <c r="N264" s="310">
        <f t="shared" si="34"/>
        <v>0</v>
      </c>
      <c r="O264" s="310">
        <f t="shared" si="34"/>
        <v>0</v>
      </c>
      <c r="P264" s="310">
        <f t="shared" si="34"/>
        <v>0</v>
      </c>
      <c r="Q264" s="310">
        <f t="shared" si="34"/>
        <v>0</v>
      </c>
      <c r="R264" s="310">
        <f t="shared" si="34"/>
        <v>0</v>
      </c>
      <c r="S264" s="311">
        <f t="shared" si="34"/>
        <v>0</v>
      </c>
      <c r="T264" s="413"/>
      <c r="U264" s="264"/>
    </row>
    <row r="265" spans="1:21" ht="13.5" thickBot="1">
      <c r="A265" s="533"/>
      <c r="B265" s="536"/>
      <c r="C265" s="536"/>
      <c r="D265" s="539"/>
      <c r="E265" s="540"/>
      <c r="F265" s="505"/>
      <c r="G265" s="507"/>
      <c r="H265" s="312" t="s">
        <v>125</v>
      </c>
      <c r="I265" s="313">
        <f>I257+I259+I261+I263</f>
        <v>5085880</v>
      </c>
      <c r="J265" s="314">
        <f>J257+J259+J261+J263</f>
        <v>774211</v>
      </c>
      <c r="K265" s="315">
        <f t="shared" si="33"/>
        <v>5860091</v>
      </c>
      <c r="L265" s="314">
        <f t="shared" si="34"/>
        <v>15876081</v>
      </c>
      <c r="M265" s="314">
        <f t="shared" si="34"/>
        <v>0</v>
      </c>
      <c r="N265" s="314">
        <f t="shared" si="34"/>
        <v>0</v>
      </c>
      <c r="O265" s="314">
        <f t="shared" si="34"/>
        <v>0</v>
      </c>
      <c r="P265" s="314">
        <f t="shared" si="34"/>
        <v>0</v>
      </c>
      <c r="Q265" s="314">
        <f t="shared" si="34"/>
        <v>0</v>
      </c>
      <c r="R265" s="314">
        <f t="shared" si="34"/>
        <v>0</v>
      </c>
      <c r="S265" s="316">
        <f t="shared" si="34"/>
        <v>0</v>
      </c>
      <c r="T265" s="414"/>
      <c r="U265" s="264"/>
    </row>
    <row r="266" spans="1:21" ht="13.5" thickBot="1">
      <c r="A266" s="531">
        <f>A256+1</f>
        <v>27</v>
      </c>
      <c r="B266" s="534">
        <v>900</v>
      </c>
      <c r="C266" s="534">
        <v>90004</v>
      </c>
      <c r="D266" s="537" t="s">
        <v>161</v>
      </c>
      <c r="E266" s="540" t="s">
        <v>162</v>
      </c>
      <c r="F266" s="410">
        <v>2009</v>
      </c>
      <c r="G266" s="298" t="s">
        <v>113</v>
      </c>
      <c r="H266" s="299" t="s">
        <v>114</v>
      </c>
      <c r="I266" s="300"/>
      <c r="J266" s="301"/>
      <c r="K266" s="301">
        <f t="shared" si="33"/>
        <v>0</v>
      </c>
      <c r="L266" s="301"/>
      <c r="M266" s="301"/>
      <c r="N266" s="301"/>
      <c r="O266" s="301"/>
      <c r="P266" s="301"/>
      <c r="Q266" s="301"/>
      <c r="R266" s="301"/>
      <c r="S266" s="302"/>
      <c r="T266" s="412">
        <f>M274+N274+O274+P274+Q274+R274+M275+N275+O275+P275+Q275+S274+S275+R275</f>
        <v>2131333</v>
      </c>
      <c r="U266" s="264"/>
    </row>
    <row r="267" spans="1:21" ht="13.5" thickBot="1">
      <c r="A267" s="532"/>
      <c r="B267" s="535"/>
      <c r="C267" s="535"/>
      <c r="D267" s="538"/>
      <c r="E267" s="540"/>
      <c r="F267" s="411"/>
      <c r="G267" s="415">
        <f>SUM(K274:S274)</f>
        <v>0</v>
      </c>
      <c r="H267" s="303" t="s">
        <v>115</v>
      </c>
      <c r="I267" s="304"/>
      <c r="J267" s="305">
        <v>2676</v>
      </c>
      <c r="K267" s="306">
        <f t="shared" si="33"/>
        <v>2676</v>
      </c>
      <c r="L267" s="305">
        <v>1107</v>
      </c>
      <c r="M267" s="305">
        <f>84361+444128</f>
        <v>528489</v>
      </c>
      <c r="N267" s="305"/>
      <c r="O267" s="305"/>
      <c r="P267" s="305"/>
      <c r="Q267" s="305"/>
      <c r="R267" s="305"/>
      <c r="S267" s="307"/>
      <c r="T267" s="413"/>
      <c r="U267" s="264"/>
    </row>
    <row r="268" spans="1:21" ht="13.5" thickBot="1">
      <c r="A268" s="532"/>
      <c r="B268" s="535"/>
      <c r="C268" s="535"/>
      <c r="D268" s="538"/>
      <c r="E268" s="540"/>
      <c r="F268" s="411"/>
      <c r="G268" s="342"/>
      <c r="H268" s="303" t="s">
        <v>116</v>
      </c>
      <c r="I268" s="304"/>
      <c r="J268" s="305"/>
      <c r="K268" s="306">
        <f t="shared" si="33"/>
        <v>0</v>
      </c>
      <c r="L268" s="305"/>
      <c r="M268" s="305"/>
      <c r="N268" s="305"/>
      <c r="O268" s="305"/>
      <c r="P268" s="305"/>
      <c r="Q268" s="305"/>
      <c r="R268" s="305"/>
      <c r="S268" s="307"/>
      <c r="T268" s="413"/>
      <c r="U268" s="264"/>
    </row>
    <row r="269" spans="1:21" ht="13.5" thickBot="1">
      <c r="A269" s="532"/>
      <c r="B269" s="535"/>
      <c r="C269" s="535"/>
      <c r="D269" s="538"/>
      <c r="E269" s="540"/>
      <c r="F269" s="411"/>
      <c r="G269" s="308" t="s">
        <v>117</v>
      </c>
      <c r="H269" s="303" t="s">
        <v>118</v>
      </c>
      <c r="I269" s="304"/>
      <c r="J269" s="305">
        <v>5351</v>
      </c>
      <c r="K269" s="306">
        <f t="shared" si="33"/>
        <v>5351</v>
      </c>
      <c r="L269" s="305">
        <v>2214</v>
      </c>
      <c r="M269" s="305">
        <v>168720</v>
      </c>
      <c r="N269" s="305"/>
      <c r="O269" s="305"/>
      <c r="P269" s="305"/>
      <c r="Q269" s="305"/>
      <c r="R269" s="305"/>
      <c r="S269" s="307"/>
      <c r="T269" s="413"/>
      <c r="U269" s="264"/>
    </row>
    <row r="270" spans="1:21" ht="13.5" thickBot="1">
      <c r="A270" s="532"/>
      <c r="B270" s="535"/>
      <c r="C270" s="535"/>
      <c r="D270" s="538"/>
      <c r="E270" s="540"/>
      <c r="F270" s="411"/>
      <c r="G270" s="415">
        <f>SUM(K275:S275)</f>
        <v>2206983</v>
      </c>
      <c r="H270" s="303" t="s">
        <v>119</v>
      </c>
      <c r="I270" s="304"/>
      <c r="J270" s="305"/>
      <c r="K270" s="306">
        <f t="shared" si="33"/>
        <v>0</v>
      </c>
      <c r="L270" s="305"/>
      <c r="M270" s="305"/>
      <c r="N270" s="305"/>
      <c r="O270" s="305"/>
      <c r="P270" s="305"/>
      <c r="Q270" s="305"/>
      <c r="R270" s="305"/>
      <c r="S270" s="307"/>
      <c r="T270" s="413"/>
      <c r="U270" s="264"/>
    </row>
    <row r="271" spans="1:21" ht="13.5" thickBot="1">
      <c r="A271" s="532"/>
      <c r="B271" s="535"/>
      <c r="C271" s="535"/>
      <c r="D271" s="538"/>
      <c r="E271" s="540"/>
      <c r="F271" s="411">
        <v>2012</v>
      </c>
      <c r="G271" s="342"/>
      <c r="H271" s="303" t="s">
        <v>120</v>
      </c>
      <c r="I271" s="304"/>
      <c r="J271" s="305">
        <v>45480</v>
      </c>
      <c r="K271" s="306">
        <f t="shared" si="33"/>
        <v>45480</v>
      </c>
      <c r="L271" s="305">
        <v>18822</v>
      </c>
      <c r="M271" s="305">
        <v>1434124</v>
      </c>
      <c r="N271" s="305"/>
      <c r="O271" s="305"/>
      <c r="P271" s="305"/>
      <c r="Q271" s="305"/>
      <c r="R271" s="305"/>
      <c r="S271" s="307"/>
      <c r="T271" s="413"/>
      <c r="U271" s="264"/>
    </row>
    <row r="272" spans="1:21" ht="13.5" thickBot="1">
      <c r="A272" s="532"/>
      <c r="B272" s="535"/>
      <c r="C272" s="535"/>
      <c r="D272" s="538"/>
      <c r="E272" s="540"/>
      <c r="F272" s="411"/>
      <c r="G272" s="308" t="s">
        <v>121</v>
      </c>
      <c r="H272" s="303" t="s">
        <v>122</v>
      </c>
      <c r="I272" s="304"/>
      <c r="J272" s="305"/>
      <c r="K272" s="306">
        <f t="shared" si="33"/>
        <v>0</v>
      </c>
      <c r="L272" s="305"/>
      <c r="M272" s="305"/>
      <c r="N272" s="305"/>
      <c r="O272" s="305"/>
      <c r="P272" s="305"/>
      <c r="Q272" s="305"/>
      <c r="R272" s="305"/>
      <c r="S272" s="307"/>
      <c r="T272" s="413"/>
      <c r="U272" s="264"/>
    </row>
    <row r="273" spans="1:21" ht="13.5" thickBot="1">
      <c r="A273" s="532"/>
      <c r="B273" s="535"/>
      <c r="C273" s="535"/>
      <c r="D273" s="538"/>
      <c r="E273" s="540"/>
      <c r="F273" s="411"/>
      <c r="G273" s="415">
        <f>G267+G270</f>
        <v>2206983</v>
      </c>
      <c r="H273" s="303" t="s">
        <v>123</v>
      </c>
      <c r="I273" s="304"/>
      <c r="J273" s="305"/>
      <c r="K273" s="306">
        <f t="shared" si="33"/>
        <v>0</v>
      </c>
      <c r="L273" s="305"/>
      <c r="M273" s="305"/>
      <c r="N273" s="305"/>
      <c r="O273" s="305"/>
      <c r="P273" s="305"/>
      <c r="Q273" s="305"/>
      <c r="R273" s="305"/>
      <c r="S273" s="307"/>
      <c r="T273" s="413"/>
      <c r="U273" s="264"/>
    </row>
    <row r="274" spans="1:21" ht="13.5" thickBot="1">
      <c r="A274" s="532"/>
      <c r="B274" s="535"/>
      <c r="C274" s="535"/>
      <c r="D274" s="538"/>
      <c r="E274" s="540"/>
      <c r="F274" s="411"/>
      <c r="G274" s="506"/>
      <c r="H274" s="303" t="s">
        <v>124</v>
      </c>
      <c r="I274" s="309">
        <f>I266+I268+I270+I272</f>
        <v>0</v>
      </c>
      <c r="J274" s="310">
        <f>J266+J268+J270+J272</f>
        <v>0</v>
      </c>
      <c r="K274" s="306">
        <f t="shared" si="33"/>
        <v>0</v>
      </c>
      <c r="L274" s="310">
        <f aca="true" t="shared" si="35" ref="L274:S275">L266+L268+L270+L272</f>
        <v>0</v>
      </c>
      <c r="M274" s="310">
        <f t="shared" si="35"/>
        <v>0</v>
      </c>
      <c r="N274" s="310">
        <f t="shared" si="35"/>
        <v>0</v>
      </c>
      <c r="O274" s="310">
        <f t="shared" si="35"/>
        <v>0</v>
      </c>
      <c r="P274" s="310">
        <f t="shared" si="35"/>
        <v>0</v>
      </c>
      <c r="Q274" s="310">
        <f t="shared" si="35"/>
        <v>0</v>
      </c>
      <c r="R274" s="310">
        <f t="shared" si="35"/>
        <v>0</v>
      </c>
      <c r="S274" s="311">
        <f t="shared" si="35"/>
        <v>0</v>
      </c>
      <c r="T274" s="413"/>
      <c r="U274" s="264"/>
    </row>
    <row r="275" spans="1:21" ht="13.5" thickBot="1">
      <c r="A275" s="533"/>
      <c r="B275" s="536"/>
      <c r="C275" s="536"/>
      <c r="D275" s="539"/>
      <c r="E275" s="540"/>
      <c r="F275" s="505"/>
      <c r="G275" s="507"/>
      <c r="H275" s="312" t="s">
        <v>125</v>
      </c>
      <c r="I275" s="313">
        <f>I267+I269+I271+I273</f>
        <v>0</v>
      </c>
      <c r="J275" s="314">
        <f>J267+J269+J271+J273</f>
        <v>53507</v>
      </c>
      <c r="K275" s="315">
        <f t="shared" si="33"/>
        <v>53507</v>
      </c>
      <c r="L275" s="314">
        <f t="shared" si="35"/>
        <v>22143</v>
      </c>
      <c r="M275" s="314">
        <f t="shared" si="35"/>
        <v>2131333</v>
      </c>
      <c r="N275" s="314">
        <f t="shared" si="35"/>
        <v>0</v>
      </c>
      <c r="O275" s="314">
        <f t="shared" si="35"/>
        <v>0</v>
      </c>
      <c r="P275" s="314">
        <f t="shared" si="35"/>
        <v>0</v>
      </c>
      <c r="Q275" s="314">
        <f t="shared" si="35"/>
        <v>0</v>
      </c>
      <c r="R275" s="314">
        <f t="shared" si="35"/>
        <v>0</v>
      </c>
      <c r="S275" s="316">
        <f t="shared" si="35"/>
        <v>0</v>
      </c>
      <c r="T275" s="414"/>
      <c r="U275" s="264"/>
    </row>
    <row r="276" spans="1:21" ht="12.75" customHeight="1" thickBot="1">
      <c r="A276" s="520">
        <f>A266+1</f>
        <v>28</v>
      </c>
      <c r="B276" s="515">
        <v>900</v>
      </c>
      <c r="C276" s="515">
        <v>90095</v>
      </c>
      <c r="D276" s="523" t="s">
        <v>163</v>
      </c>
      <c r="E276" s="519" t="s">
        <v>160</v>
      </c>
      <c r="F276" s="513">
        <v>2010</v>
      </c>
      <c r="G276" s="259" t="s">
        <v>113</v>
      </c>
      <c r="H276" s="260" t="s">
        <v>114</v>
      </c>
      <c r="I276" s="261"/>
      <c r="J276" s="262"/>
      <c r="K276" s="262">
        <f t="shared" si="33"/>
        <v>0</v>
      </c>
      <c r="L276" s="262"/>
      <c r="M276" s="262"/>
      <c r="N276" s="262"/>
      <c r="O276" s="262"/>
      <c r="P276" s="262"/>
      <c r="Q276" s="262"/>
      <c r="R276" s="262"/>
      <c r="S276" s="263"/>
      <c r="T276" s="482">
        <f>M284+N284+O284+P284+Q284+R284+M285+N285+O285+P285+Q285+S284+S285+R285</f>
        <v>4267879</v>
      </c>
      <c r="U276" s="264"/>
    </row>
    <row r="277" spans="1:21" ht="13.5" thickBot="1">
      <c r="A277" s="521"/>
      <c r="B277" s="516"/>
      <c r="C277" s="516"/>
      <c r="D277" s="524"/>
      <c r="E277" s="519"/>
      <c r="F277" s="514"/>
      <c r="G277" s="502">
        <f>SUM(K284:S284)</f>
        <v>0</v>
      </c>
      <c r="H277" s="265" t="s">
        <v>115</v>
      </c>
      <c r="I277" s="266"/>
      <c r="J277" s="267">
        <v>0</v>
      </c>
      <c r="K277" s="268">
        <f t="shared" si="33"/>
        <v>0</v>
      </c>
      <c r="L277" s="267">
        <v>66438</v>
      </c>
      <c r="M277" s="267">
        <v>783728</v>
      </c>
      <c r="N277" s="267"/>
      <c r="O277" s="267"/>
      <c r="P277" s="267"/>
      <c r="Q277" s="267"/>
      <c r="R277" s="267"/>
      <c r="S277" s="269"/>
      <c r="T277" s="483"/>
      <c r="U277" s="264"/>
    </row>
    <row r="278" spans="1:21" ht="13.5" thickBot="1">
      <c r="A278" s="521"/>
      <c r="B278" s="516"/>
      <c r="C278" s="516"/>
      <c r="D278" s="524"/>
      <c r="E278" s="519"/>
      <c r="F278" s="514"/>
      <c r="G278" s="503"/>
      <c r="H278" s="265" t="s">
        <v>116</v>
      </c>
      <c r="I278" s="266"/>
      <c r="J278" s="267"/>
      <c r="K278" s="268">
        <f t="shared" si="33"/>
        <v>0</v>
      </c>
      <c r="L278" s="267"/>
      <c r="M278" s="267"/>
      <c r="N278" s="267"/>
      <c r="O278" s="267"/>
      <c r="P278" s="267"/>
      <c r="Q278" s="267"/>
      <c r="R278" s="267"/>
      <c r="S278" s="269"/>
      <c r="T278" s="483"/>
      <c r="U278" s="264"/>
    </row>
    <row r="279" spans="1:21" ht="13.5" thickBot="1">
      <c r="A279" s="521"/>
      <c r="B279" s="516"/>
      <c r="C279" s="516"/>
      <c r="D279" s="524"/>
      <c r="E279" s="519"/>
      <c r="F279" s="514"/>
      <c r="G279" s="270" t="s">
        <v>117</v>
      </c>
      <c r="H279" s="265" t="s">
        <v>118</v>
      </c>
      <c r="I279" s="266"/>
      <c r="J279" s="267">
        <v>0</v>
      </c>
      <c r="K279" s="268">
        <f t="shared" si="33"/>
        <v>0</v>
      </c>
      <c r="L279" s="267">
        <v>51036</v>
      </c>
      <c r="M279" s="267">
        <v>871038</v>
      </c>
      <c r="N279" s="267"/>
      <c r="O279" s="267"/>
      <c r="P279" s="267"/>
      <c r="Q279" s="267"/>
      <c r="R279" s="267"/>
      <c r="S279" s="269"/>
      <c r="T279" s="483"/>
      <c r="U279" s="264"/>
    </row>
    <row r="280" spans="1:21" ht="13.5" thickBot="1">
      <c r="A280" s="521"/>
      <c r="B280" s="516"/>
      <c r="C280" s="516"/>
      <c r="D280" s="524"/>
      <c r="E280" s="519"/>
      <c r="F280" s="514"/>
      <c r="G280" s="502">
        <f>SUM(K285:S285)</f>
        <v>4538460</v>
      </c>
      <c r="H280" s="265" t="s">
        <v>119</v>
      </c>
      <c r="I280" s="266"/>
      <c r="J280" s="267"/>
      <c r="K280" s="268">
        <f t="shared" si="33"/>
        <v>0</v>
      </c>
      <c r="L280" s="267"/>
      <c r="M280" s="267"/>
      <c r="N280" s="267"/>
      <c r="O280" s="267"/>
      <c r="P280" s="267"/>
      <c r="Q280" s="267"/>
      <c r="R280" s="267"/>
      <c r="S280" s="269"/>
      <c r="T280" s="483"/>
      <c r="U280" s="264"/>
    </row>
    <row r="281" spans="1:21" ht="13.5" thickBot="1">
      <c r="A281" s="521"/>
      <c r="B281" s="516"/>
      <c r="C281" s="516"/>
      <c r="D281" s="524"/>
      <c r="E281" s="519"/>
      <c r="F281" s="514">
        <v>2012</v>
      </c>
      <c r="G281" s="503"/>
      <c r="H281" s="265" t="s">
        <v>120</v>
      </c>
      <c r="I281" s="266"/>
      <c r="J281" s="267">
        <v>0</v>
      </c>
      <c r="K281" s="268">
        <f t="shared" si="33"/>
        <v>0</v>
      </c>
      <c r="L281" s="267">
        <v>153107</v>
      </c>
      <c r="M281" s="267">
        <v>2613113</v>
      </c>
      <c r="N281" s="267"/>
      <c r="O281" s="267"/>
      <c r="P281" s="267"/>
      <c r="Q281" s="267"/>
      <c r="R281" s="267"/>
      <c r="S281" s="269"/>
      <c r="T281" s="483"/>
      <c r="U281" s="264"/>
    </row>
    <row r="282" spans="1:21" ht="13.5" thickBot="1">
      <c r="A282" s="521"/>
      <c r="B282" s="516"/>
      <c r="C282" s="516"/>
      <c r="D282" s="524"/>
      <c r="E282" s="519"/>
      <c r="F282" s="514"/>
      <c r="G282" s="270" t="s">
        <v>121</v>
      </c>
      <c r="H282" s="265" t="s">
        <v>122</v>
      </c>
      <c r="I282" s="266"/>
      <c r="J282" s="267"/>
      <c r="K282" s="268">
        <f t="shared" si="33"/>
        <v>0</v>
      </c>
      <c r="L282" s="267"/>
      <c r="M282" s="267"/>
      <c r="N282" s="267"/>
      <c r="O282" s="267"/>
      <c r="P282" s="267"/>
      <c r="Q282" s="267"/>
      <c r="R282" s="267"/>
      <c r="S282" s="269"/>
      <c r="T282" s="483"/>
      <c r="U282" s="264"/>
    </row>
    <row r="283" spans="1:21" ht="13.5" thickBot="1">
      <c r="A283" s="521"/>
      <c r="B283" s="516"/>
      <c r="C283" s="516"/>
      <c r="D283" s="524"/>
      <c r="E283" s="519"/>
      <c r="F283" s="514"/>
      <c r="G283" s="502">
        <f>G277+G280</f>
        <v>4538460</v>
      </c>
      <c r="H283" s="265" t="s">
        <v>123</v>
      </c>
      <c r="I283" s="266"/>
      <c r="J283" s="267"/>
      <c r="K283" s="268">
        <f t="shared" si="33"/>
        <v>0</v>
      </c>
      <c r="L283" s="267"/>
      <c r="M283" s="267"/>
      <c r="N283" s="267"/>
      <c r="O283" s="267"/>
      <c r="P283" s="267"/>
      <c r="Q283" s="267"/>
      <c r="R283" s="267"/>
      <c r="S283" s="269"/>
      <c r="T283" s="483"/>
      <c r="U283" s="264"/>
    </row>
    <row r="284" spans="1:21" ht="13.5" thickBot="1">
      <c r="A284" s="521"/>
      <c r="B284" s="516"/>
      <c r="C284" s="516"/>
      <c r="D284" s="524"/>
      <c r="E284" s="519"/>
      <c r="F284" s="514"/>
      <c r="G284" s="504"/>
      <c r="H284" s="265" t="s">
        <v>124</v>
      </c>
      <c r="I284" s="271">
        <f>I276+I278+I280+I282</f>
        <v>0</v>
      </c>
      <c r="J284" s="272">
        <f>J276+J278+J280+J282</f>
        <v>0</v>
      </c>
      <c r="K284" s="268">
        <f t="shared" si="33"/>
        <v>0</v>
      </c>
      <c r="L284" s="272">
        <f aca="true" t="shared" si="36" ref="L284:S285">L276+L278+L280+L282</f>
        <v>0</v>
      </c>
      <c r="M284" s="272">
        <f t="shared" si="36"/>
        <v>0</v>
      </c>
      <c r="N284" s="272">
        <f t="shared" si="36"/>
        <v>0</v>
      </c>
      <c r="O284" s="272">
        <f t="shared" si="36"/>
        <v>0</v>
      </c>
      <c r="P284" s="272">
        <f t="shared" si="36"/>
        <v>0</v>
      </c>
      <c r="Q284" s="272">
        <f t="shared" si="36"/>
        <v>0</v>
      </c>
      <c r="R284" s="272">
        <f t="shared" si="36"/>
        <v>0</v>
      </c>
      <c r="S284" s="273">
        <f t="shared" si="36"/>
        <v>0</v>
      </c>
      <c r="T284" s="483"/>
      <c r="U284" s="264"/>
    </row>
    <row r="285" spans="1:21" ht="13.5" thickBot="1">
      <c r="A285" s="522"/>
      <c r="B285" s="517"/>
      <c r="C285" s="517"/>
      <c r="D285" s="525"/>
      <c r="E285" s="519"/>
      <c r="F285" s="518"/>
      <c r="G285" s="472"/>
      <c r="H285" s="274" t="s">
        <v>125</v>
      </c>
      <c r="I285" s="275">
        <f>I277+I279+I281+I283</f>
        <v>0</v>
      </c>
      <c r="J285" s="276">
        <f>J277+J279+J281+J283</f>
        <v>0</v>
      </c>
      <c r="K285" s="277">
        <f t="shared" si="33"/>
        <v>0</v>
      </c>
      <c r="L285" s="276">
        <f t="shared" si="36"/>
        <v>270581</v>
      </c>
      <c r="M285" s="276">
        <f t="shared" si="36"/>
        <v>4267879</v>
      </c>
      <c r="N285" s="276">
        <f t="shared" si="36"/>
        <v>0</v>
      </c>
      <c r="O285" s="276">
        <f t="shared" si="36"/>
        <v>0</v>
      </c>
      <c r="P285" s="276">
        <f t="shared" si="36"/>
        <v>0</v>
      </c>
      <c r="Q285" s="276">
        <f t="shared" si="36"/>
        <v>0</v>
      </c>
      <c r="R285" s="276">
        <f t="shared" si="36"/>
        <v>0</v>
      </c>
      <c r="S285" s="278">
        <f t="shared" si="36"/>
        <v>0</v>
      </c>
      <c r="T285" s="484"/>
      <c r="U285" s="264"/>
    </row>
    <row r="286" spans="1:21" ht="12.75" customHeight="1" thickBot="1">
      <c r="A286" s="520">
        <f>A276+1</f>
        <v>29</v>
      </c>
      <c r="B286" s="515">
        <v>900</v>
      </c>
      <c r="C286" s="515">
        <v>90095</v>
      </c>
      <c r="D286" s="523" t="s">
        <v>164</v>
      </c>
      <c r="E286" s="519" t="s">
        <v>160</v>
      </c>
      <c r="F286" s="513">
        <v>2010</v>
      </c>
      <c r="G286" s="259" t="s">
        <v>113</v>
      </c>
      <c r="H286" s="260" t="s">
        <v>114</v>
      </c>
      <c r="I286" s="261"/>
      <c r="J286" s="262"/>
      <c r="K286" s="262">
        <f t="shared" si="33"/>
        <v>0</v>
      </c>
      <c r="L286" s="262"/>
      <c r="M286" s="262"/>
      <c r="N286" s="262"/>
      <c r="O286" s="262"/>
      <c r="P286" s="262"/>
      <c r="Q286" s="262"/>
      <c r="R286" s="262"/>
      <c r="S286" s="263"/>
      <c r="T286" s="482">
        <f>M294+N294+O294+P294+Q294+R294+M295+N295+O295+P295+Q295+S294+S295+R295</f>
        <v>932847</v>
      </c>
      <c r="U286" s="264"/>
    </row>
    <row r="287" spans="1:21" ht="13.5" thickBot="1">
      <c r="A287" s="521"/>
      <c r="B287" s="516"/>
      <c r="C287" s="516"/>
      <c r="D287" s="524"/>
      <c r="E287" s="519"/>
      <c r="F287" s="514"/>
      <c r="G287" s="502">
        <f>SUM(K294:S294)</f>
        <v>0</v>
      </c>
      <c r="H287" s="265" t="s">
        <v>115</v>
      </c>
      <c r="I287" s="266"/>
      <c r="J287" s="267">
        <v>0</v>
      </c>
      <c r="K287" s="268">
        <f t="shared" si="33"/>
        <v>0</v>
      </c>
      <c r="L287" s="267">
        <v>26336</v>
      </c>
      <c r="M287" s="267">
        <v>168216</v>
      </c>
      <c r="N287" s="267"/>
      <c r="O287" s="267"/>
      <c r="P287" s="267"/>
      <c r="Q287" s="267"/>
      <c r="R287" s="267"/>
      <c r="S287" s="269"/>
      <c r="T287" s="483"/>
      <c r="U287" s="264"/>
    </row>
    <row r="288" spans="1:21" ht="13.5" thickBot="1">
      <c r="A288" s="521"/>
      <c r="B288" s="516"/>
      <c r="C288" s="516"/>
      <c r="D288" s="524"/>
      <c r="E288" s="519"/>
      <c r="F288" s="514"/>
      <c r="G288" s="503"/>
      <c r="H288" s="265" t="s">
        <v>116</v>
      </c>
      <c r="I288" s="266"/>
      <c r="J288" s="267"/>
      <c r="K288" s="268">
        <f t="shared" si="33"/>
        <v>0</v>
      </c>
      <c r="L288" s="267"/>
      <c r="M288" s="267"/>
      <c r="N288" s="267"/>
      <c r="O288" s="267"/>
      <c r="P288" s="267"/>
      <c r="Q288" s="267"/>
      <c r="R288" s="267"/>
      <c r="S288" s="269"/>
      <c r="T288" s="483"/>
      <c r="U288" s="264"/>
    </row>
    <row r="289" spans="1:21" ht="13.5" thickBot="1">
      <c r="A289" s="521"/>
      <c r="B289" s="516"/>
      <c r="C289" s="516"/>
      <c r="D289" s="524"/>
      <c r="E289" s="519"/>
      <c r="F289" s="514"/>
      <c r="G289" s="270" t="s">
        <v>117</v>
      </c>
      <c r="H289" s="265" t="s">
        <v>118</v>
      </c>
      <c r="I289" s="266"/>
      <c r="J289" s="267">
        <v>0</v>
      </c>
      <c r="K289" s="268">
        <f aca="true" t="shared" si="37" ref="K289:K296">I289+J289</f>
        <v>0</v>
      </c>
      <c r="L289" s="267">
        <v>11236</v>
      </c>
      <c r="M289" s="267">
        <v>191158</v>
      </c>
      <c r="N289" s="267"/>
      <c r="O289" s="267"/>
      <c r="P289" s="267"/>
      <c r="Q289" s="267"/>
      <c r="R289" s="267"/>
      <c r="S289" s="269"/>
      <c r="T289" s="483"/>
      <c r="U289" s="264"/>
    </row>
    <row r="290" spans="1:21" ht="13.5" thickBot="1">
      <c r="A290" s="521"/>
      <c r="B290" s="516"/>
      <c r="C290" s="516"/>
      <c r="D290" s="524"/>
      <c r="E290" s="519"/>
      <c r="F290" s="514"/>
      <c r="G290" s="502">
        <f>SUM(K295:S295)</f>
        <v>1004126</v>
      </c>
      <c r="H290" s="265" t="s">
        <v>119</v>
      </c>
      <c r="I290" s="266"/>
      <c r="J290" s="267"/>
      <c r="K290" s="268">
        <f t="shared" si="37"/>
        <v>0</v>
      </c>
      <c r="L290" s="267"/>
      <c r="M290" s="267"/>
      <c r="N290" s="267"/>
      <c r="O290" s="267"/>
      <c r="P290" s="267"/>
      <c r="Q290" s="267"/>
      <c r="R290" s="267"/>
      <c r="S290" s="269"/>
      <c r="T290" s="483"/>
      <c r="U290" s="264"/>
    </row>
    <row r="291" spans="1:21" ht="13.5" thickBot="1">
      <c r="A291" s="521"/>
      <c r="B291" s="516"/>
      <c r="C291" s="516"/>
      <c r="D291" s="524"/>
      <c r="E291" s="519"/>
      <c r="F291" s="514">
        <v>2012</v>
      </c>
      <c r="G291" s="503"/>
      <c r="H291" s="265" t="s">
        <v>120</v>
      </c>
      <c r="I291" s="266"/>
      <c r="J291" s="267">
        <v>0</v>
      </c>
      <c r="K291" s="268">
        <f t="shared" si="37"/>
        <v>0</v>
      </c>
      <c r="L291" s="267">
        <v>33707</v>
      </c>
      <c r="M291" s="267">
        <v>573473</v>
      </c>
      <c r="N291" s="267"/>
      <c r="O291" s="267"/>
      <c r="P291" s="267"/>
      <c r="Q291" s="267"/>
      <c r="R291" s="267"/>
      <c r="S291" s="269"/>
      <c r="T291" s="483"/>
      <c r="U291" s="264"/>
    </row>
    <row r="292" spans="1:21" ht="13.5" thickBot="1">
      <c r="A292" s="521"/>
      <c r="B292" s="516"/>
      <c r="C292" s="516"/>
      <c r="D292" s="524"/>
      <c r="E292" s="519"/>
      <c r="F292" s="514"/>
      <c r="G292" s="270" t="s">
        <v>121</v>
      </c>
      <c r="H292" s="265" t="s">
        <v>122</v>
      </c>
      <c r="I292" s="266"/>
      <c r="J292" s="267"/>
      <c r="K292" s="268">
        <f t="shared" si="37"/>
        <v>0</v>
      </c>
      <c r="L292" s="267"/>
      <c r="M292" s="267"/>
      <c r="N292" s="267"/>
      <c r="O292" s="267"/>
      <c r="P292" s="267"/>
      <c r="Q292" s="267"/>
      <c r="R292" s="267"/>
      <c r="S292" s="269"/>
      <c r="T292" s="483"/>
      <c r="U292" s="264"/>
    </row>
    <row r="293" spans="1:21" ht="13.5" thickBot="1">
      <c r="A293" s="521"/>
      <c r="B293" s="516"/>
      <c r="C293" s="516"/>
      <c r="D293" s="524"/>
      <c r="E293" s="519"/>
      <c r="F293" s="514"/>
      <c r="G293" s="502">
        <f>G287+G290</f>
        <v>1004126</v>
      </c>
      <c r="H293" s="265" t="s">
        <v>123</v>
      </c>
      <c r="I293" s="266"/>
      <c r="J293" s="267"/>
      <c r="K293" s="268">
        <f t="shared" si="37"/>
        <v>0</v>
      </c>
      <c r="L293" s="267"/>
      <c r="M293" s="267"/>
      <c r="N293" s="267"/>
      <c r="O293" s="267"/>
      <c r="P293" s="267"/>
      <c r="Q293" s="267"/>
      <c r="R293" s="267"/>
      <c r="S293" s="269"/>
      <c r="T293" s="483"/>
      <c r="U293" s="264"/>
    </row>
    <row r="294" spans="1:21" ht="13.5" thickBot="1">
      <c r="A294" s="521"/>
      <c r="B294" s="516"/>
      <c r="C294" s="516"/>
      <c r="D294" s="524"/>
      <c r="E294" s="519"/>
      <c r="F294" s="514"/>
      <c r="G294" s="504"/>
      <c r="H294" s="265" t="s">
        <v>124</v>
      </c>
      <c r="I294" s="271">
        <f>I286+I288+I290+I292</f>
        <v>0</v>
      </c>
      <c r="J294" s="272">
        <f>J286+J288+J290+J292</f>
        <v>0</v>
      </c>
      <c r="K294" s="268">
        <f t="shared" si="37"/>
        <v>0</v>
      </c>
      <c r="L294" s="272">
        <f aca="true" t="shared" si="38" ref="L294:S295">L286+L288+L290+L292</f>
        <v>0</v>
      </c>
      <c r="M294" s="272">
        <f t="shared" si="38"/>
        <v>0</v>
      </c>
      <c r="N294" s="272">
        <f t="shared" si="38"/>
        <v>0</v>
      </c>
      <c r="O294" s="272">
        <f t="shared" si="38"/>
        <v>0</v>
      </c>
      <c r="P294" s="272">
        <f t="shared" si="38"/>
        <v>0</v>
      </c>
      <c r="Q294" s="272">
        <f t="shared" si="38"/>
        <v>0</v>
      </c>
      <c r="R294" s="272">
        <f t="shared" si="38"/>
        <v>0</v>
      </c>
      <c r="S294" s="273">
        <f t="shared" si="38"/>
        <v>0</v>
      </c>
      <c r="T294" s="483"/>
      <c r="U294" s="264"/>
    </row>
    <row r="295" spans="1:21" ht="13.5" thickBot="1">
      <c r="A295" s="522"/>
      <c r="B295" s="517"/>
      <c r="C295" s="517"/>
      <c r="D295" s="525"/>
      <c r="E295" s="519"/>
      <c r="F295" s="518"/>
      <c r="G295" s="472"/>
      <c r="H295" s="274" t="s">
        <v>125</v>
      </c>
      <c r="I295" s="275">
        <f>I287+I289+I291+I293</f>
        <v>0</v>
      </c>
      <c r="J295" s="276">
        <f>J287+J289+J291+J293</f>
        <v>0</v>
      </c>
      <c r="K295" s="277">
        <f t="shared" si="37"/>
        <v>0</v>
      </c>
      <c r="L295" s="276">
        <f t="shared" si="38"/>
        <v>71279</v>
      </c>
      <c r="M295" s="276">
        <f t="shared" si="38"/>
        <v>932847</v>
      </c>
      <c r="N295" s="276">
        <f t="shared" si="38"/>
        <v>0</v>
      </c>
      <c r="O295" s="276">
        <f t="shared" si="38"/>
        <v>0</v>
      </c>
      <c r="P295" s="276">
        <f t="shared" si="38"/>
        <v>0</v>
      </c>
      <c r="Q295" s="276">
        <f t="shared" si="38"/>
        <v>0</v>
      </c>
      <c r="R295" s="276">
        <f t="shared" si="38"/>
        <v>0</v>
      </c>
      <c r="S295" s="278">
        <f t="shared" si="38"/>
        <v>0</v>
      </c>
      <c r="T295" s="484"/>
      <c r="U295" s="264"/>
    </row>
    <row r="296" spans="1:21" ht="12.75" customHeight="1" thickBot="1">
      <c r="A296" s="520">
        <f>A286+1</f>
        <v>30</v>
      </c>
      <c r="B296" s="515">
        <v>900</v>
      </c>
      <c r="C296" s="515">
        <v>90095</v>
      </c>
      <c r="D296" s="523" t="s">
        <v>165</v>
      </c>
      <c r="E296" s="519" t="s">
        <v>160</v>
      </c>
      <c r="F296" s="513">
        <v>2010</v>
      </c>
      <c r="G296" s="259" t="s">
        <v>113</v>
      </c>
      <c r="H296" s="260" t="s">
        <v>114</v>
      </c>
      <c r="I296" s="261"/>
      <c r="J296" s="262"/>
      <c r="K296" s="262">
        <f t="shared" si="37"/>
        <v>0</v>
      </c>
      <c r="L296" s="262"/>
      <c r="M296" s="262"/>
      <c r="N296" s="262"/>
      <c r="O296" s="262"/>
      <c r="P296" s="262"/>
      <c r="Q296" s="262"/>
      <c r="R296" s="262"/>
      <c r="S296" s="263"/>
      <c r="T296" s="482">
        <f>M304+N304+O304+P304+Q304+R304+M305+N305+O305+P305+Q305+S304+S305+R305</f>
        <v>0</v>
      </c>
      <c r="U296" s="264"/>
    </row>
    <row r="297" spans="1:21" ht="13.5" thickBot="1">
      <c r="A297" s="521"/>
      <c r="B297" s="516"/>
      <c r="C297" s="516"/>
      <c r="D297" s="524"/>
      <c r="E297" s="519"/>
      <c r="F297" s="514"/>
      <c r="G297" s="502">
        <f>SUM(K304:S304)</f>
        <v>0</v>
      </c>
      <c r="H297" s="265" t="s">
        <v>115</v>
      </c>
      <c r="I297" s="266"/>
      <c r="J297" s="267">
        <v>5290</v>
      </c>
      <c r="K297" s="268">
        <v>15884</v>
      </c>
      <c r="L297" s="267">
        <v>782655</v>
      </c>
      <c r="M297" s="267"/>
      <c r="N297" s="267"/>
      <c r="O297" s="267"/>
      <c r="P297" s="267"/>
      <c r="Q297" s="267"/>
      <c r="R297" s="267"/>
      <c r="S297" s="269"/>
      <c r="T297" s="483"/>
      <c r="U297" s="264"/>
    </row>
    <row r="298" spans="1:21" ht="13.5" thickBot="1">
      <c r="A298" s="521"/>
      <c r="B298" s="516"/>
      <c r="C298" s="516"/>
      <c r="D298" s="524"/>
      <c r="E298" s="519"/>
      <c r="F298" s="514"/>
      <c r="G298" s="503"/>
      <c r="H298" s="265" t="s">
        <v>116</v>
      </c>
      <c r="I298" s="266"/>
      <c r="J298" s="267"/>
      <c r="K298" s="268">
        <f>I298+J298</f>
        <v>0</v>
      </c>
      <c r="L298" s="267"/>
      <c r="M298" s="267"/>
      <c r="N298" s="267"/>
      <c r="O298" s="267"/>
      <c r="P298" s="267"/>
      <c r="Q298" s="267"/>
      <c r="R298" s="267"/>
      <c r="S298" s="269"/>
      <c r="T298" s="483"/>
      <c r="U298" s="264"/>
    </row>
    <row r="299" spans="1:21" ht="13.5" thickBot="1">
      <c r="A299" s="521"/>
      <c r="B299" s="516"/>
      <c r="C299" s="516"/>
      <c r="D299" s="524"/>
      <c r="E299" s="519"/>
      <c r="F299" s="514"/>
      <c r="G299" s="270" t="s">
        <v>117</v>
      </c>
      <c r="H299" s="265" t="s">
        <v>118</v>
      </c>
      <c r="I299" s="266"/>
      <c r="J299" s="267">
        <v>5750</v>
      </c>
      <c r="K299" s="268">
        <v>18050</v>
      </c>
      <c r="L299" s="267">
        <v>889615</v>
      </c>
      <c r="M299" s="267"/>
      <c r="N299" s="267"/>
      <c r="O299" s="267"/>
      <c r="P299" s="267"/>
      <c r="Q299" s="267"/>
      <c r="R299" s="267"/>
      <c r="S299" s="269"/>
      <c r="T299" s="483"/>
      <c r="U299" s="264"/>
    </row>
    <row r="300" spans="1:21" ht="13.5" thickBot="1">
      <c r="A300" s="521"/>
      <c r="B300" s="516"/>
      <c r="C300" s="516"/>
      <c r="D300" s="524"/>
      <c r="E300" s="519"/>
      <c r="F300" s="514"/>
      <c r="G300" s="502">
        <f>SUM(K305:S305)</f>
        <v>4429198</v>
      </c>
      <c r="H300" s="265" t="s">
        <v>119</v>
      </c>
      <c r="I300" s="266"/>
      <c r="J300" s="267"/>
      <c r="K300" s="268">
        <f>I300+J300</f>
        <v>0</v>
      </c>
      <c r="L300" s="267"/>
      <c r="M300" s="267"/>
      <c r="N300" s="267"/>
      <c r="O300" s="267"/>
      <c r="P300" s="267"/>
      <c r="Q300" s="267"/>
      <c r="R300" s="267"/>
      <c r="S300" s="269"/>
      <c r="T300" s="483"/>
      <c r="U300" s="264"/>
    </row>
    <row r="301" spans="1:21" ht="13.5" thickBot="1">
      <c r="A301" s="521"/>
      <c r="B301" s="516"/>
      <c r="C301" s="516"/>
      <c r="D301" s="524"/>
      <c r="E301" s="519"/>
      <c r="F301" s="514">
        <v>2012</v>
      </c>
      <c r="G301" s="503"/>
      <c r="H301" s="265" t="s">
        <v>120</v>
      </c>
      <c r="I301" s="266"/>
      <c r="J301" s="267">
        <v>17250</v>
      </c>
      <c r="K301" s="268">
        <v>54150</v>
      </c>
      <c r="L301" s="267">
        <v>2668844</v>
      </c>
      <c r="M301" s="267"/>
      <c r="N301" s="267"/>
      <c r="O301" s="267"/>
      <c r="P301" s="267"/>
      <c r="Q301" s="267"/>
      <c r="R301" s="267"/>
      <c r="S301" s="269"/>
      <c r="T301" s="483"/>
      <c r="U301" s="264"/>
    </row>
    <row r="302" spans="1:21" ht="13.5" thickBot="1">
      <c r="A302" s="521"/>
      <c r="B302" s="516"/>
      <c r="C302" s="516"/>
      <c r="D302" s="524"/>
      <c r="E302" s="519"/>
      <c r="F302" s="514"/>
      <c r="G302" s="270" t="s">
        <v>121</v>
      </c>
      <c r="H302" s="265" t="s">
        <v>122</v>
      </c>
      <c r="I302" s="266"/>
      <c r="J302" s="267"/>
      <c r="K302" s="268">
        <f>I302+J302</f>
        <v>0</v>
      </c>
      <c r="L302" s="267"/>
      <c r="M302" s="267"/>
      <c r="N302" s="267"/>
      <c r="O302" s="267"/>
      <c r="P302" s="267"/>
      <c r="Q302" s="267"/>
      <c r="R302" s="267"/>
      <c r="S302" s="269"/>
      <c r="T302" s="483"/>
      <c r="U302" s="264"/>
    </row>
    <row r="303" spans="1:21" ht="13.5" thickBot="1">
      <c r="A303" s="521"/>
      <c r="B303" s="516"/>
      <c r="C303" s="516"/>
      <c r="D303" s="524"/>
      <c r="E303" s="519"/>
      <c r="F303" s="514"/>
      <c r="G303" s="502">
        <f>G297+G300</f>
        <v>4429198</v>
      </c>
      <c r="H303" s="265" t="s">
        <v>123</v>
      </c>
      <c r="I303" s="266"/>
      <c r="J303" s="267"/>
      <c r="K303" s="268">
        <f>I303+J303</f>
        <v>0</v>
      </c>
      <c r="L303" s="267"/>
      <c r="M303" s="267"/>
      <c r="N303" s="267"/>
      <c r="O303" s="267"/>
      <c r="P303" s="267"/>
      <c r="Q303" s="267"/>
      <c r="R303" s="267"/>
      <c r="S303" s="269"/>
      <c r="T303" s="483"/>
      <c r="U303" s="264"/>
    </row>
    <row r="304" spans="1:21" ht="13.5" thickBot="1">
      <c r="A304" s="521"/>
      <c r="B304" s="516"/>
      <c r="C304" s="516"/>
      <c r="D304" s="524"/>
      <c r="E304" s="519"/>
      <c r="F304" s="514"/>
      <c r="G304" s="504"/>
      <c r="H304" s="265" t="s">
        <v>124</v>
      </c>
      <c r="I304" s="271">
        <f>I296+I298+I300+I302</f>
        <v>0</v>
      </c>
      <c r="J304" s="272">
        <f>J296+J298+J300+J302</f>
        <v>0</v>
      </c>
      <c r="K304" s="268">
        <f>I304+J304</f>
        <v>0</v>
      </c>
      <c r="L304" s="272">
        <f aca="true" t="shared" si="39" ref="L304:S305">L296+L298+L300+L302</f>
        <v>0</v>
      </c>
      <c r="M304" s="272">
        <f t="shared" si="39"/>
        <v>0</v>
      </c>
      <c r="N304" s="272">
        <f t="shared" si="39"/>
        <v>0</v>
      </c>
      <c r="O304" s="272">
        <f t="shared" si="39"/>
        <v>0</v>
      </c>
      <c r="P304" s="272">
        <f t="shared" si="39"/>
        <v>0</v>
      </c>
      <c r="Q304" s="272">
        <f t="shared" si="39"/>
        <v>0</v>
      </c>
      <c r="R304" s="272">
        <f t="shared" si="39"/>
        <v>0</v>
      </c>
      <c r="S304" s="273">
        <f t="shared" si="39"/>
        <v>0</v>
      </c>
      <c r="T304" s="483"/>
      <c r="U304" s="264"/>
    </row>
    <row r="305" spans="1:21" ht="13.5" thickBot="1">
      <c r="A305" s="522"/>
      <c r="B305" s="517"/>
      <c r="C305" s="517"/>
      <c r="D305" s="525"/>
      <c r="E305" s="519"/>
      <c r="F305" s="518"/>
      <c r="G305" s="472"/>
      <c r="H305" s="274" t="s">
        <v>125</v>
      </c>
      <c r="I305" s="275">
        <f>I297+I299+I301+I303</f>
        <v>0</v>
      </c>
      <c r="J305" s="276">
        <f>J297+J299+J301+J303</f>
        <v>28290</v>
      </c>
      <c r="K305" s="277">
        <f>K297+K299+K303+K301</f>
        <v>88084</v>
      </c>
      <c r="L305" s="276">
        <f t="shared" si="39"/>
        <v>4341114</v>
      </c>
      <c r="M305" s="276">
        <f t="shared" si="39"/>
        <v>0</v>
      </c>
      <c r="N305" s="276">
        <f t="shared" si="39"/>
        <v>0</v>
      </c>
      <c r="O305" s="276">
        <f t="shared" si="39"/>
        <v>0</v>
      </c>
      <c r="P305" s="276">
        <f t="shared" si="39"/>
        <v>0</v>
      </c>
      <c r="Q305" s="276">
        <f t="shared" si="39"/>
        <v>0</v>
      </c>
      <c r="R305" s="276">
        <f t="shared" si="39"/>
        <v>0</v>
      </c>
      <c r="S305" s="278">
        <f t="shared" si="39"/>
        <v>0</v>
      </c>
      <c r="T305" s="484"/>
      <c r="U305" s="264"/>
    </row>
    <row r="306" spans="1:21" ht="8.25" customHeight="1">
      <c r="A306" s="317"/>
      <c r="B306" s="317"/>
      <c r="C306" s="317"/>
      <c r="D306" s="318"/>
      <c r="E306" s="319"/>
      <c r="F306" s="320"/>
      <c r="G306" s="321"/>
      <c r="H306" s="322"/>
      <c r="I306" s="323"/>
      <c r="J306" s="323"/>
      <c r="K306" s="323"/>
      <c r="L306" s="323"/>
      <c r="M306" s="323"/>
      <c r="N306" s="323"/>
      <c r="O306" s="323"/>
      <c r="P306" s="323"/>
      <c r="Q306" s="323"/>
      <c r="R306" s="323"/>
      <c r="S306" s="323"/>
      <c r="T306" s="324"/>
      <c r="U306" s="264"/>
    </row>
    <row r="307" spans="1:21" ht="12.75" hidden="1">
      <c r="A307" s="317"/>
      <c r="B307" s="317"/>
      <c r="C307" s="317"/>
      <c r="D307" s="318"/>
      <c r="E307" s="319"/>
      <c r="F307" s="320"/>
      <c r="G307" s="321"/>
      <c r="H307" s="322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4"/>
      <c r="U307" s="264"/>
    </row>
    <row r="308" spans="1:21" ht="12.75">
      <c r="A308" s="250"/>
      <c r="B308" s="250"/>
      <c r="C308" s="250"/>
      <c r="D308" s="250"/>
      <c r="E308" s="325"/>
      <c r="F308" s="325"/>
      <c r="G308" s="326" t="s">
        <v>166</v>
      </c>
      <c r="H308" s="327"/>
      <c r="I308" s="328">
        <f aca="true" t="shared" si="40" ref="I308:N309">I6+I16+I26+I36+I46+I56+I66+I76+I86+I96+I106+I116+I126+I136+I146+I156+I166+I176+I186+I196+I206+I216+I226+I236+I246+I256+I266+I276+I286+I296</f>
        <v>2191157</v>
      </c>
      <c r="J308" s="328">
        <f t="shared" si="40"/>
        <v>2513539</v>
      </c>
      <c r="K308" s="328">
        <f t="shared" si="40"/>
        <v>3208480</v>
      </c>
      <c r="L308" s="328">
        <f t="shared" si="40"/>
        <v>17936198</v>
      </c>
      <c r="M308" s="328">
        <f t="shared" si="40"/>
        <v>539808</v>
      </c>
      <c r="N308" s="328">
        <f t="shared" si="40"/>
        <v>146620</v>
      </c>
      <c r="O308" s="329"/>
      <c r="P308" s="329"/>
      <c r="Q308" s="330"/>
      <c r="R308" s="330"/>
      <c r="S308" s="330"/>
      <c r="T308" s="330"/>
      <c r="U308" s="264"/>
    </row>
    <row r="309" spans="1:21" ht="12.75">
      <c r="A309" s="250"/>
      <c r="B309" s="250"/>
      <c r="C309" s="250"/>
      <c r="D309" s="250"/>
      <c r="E309" s="325"/>
      <c r="F309" s="325"/>
      <c r="G309" s="326" t="s">
        <v>167</v>
      </c>
      <c r="H309" s="327"/>
      <c r="I309" s="328">
        <f t="shared" si="40"/>
        <v>6307802</v>
      </c>
      <c r="J309" s="328">
        <f t="shared" si="40"/>
        <v>4196084</v>
      </c>
      <c r="K309" s="328">
        <f t="shared" si="40"/>
        <v>10514480</v>
      </c>
      <c r="L309" s="328">
        <f t="shared" si="40"/>
        <v>47277878</v>
      </c>
      <c r="M309" s="328">
        <f t="shared" si="40"/>
        <v>7931873</v>
      </c>
      <c r="N309" s="328">
        <f t="shared" si="40"/>
        <v>2635388</v>
      </c>
      <c r="O309" s="329"/>
      <c r="P309" s="329"/>
      <c r="Q309" s="330"/>
      <c r="R309" s="330"/>
      <c r="S309" s="330"/>
      <c r="T309" s="330"/>
      <c r="U309" s="264"/>
    </row>
    <row r="310" spans="1:21" ht="12.75">
      <c r="A310" s="250"/>
      <c r="B310" s="250"/>
      <c r="C310" s="250"/>
      <c r="D310" s="250"/>
      <c r="E310" s="325"/>
      <c r="F310" s="325"/>
      <c r="G310" s="331" t="s">
        <v>168</v>
      </c>
      <c r="H310" s="332"/>
      <c r="I310" s="333">
        <f aca="true" t="shared" si="41" ref="I310:N310">I308+I309</f>
        <v>8498959</v>
      </c>
      <c r="J310" s="333">
        <f t="shared" si="41"/>
        <v>6709623</v>
      </c>
      <c r="K310" s="333">
        <f t="shared" si="41"/>
        <v>13722960</v>
      </c>
      <c r="L310" s="333">
        <f t="shared" si="41"/>
        <v>65214076</v>
      </c>
      <c r="M310" s="333">
        <f t="shared" si="41"/>
        <v>8471681</v>
      </c>
      <c r="N310" s="333">
        <f t="shared" si="41"/>
        <v>2782008</v>
      </c>
      <c r="O310" s="329"/>
      <c r="P310" s="329"/>
      <c r="Q310" s="330"/>
      <c r="R310" s="330"/>
      <c r="S310" s="330"/>
      <c r="T310" s="330"/>
      <c r="U310" s="264"/>
    </row>
    <row r="311" spans="1:21" ht="12.75" customHeight="1" hidden="1">
      <c r="A311" s="250"/>
      <c r="B311" s="250"/>
      <c r="C311" s="250"/>
      <c r="D311" s="250"/>
      <c r="E311" s="325"/>
      <c r="F311" s="325"/>
      <c r="G311" s="326" t="s">
        <v>169</v>
      </c>
      <c r="H311" s="327"/>
      <c r="I311" s="334"/>
      <c r="J311" s="334"/>
      <c r="K311" s="334"/>
      <c r="L311" s="334"/>
      <c r="M311" s="334"/>
      <c r="N311" s="334"/>
      <c r="O311" s="330"/>
      <c r="P311" s="330"/>
      <c r="Q311" s="330"/>
      <c r="R311" s="330"/>
      <c r="S311" s="330"/>
      <c r="T311" s="330"/>
      <c r="U311" s="264"/>
    </row>
    <row r="312" spans="1:21" ht="12" customHeight="1">
      <c r="A312" s="250"/>
      <c r="B312" s="250"/>
      <c r="C312" s="250"/>
      <c r="D312" s="250"/>
      <c r="E312" s="325"/>
      <c r="F312" s="325"/>
      <c r="G312" s="326" t="s">
        <v>170</v>
      </c>
      <c r="H312" s="326"/>
      <c r="I312" s="328">
        <f aca="true" t="shared" si="42" ref="I312:N313">I8+I18+I28+I38+I48+I58+I68+I78+I88+I98+I108+I118+I128+I138+I148+I158+I168+I178+I188+I198+I208+I218+I228+I238+I248+I258+I268+I278+I288+I298</f>
        <v>0</v>
      </c>
      <c r="J312" s="328">
        <f t="shared" si="42"/>
        <v>65983</v>
      </c>
      <c r="K312" s="328">
        <f t="shared" si="42"/>
        <v>65983</v>
      </c>
      <c r="L312" s="328">
        <f t="shared" si="42"/>
        <v>512578</v>
      </c>
      <c r="M312" s="328">
        <f t="shared" si="42"/>
        <v>136109</v>
      </c>
      <c r="N312" s="328">
        <f t="shared" si="42"/>
        <v>1716</v>
      </c>
      <c r="O312" s="329"/>
      <c r="P312" s="329"/>
      <c r="Q312" s="330"/>
      <c r="R312" s="330"/>
      <c r="S312" s="330"/>
      <c r="T312" s="330"/>
      <c r="U312" s="264"/>
    </row>
    <row r="313" spans="1:21" ht="12.75">
      <c r="A313" s="250"/>
      <c r="B313" s="250"/>
      <c r="C313" s="250"/>
      <c r="D313" s="250"/>
      <c r="E313" s="325"/>
      <c r="F313" s="325"/>
      <c r="G313" s="326" t="s">
        <v>171</v>
      </c>
      <c r="H313" s="335"/>
      <c r="I313" s="328">
        <f t="shared" si="42"/>
        <v>1308097</v>
      </c>
      <c r="J313" s="328">
        <f t="shared" si="42"/>
        <v>2850030</v>
      </c>
      <c r="K313" s="328">
        <f t="shared" si="42"/>
        <v>4170427</v>
      </c>
      <c r="L313" s="328">
        <f t="shared" si="42"/>
        <v>9684575</v>
      </c>
      <c r="M313" s="328">
        <f t="shared" si="42"/>
        <v>1230916</v>
      </c>
      <c r="N313" s="328">
        <f t="shared" si="42"/>
        <v>0</v>
      </c>
      <c r="O313" s="328" t="e">
        <f>#REF!+O241+#REF!+#REF!+O191+#REF!+#REF!+#REF!+O161+#REF!+O151+#REF!+#REF!+#REF!+#REF!+O101+O91+O81+O61+O51+O41+O31+#REF!+#REF!+O21+#REF!+#REF!</f>
        <v>#REF!</v>
      </c>
      <c r="P313" s="328" t="e">
        <f>#REF!+P241+#REF!+#REF!+P191+#REF!+#REF!+#REF!+P161+#REF!+P151+#REF!+#REF!+#REF!+#REF!+P101+P91+P81+P61+P51+P41+P31+#REF!+#REF!+P21+#REF!+#REF!</f>
        <v>#REF!</v>
      </c>
      <c r="Q313" s="328" t="e">
        <f>#REF!+Q241+#REF!+#REF!+Q191+#REF!+#REF!+#REF!+Q161+#REF!+Q151+#REF!+#REF!+#REF!+#REF!+Q101+Q91+Q81+Q61+Q51+Q41+Q31+#REF!+#REF!+Q21+#REF!+#REF!</f>
        <v>#REF!</v>
      </c>
      <c r="R313" s="328" t="e">
        <f>#REF!+R241+#REF!+#REF!+R191+#REF!+#REF!+#REF!+R161+#REF!+R151+#REF!+#REF!+#REF!+#REF!+R101+R91+R81+R61+R51+R41+R31+#REF!+#REF!+R21+#REF!+#REF!</f>
        <v>#REF!</v>
      </c>
      <c r="S313" s="328" t="e">
        <f>#REF!+S241+#REF!+#REF!+S191+#REF!+#REF!+#REF!+S161+#REF!+S151+#REF!+#REF!+#REF!+#REF!+S101+S91+S81+S61+S51+S41+S31+#REF!+#REF!+S21+#REF!+#REF!</f>
        <v>#REF!</v>
      </c>
      <c r="T313" s="330"/>
      <c r="U313" s="264"/>
    </row>
    <row r="314" spans="1:21" ht="12.75">
      <c r="A314" s="250"/>
      <c r="B314" s="250"/>
      <c r="C314" s="250"/>
      <c r="D314" s="250"/>
      <c r="E314" s="325"/>
      <c r="F314" s="325"/>
      <c r="G314" s="564" t="s">
        <v>172</v>
      </c>
      <c r="H314" s="565"/>
      <c r="I314" s="333">
        <f aca="true" t="shared" si="43" ref="I314:N314">I312+I313</f>
        <v>1308097</v>
      </c>
      <c r="J314" s="333">
        <f t="shared" si="43"/>
        <v>2916013</v>
      </c>
      <c r="K314" s="333">
        <f t="shared" si="43"/>
        <v>4236410</v>
      </c>
      <c r="L314" s="333">
        <f t="shared" si="43"/>
        <v>10197153</v>
      </c>
      <c r="M314" s="333">
        <f t="shared" si="43"/>
        <v>1367025</v>
      </c>
      <c r="N314" s="333">
        <f t="shared" si="43"/>
        <v>1716</v>
      </c>
      <c r="O314" s="329"/>
      <c r="P314" s="329"/>
      <c r="Q314" s="330"/>
      <c r="R314" s="329"/>
      <c r="S314" s="330"/>
      <c r="T314" s="330"/>
      <c r="U314" s="264"/>
    </row>
    <row r="315" spans="1:21" ht="12.75" customHeight="1" hidden="1">
      <c r="A315" s="250"/>
      <c r="B315" s="250"/>
      <c r="C315" s="250"/>
      <c r="D315" s="250"/>
      <c r="E315" s="325"/>
      <c r="F315" s="325"/>
      <c r="G315" s="326" t="s">
        <v>171</v>
      </c>
      <c r="H315" s="327"/>
      <c r="I315" s="334"/>
      <c r="J315" s="334"/>
      <c r="K315" s="334"/>
      <c r="L315" s="334"/>
      <c r="M315" s="334"/>
      <c r="N315" s="334"/>
      <c r="O315" s="330"/>
      <c r="P315" s="330"/>
      <c r="Q315" s="330"/>
      <c r="R315" s="330"/>
      <c r="S315" s="330"/>
      <c r="T315" s="330"/>
      <c r="U315" s="264"/>
    </row>
    <row r="316" spans="1:21" ht="12.75" customHeight="1">
      <c r="A316" s="250"/>
      <c r="B316" s="250"/>
      <c r="C316" s="250"/>
      <c r="D316" s="250"/>
      <c r="E316" s="325"/>
      <c r="F316" s="325"/>
      <c r="G316" s="326" t="s">
        <v>169</v>
      </c>
      <c r="H316" s="326"/>
      <c r="I316" s="328">
        <f aca="true" t="shared" si="44" ref="I316:N317">I10+I20+I30+I40+I50+I60+I70+I80+I90+I100+I110+I120+I130+I140+I150+I160+I170+I180+I190+I200+I210+I220+I230+I240+I250+I260+I270+I280+I290+I300</f>
        <v>718614.2</v>
      </c>
      <c r="J316" s="328">
        <f t="shared" si="44"/>
        <v>2123658</v>
      </c>
      <c r="K316" s="328">
        <f t="shared" si="44"/>
        <v>2842272.2</v>
      </c>
      <c r="L316" s="328">
        <f t="shared" si="44"/>
        <v>12002408</v>
      </c>
      <c r="M316" s="328">
        <f t="shared" si="44"/>
        <v>2687431</v>
      </c>
      <c r="N316" s="328">
        <f t="shared" si="44"/>
        <v>577233</v>
      </c>
      <c r="O316" s="328" t="e">
        <f>O10+O20+O30+O40+O50+O60+O70+O80+O90+O100+O110+O120+O150+O160+O170+O180+O190+O200+O210+O240+#REF!+#REF!+O250+O260+O270+O280+O290+O300</f>
        <v>#REF!</v>
      </c>
      <c r="P316" s="328" t="e">
        <f>P10+P20+P30+P40+P50+P60+P70+P80+P90+P100+P110+P120+P150+P160+P170+P180+P190+P200+P210+P240+#REF!+#REF!+P250+P260+P270+P280+P290+P300</f>
        <v>#REF!</v>
      </c>
      <c r="Q316" s="328" t="e">
        <f>Q10+Q20+Q30+Q40+Q50+Q60+Q70+Q80+Q90+Q100+Q110+Q120+Q150+Q160+Q170+Q180+Q190+Q200+Q210+Q240+#REF!+#REF!+Q250+Q260+Q270+Q280+Q290+Q300</f>
        <v>#REF!</v>
      </c>
      <c r="R316" s="328" t="e">
        <f>R10+R20+R30+R40+R50+R60+R70+R80+R90+R100+R110+R120+R150+R160+R170+R180+R190+R200+R210+R240+#REF!+#REF!+R250+R260+R270+R280+R290+R300</f>
        <v>#REF!</v>
      </c>
      <c r="S316" s="328" t="e">
        <f>S10+S20+S30+S40+S50+S60+S70+S80+S90+S100+S110+S120+S150+S160+S170+S180+S190+S200+S210+S240+#REF!+#REF!+S250+S260+S270+S280+S290+S300</f>
        <v>#REF!</v>
      </c>
      <c r="T316" s="330"/>
      <c r="U316" s="264"/>
    </row>
    <row r="317" spans="1:21" ht="12.75">
      <c r="A317" s="250"/>
      <c r="B317" s="250"/>
      <c r="C317" s="250"/>
      <c r="D317" s="250"/>
      <c r="E317" s="325"/>
      <c r="F317" s="325"/>
      <c r="G317" s="326" t="s">
        <v>173</v>
      </c>
      <c r="H317" s="335"/>
      <c r="I317" s="328">
        <f t="shared" si="44"/>
        <v>15666596</v>
      </c>
      <c r="J317" s="328">
        <f t="shared" si="44"/>
        <v>26829832</v>
      </c>
      <c r="K317" s="328">
        <f t="shared" si="44"/>
        <v>42533328</v>
      </c>
      <c r="L317" s="328">
        <f t="shared" si="44"/>
        <v>139487798</v>
      </c>
      <c r="M317" s="328">
        <f t="shared" si="44"/>
        <v>33984010</v>
      </c>
      <c r="N317" s="328">
        <f t="shared" si="44"/>
        <v>14933864</v>
      </c>
      <c r="O317" s="328">
        <f>O11+O21+O31+O41+O51+O61+O71+O81+O91+O101+O111+O121+O131+O141+O151+O161+O171+O181+O191+O201+O211+O221+O231+O241+O251+O261+O271+O281+O291+O301</f>
        <v>0</v>
      </c>
      <c r="P317" s="328">
        <f>P11+P21+P31+P41+P51+P61+P71+P81+P91+P101+P111+P121+P131+P141+P151+P161+P171+P181+P191+P201+P211+P221+P231+P241+P251+P261+P271+P281+P291+P301</f>
        <v>0</v>
      </c>
      <c r="Q317" s="328">
        <f>Q11+Q21+Q31+Q41+Q51+Q61+Q71+Q81+Q91+Q101+Q111+Q121+Q131+Q141+Q151+Q161+Q171+Q181+Q191+Q201+Q211+Q221+Q231+Q241+Q251+Q261+Q271+Q281+Q291+Q301</f>
        <v>0</v>
      </c>
      <c r="R317" s="328">
        <f>R11+R21+R31+R41+R51+R61+R71+R81+R91+R101+R111+R121+R131+R141+R151+R161+R171+R181+R191+R201+R211+R221+R231+R241+R251+R261+R271+R281+R291+R301</f>
        <v>0</v>
      </c>
      <c r="S317" s="328">
        <f>S11+S21+S31+S41+S51+S61+S71+S81+S91+S101+S111+S121+S131+S141+S151+S161+S171+S181+S191+S201+S211+S221+S231+S241+S251+S261+S271+S281+S291+S301</f>
        <v>0</v>
      </c>
      <c r="T317" s="330"/>
      <c r="U317" s="264"/>
    </row>
    <row r="318" spans="1:21" ht="12.75">
      <c r="A318" s="250"/>
      <c r="B318" s="250"/>
      <c r="C318" s="250"/>
      <c r="D318" s="250"/>
      <c r="E318" s="325"/>
      <c r="F318" s="325"/>
      <c r="G318" s="564" t="s">
        <v>174</v>
      </c>
      <c r="H318" s="565"/>
      <c r="I318" s="333">
        <f aca="true" t="shared" si="45" ref="I318:N318">I316+I317</f>
        <v>16385210.2</v>
      </c>
      <c r="J318" s="333">
        <f t="shared" si="45"/>
        <v>28953490</v>
      </c>
      <c r="K318" s="333">
        <f t="shared" si="45"/>
        <v>45375600.2</v>
      </c>
      <c r="L318" s="333">
        <f t="shared" si="45"/>
        <v>151490206</v>
      </c>
      <c r="M318" s="333">
        <f t="shared" si="45"/>
        <v>36671441</v>
      </c>
      <c r="N318" s="333">
        <f t="shared" si="45"/>
        <v>15511097</v>
      </c>
      <c r="O318" s="336"/>
      <c r="P318" s="336"/>
      <c r="Q318" s="330"/>
      <c r="R318" s="330"/>
      <c r="S318" s="330"/>
      <c r="T318" s="330"/>
      <c r="U318" s="264"/>
    </row>
    <row r="319" spans="1:21" ht="17.25" customHeight="1">
      <c r="A319" s="250"/>
      <c r="B319" s="250"/>
      <c r="C319" s="250"/>
      <c r="D319" s="250"/>
      <c r="E319" s="325"/>
      <c r="F319" s="325"/>
      <c r="G319" s="566" t="s">
        <v>175</v>
      </c>
      <c r="H319" s="567"/>
      <c r="I319" s="328">
        <f aca="true" t="shared" si="46" ref="I319:N321">I308+I312+I316</f>
        <v>2909771.2</v>
      </c>
      <c r="J319" s="328">
        <f t="shared" si="46"/>
        <v>4703180</v>
      </c>
      <c r="K319" s="328">
        <f t="shared" si="46"/>
        <v>6116735.2</v>
      </c>
      <c r="L319" s="328">
        <f t="shared" si="46"/>
        <v>30451184</v>
      </c>
      <c r="M319" s="328">
        <f t="shared" si="46"/>
        <v>3363348</v>
      </c>
      <c r="N319" s="328">
        <f t="shared" si="46"/>
        <v>725569</v>
      </c>
      <c r="O319" s="330"/>
      <c r="P319" s="330"/>
      <c r="Q319" s="330"/>
      <c r="R319" s="330"/>
      <c r="S319" s="330"/>
      <c r="T319" s="330"/>
      <c r="U319" s="264"/>
    </row>
    <row r="320" spans="1:21" ht="12.75">
      <c r="A320" s="250"/>
      <c r="B320" s="250"/>
      <c r="C320" s="250"/>
      <c r="D320" s="250" t="s">
        <v>176</v>
      </c>
      <c r="E320" s="325"/>
      <c r="F320" s="325"/>
      <c r="G320" s="326" t="s">
        <v>177</v>
      </c>
      <c r="H320" s="326"/>
      <c r="I320" s="328">
        <f t="shared" si="46"/>
        <v>23282495</v>
      </c>
      <c r="J320" s="328">
        <f t="shared" si="46"/>
        <v>33875946</v>
      </c>
      <c r="K320" s="328">
        <f t="shared" si="46"/>
        <v>57218235</v>
      </c>
      <c r="L320" s="328">
        <f t="shared" si="46"/>
        <v>196450251</v>
      </c>
      <c r="M320" s="328">
        <f t="shared" si="46"/>
        <v>43146799</v>
      </c>
      <c r="N320" s="328">
        <f t="shared" si="46"/>
        <v>17569252</v>
      </c>
      <c r="O320" s="330"/>
      <c r="P320" s="330"/>
      <c r="Q320" s="330"/>
      <c r="R320" s="330"/>
      <c r="S320" s="330"/>
      <c r="T320" s="330"/>
      <c r="U320" s="264"/>
    </row>
    <row r="321" spans="1:21" ht="12.75">
      <c r="A321" s="250"/>
      <c r="B321" s="250"/>
      <c r="C321" s="250"/>
      <c r="D321" s="250"/>
      <c r="E321" s="325"/>
      <c r="F321" s="325"/>
      <c r="G321" s="564" t="s">
        <v>178</v>
      </c>
      <c r="H321" s="565"/>
      <c r="I321" s="333">
        <f t="shared" si="46"/>
        <v>26192266.2</v>
      </c>
      <c r="J321" s="333">
        <f t="shared" si="46"/>
        <v>38579126</v>
      </c>
      <c r="K321" s="333">
        <f t="shared" si="46"/>
        <v>63334970.2</v>
      </c>
      <c r="L321" s="333">
        <f t="shared" si="46"/>
        <v>226901435</v>
      </c>
      <c r="M321" s="333">
        <f t="shared" si="46"/>
        <v>46510147</v>
      </c>
      <c r="N321" s="333">
        <f t="shared" si="46"/>
        <v>18294821</v>
      </c>
      <c r="O321" s="336"/>
      <c r="P321" s="336"/>
      <c r="Q321" s="330"/>
      <c r="R321" s="330"/>
      <c r="S321" s="330"/>
      <c r="T321" s="330"/>
      <c r="U321" s="264"/>
    </row>
    <row r="322" spans="9:20" ht="12.75">
      <c r="I322" s="337"/>
      <c r="J322" s="337"/>
      <c r="K322" s="337"/>
      <c r="L322" s="338"/>
      <c r="M322" s="337"/>
      <c r="N322" s="337"/>
      <c r="O322" s="339"/>
      <c r="P322" s="339"/>
      <c r="Q322" s="339"/>
      <c r="R322" s="339"/>
      <c r="S322" s="339"/>
      <c r="T322" s="339"/>
    </row>
    <row r="323" spans="9:20" ht="12.75">
      <c r="I323" s="337"/>
      <c r="J323" s="337"/>
      <c r="K323" s="337"/>
      <c r="L323" s="338"/>
      <c r="M323" s="337"/>
      <c r="N323" s="337"/>
      <c r="O323" s="339"/>
      <c r="P323" s="339"/>
      <c r="Q323" s="339"/>
      <c r="R323" s="339"/>
      <c r="S323" s="339"/>
      <c r="T323" s="339"/>
    </row>
    <row r="324" spans="5:20" ht="12.75" hidden="1">
      <c r="E324" s="340"/>
      <c r="H324" s="264"/>
      <c r="I324" s="337"/>
      <c r="J324" s="337"/>
      <c r="K324" s="337"/>
      <c r="L324" s="338"/>
      <c r="M324" s="337"/>
      <c r="N324" s="337"/>
      <c r="O324" s="339"/>
      <c r="P324" s="339"/>
      <c r="Q324" s="339"/>
      <c r="R324" s="339"/>
      <c r="S324" s="339"/>
      <c r="T324" s="339"/>
    </row>
    <row r="325" spans="9:20" ht="12.75">
      <c r="I325" s="337"/>
      <c r="J325" s="337"/>
      <c r="K325" s="337"/>
      <c r="L325" s="337"/>
      <c r="M325" s="337"/>
      <c r="N325" s="337"/>
      <c r="O325" s="339"/>
      <c r="P325" s="339"/>
      <c r="Q325" s="339"/>
      <c r="R325" s="339"/>
      <c r="S325" s="339"/>
      <c r="T325" s="339"/>
    </row>
    <row r="326" spans="1:20" ht="12.75">
      <c r="A326" s="247" t="s">
        <v>179</v>
      </c>
      <c r="I326" s="341"/>
      <c r="J326" s="341"/>
      <c r="K326" s="341"/>
      <c r="L326" s="341"/>
      <c r="M326" s="341"/>
      <c r="N326" s="341"/>
      <c r="O326" s="339"/>
      <c r="P326" s="339"/>
      <c r="Q326" s="339"/>
      <c r="R326" s="339"/>
      <c r="S326" s="339"/>
      <c r="T326" s="339"/>
    </row>
    <row r="327" spans="1:20" ht="12.75">
      <c r="A327" s="247" t="s">
        <v>180</v>
      </c>
      <c r="I327" s="341"/>
      <c r="J327" s="341"/>
      <c r="K327" s="341"/>
      <c r="L327" s="323"/>
      <c r="M327" s="341"/>
      <c r="N327" s="341"/>
      <c r="O327" s="339"/>
      <c r="P327" s="339"/>
      <c r="Q327" s="339"/>
      <c r="R327" s="339"/>
      <c r="S327" s="339"/>
      <c r="T327" s="339"/>
    </row>
    <row r="328" spans="9:20" ht="12.75">
      <c r="I328" s="337"/>
      <c r="J328" s="337"/>
      <c r="K328" s="337"/>
      <c r="L328" s="338"/>
      <c r="M328" s="337"/>
      <c r="N328" s="337"/>
      <c r="O328" s="339"/>
      <c r="P328" s="339"/>
      <c r="Q328" s="339"/>
      <c r="R328" s="339"/>
      <c r="S328" s="339"/>
      <c r="T328" s="339"/>
    </row>
    <row r="329" spans="9:20" ht="12.75">
      <c r="I329" s="337"/>
      <c r="J329" s="337"/>
      <c r="K329" s="337"/>
      <c r="L329" s="338"/>
      <c r="M329" s="337"/>
      <c r="N329" s="337"/>
      <c r="O329" s="339"/>
      <c r="P329" s="339"/>
      <c r="Q329" s="339"/>
      <c r="R329" s="339"/>
      <c r="S329" s="339"/>
      <c r="T329" s="339"/>
    </row>
    <row r="330" spans="9:20" ht="12.75">
      <c r="I330" s="337"/>
      <c r="J330" s="337"/>
      <c r="K330" s="337"/>
      <c r="L330" s="338"/>
      <c r="M330" s="337"/>
      <c r="N330" s="337"/>
      <c r="O330" s="339"/>
      <c r="P330" s="339"/>
      <c r="Q330" s="339"/>
      <c r="R330" s="339"/>
      <c r="S330" s="339"/>
      <c r="T330" s="339"/>
    </row>
    <row r="331" spans="9:20" ht="12.75">
      <c r="I331" s="337"/>
      <c r="J331" s="337"/>
      <c r="K331" s="337"/>
      <c r="L331" s="338"/>
      <c r="M331" s="337"/>
      <c r="N331" s="337"/>
      <c r="O331" s="339"/>
      <c r="P331" s="339"/>
      <c r="Q331" s="339"/>
      <c r="R331" s="339"/>
      <c r="S331" s="339"/>
      <c r="T331" s="339"/>
    </row>
    <row r="332" spans="9:20" ht="12.75">
      <c r="I332" s="337"/>
      <c r="J332" s="337"/>
      <c r="K332" s="337"/>
      <c r="L332" s="338"/>
      <c r="M332" s="337"/>
      <c r="N332" s="337"/>
      <c r="O332" s="339"/>
      <c r="P332" s="339"/>
      <c r="Q332" s="339"/>
      <c r="R332" s="339"/>
      <c r="S332" s="339"/>
      <c r="T332" s="339"/>
    </row>
    <row r="333" spans="9:20" ht="12.75">
      <c r="I333" s="337"/>
      <c r="J333" s="337"/>
      <c r="K333" s="337"/>
      <c r="L333" s="338"/>
      <c r="M333" s="337"/>
      <c r="N333" s="337"/>
      <c r="O333" s="339"/>
      <c r="P333" s="339"/>
      <c r="Q333" s="339"/>
      <c r="R333" s="339"/>
      <c r="S333" s="339"/>
      <c r="T333" s="339"/>
    </row>
    <row r="334" spans="9:20" ht="12.75">
      <c r="I334" s="337"/>
      <c r="J334" s="337"/>
      <c r="K334" s="337"/>
      <c r="L334" s="338"/>
      <c r="M334" s="337"/>
      <c r="N334" s="337"/>
      <c r="O334" s="339"/>
      <c r="P334" s="339"/>
      <c r="Q334" s="339"/>
      <c r="R334" s="339"/>
      <c r="S334" s="339"/>
      <c r="T334" s="339"/>
    </row>
    <row r="335" spans="9:20" ht="12.75">
      <c r="I335" s="337"/>
      <c r="J335" s="337"/>
      <c r="K335" s="337"/>
      <c r="L335" s="338"/>
      <c r="M335" s="337"/>
      <c r="N335" s="337"/>
      <c r="O335" s="339"/>
      <c r="P335" s="339"/>
      <c r="Q335" s="339"/>
      <c r="R335" s="339"/>
      <c r="S335" s="339"/>
      <c r="T335" s="339"/>
    </row>
    <row r="336" spans="9:20" ht="12.75">
      <c r="I336" s="341"/>
      <c r="J336" s="341"/>
      <c r="K336" s="341"/>
      <c r="L336" s="323"/>
      <c r="M336" s="341"/>
      <c r="N336" s="341"/>
      <c r="O336" s="339"/>
      <c r="P336" s="339"/>
      <c r="Q336" s="339"/>
      <c r="R336" s="339"/>
      <c r="S336" s="339"/>
      <c r="T336" s="339"/>
    </row>
    <row r="337" spans="9:20" ht="12.75">
      <c r="I337" s="341"/>
      <c r="J337" s="341"/>
      <c r="K337" s="341"/>
      <c r="L337" s="323"/>
      <c r="M337" s="341"/>
      <c r="N337" s="341"/>
      <c r="O337" s="339"/>
      <c r="P337" s="339"/>
      <c r="Q337" s="339"/>
      <c r="R337" s="339"/>
      <c r="S337" s="339"/>
      <c r="T337" s="339"/>
    </row>
    <row r="338" spans="9:20" ht="12.75">
      <c r="I338" s="337"/>
      <c r="J338" s="337"/>
      <c r="K338" s="337"/>
      <c r="L338" s="338"/>
      <c r="M338" s="337"/>
      <c r="N338" s="337"/>
      <c r="O338" s="339"/>
      <c r="P338" s="339"/>
      <c r="Q338" s="339"/>
      <c r="R338" s="339"/>
      <c r="S338" s="339"/>
      <c r="T338" s="339"/>
    </row>
    <row r="339" spans="9:20" ht="12.75">
      <c r="I339" s="337"/>
      <c r="J339" s="337"/>
      <c r="K339" s="337"/>
      <c r="L339" s="338"/>
      <c r="M339" s="337"/>
      <c r="N339" s="337"/>
      <c r="O339" s="339"/>
      <c r="P339" s="339"/>
      <c r="Q339" s="339"/>
      <c r="R339" s="339"/>
      <c r="S339" s="339"/>
      <c r="T339" s="339"/>
    </row>
    <row r="340" spans="9:20" ht="12.75">
      <c r="I340" s="337"/>
      <c r="J340" s="337"/>
      <c r="K340" s="337"/>
      <c r="L340" s="338"/>
      <c r="M340" s="337"/>
      <c r="N340" s="337"/>
      <c r="O340" s="339"/>
      <c r="P340" s="339"/>
      <c r="Q340" s="339"/>
      <c r="R340" s="339"/>
      <c r="S340" s="339"/>
      <c r="T340" s="339"/>
    </row>
    <row r="341" spans="9:20" ht="12.75">
      <c r="I341" s="337"/>
      <c r="J341" s="337"/>
      <c r="K341" s="337"/>
      <c r="L341" s="338"/>
      <c r="M341" s="337"/>
      <c r="N341" s="337"/>
      <c r="O341" s="339"/>
      <c r="P341" s="339"/>
      <c r="Q341" s="339"/>
      <c r="R341" s="339"/>
      <c r="S341" s="339"/>
      <c r="T341" s="339"/>
    </row>
    <row r="342" spans="9:20" ht="12.75">
      <c r="I342" s="337"/>
      <c r="J342" s="337"/>
      <c r="K342" s="337"/>
      <c r="L342" s="338"/>
      <c r="M342" s="337"/>
      <c r="N342" s="337"/>
      <c r="O342" s="339"/>
      <c r="P342" s="339"/>
      <c r="Q342" s="339"/>
      <c r="R342" s="339"/>
      <c r="S342" s="339"/>
      <c r="T342" s="339"/>
    </row>
    <row r="343" spans="9:20" ht="12.75">
      <c r="I343" s="337"/>
      <c r="J343" s="337"/>
      <c r="K343" s="337"/>
      <c r="L343" s="338"/>
      <c r="M343" s="337"/>
      <c r="N343" s="337"/>
      <c r="O343" s="339"/>
      <c r="P343" s="339"/>
      <c r="Q343" s="339"/>
      <c r="R343" s="339"/>
      <c r="S343" s="339"/>
      <c r="T343" s="339"/>
    </row>
    <row r="344" spans="9:20" ht="12.75">
      <c r="I344" s="337"/>
      <c r="J344" s="337"/>
      <c r="K344" s="337"/>
      <c r="L344" s="338"/>
      <c r="M344" s="337"/>
      <c r="N344" s="337"/>
      <c r="O344" s="339"/>
      <c r="P344" s="339"/>
      <c r="Q344" s="339"/>
      <c r="R344" s="339"/>
      <c r="S344" s="339"/>
      <c r="T344" s="339"/>
    </row>
    <row r="345" spans="9:20" ht="12.75">
      <c r="I345" s="337"/>
      <c r="J345" s="337"/>
      <c r="K345" s="337"/>
      <c r="L345" s="338"/>
      <c r="M345" s="337"/>
      <c r="N345" s="337"/>
      <c r="O345" s="339"/>
      <c r="P345" s="339"/>
      <c r="Q345" s="339"/>
      <c r="R345" s="339"/>
      <c r="S345" s="339"/>
      <c r="T345" s="339"/>
    </row>
    <row r="346" spans="9:20" ht="12.75">
      <c r="I346" s="341"/>
      <c r="J346" s="341"/>
      <c r="K346" s="341"/>
      <c r="L346" s="323"/>
      <c r="M346" s="341"/>
      <c r="N346" s="341"/>
      <c r="O346" s="339"/>
      <c r="P346" s="339"/>
      <c r="Q346" s="339"/>
      <c r="R346" s="339"/>
      <c r="S346" s="339"/>
      <c r="T346" s="339"/>
    </row>
    <row r="347" spans="9:20" ht="12.75">
      <c r="I347" s="341"/>
      <c r="J347" s="341"/>
      <c r="K347" s="341"/>
      <c r="L347" s="323"/>
      <c r="M347" s="341"/>
      <c r="N347" s="341"/>
      <c r="O347" s="339"/>
      <c r="P347" s="339"/>
      <c r="Q347" s="339"/>
      <c r="R347" s="339"/>
      <c r="S347" s="339"/>
      <c r="T347" s="339"/>
    </row>
    <row r="348" spans="9:20" ht="12.75">
      <c r="I348" s="337"/>
      <c r="J348" s="337"/>
      <c r="K348" s="337"/>
      <c r="L348" s="338"/>
      <c r="M348" s="337"/>
      <c r="N348" s="337"/>
      <c r="O348" s="339"/>
      <c r="P348" s="339"/>
      <c r="Q348" s="339"/>
      <c r="R348" s="339"/>
      <c r="S348" s="339"/>
      <c r="T348" s="339"/>
    </row>
    <row r="349" spans="9:20" ht="12.75">
      <c r="I349" s="337"/>
      <c r="J349" s="337"/>
      <c r="K349" s="337"/>
      <c r="L349" s="338"/>
      <c r="M349" s="337"/>
      <c r="N349" s="337"/>
      <c r="O349" s="339"/>
      <c r="P349" s="339"/>
      <c r="Q349" s="339"/>
      <c r="R349" s="339"/>
      <c r="S349" s="339"/>
      <c r="T349" s="339"/>
    </row>
    <row r="350" spans="9:20" ht="12.75">
      <c r="I350" s="337"/>
      <c r="J350" s="337"/>
      <c r="K350" s="337"/>
      <c r="L350" s="338"/>
      <c r="M350" s="337"/>
      <c r="N350" s="337"/>
      <c r="O350" s="339"/>
      <c r="P350" s="339"/>
      <c r="Q350" s="339"/>
      <c r="R350" s="339"/>
      <c r="S350" s="339"/>
      <c r="T350" s="339"/>
    </row>
    <row r="351" spans="9:20" ht="12.75">
      <c r="I351" s="337"/>
      <c r="J351" s="337"/>
      <c r="K351" s="337"/>
      <c r="L351" s="338"/>
      <c r="M351" s="337"/>
      <c r="N351" s="337"/>
      <c r="O351" s="339"/>
      <c r="P351" s="339"/>
      <c r="Q351" s="339"/>
      <c r="R351" s="339"/>
      <c r="S351" s="339"/>
      <c r="T351" s="339"/>
    </row>
    <row r="352" spans="9:20" ht="12.75">
      <c r="I352" s="337"/>
      <c r="J352" s="337"/>
      <c r="K352" s="337"/>
      <c r="L352" s="338"/>
      <c r="M352" s="337"/>
      <c r="N352" s="337"/>
      <c r="O352" s="339"/>
      <c r="P352" s="339"/>
      <c r="Q352" s="339"/>
      <c r="R352" s="339"/>
      <c r="S352" s="339"/>
      <c r="T352" s="339"/>
    </row>
    <row r="353" spans="9:20" ht="12.75">
      <c r="I353" s="337"/>
      <c r="J353" s="337"/>
      <c r="K353" s="337"/>
      <c r="L353" s="338"/>
      <c r="M353" s="337"/>
      <c r="N353" s="337"/>
      <c r="O353" s="339"/>
      <c r="P353" s="339"/>
      <c r="Q353" s="339"/>
      <c r="R353" s="339"/>
      <c r="S353" s="339"/>
      <c r="T353" s="339"/>
    </row>
    <row r="354" spans="9:20" ht="12.75">
      <c r="I354" s="337"/>
      <c r="J354" s="337"/>
      <c r="K354" s="337"/>
      <c r="L354" s="338"/>
      <c r="M354" s="337"/>
      <c r="N354" s="337"/>
      <c r="O354" s="339"/>
      <c r="P354" s="339"/>
      <c r="Q354" s="339"/>
      <c r="R354" s="339"/>
      <c r="S354" s="339"/>
      <c r="T354" s="339"/>
    </row>
    <row r="355" spans="9:20" ht="12.75">
      <c r="I355" s="337"/>
      <c r="J355" s="337"/>
      <c r="K355" s="337"/>
      <c r="L355" s="338"/>
      <c r="M355" s="337"/>
      <c r="N355" s="337"/>
      <c r="O355" s="339"/>
      <c r="P355" s="339"/>
      <c r="Q355" s="339"/>
      <c r="R355" s="339"/>
      <c r="S355" s="339"/>
      <c r="T355" s="339"/>
    </row>
    <row r="356" spans="9:20" ht="12.75">
      <c r="I356" s="341"/>
      <c r="J356" s="341"/>
      <c r="K356" s="341"/>
      <c r="L356" s="323"/>
      <c r="M356" s="341"/>
      <c r="N356" s="341"/>
      <c r="O356" s="339"/>
      <c r="P356" s="339"/>
      <c r="Q356" s="339"/>
      <c r="R356" s="339"/>
      <c r="S356" s="339"/>
      <c r="T356" s="339"/>
    </row>
    <row r="357" spans="9:20" ht="12.75">
      <c r="I357" s="341"/>
      <c r="J357" s="341"/>
      <c r="K357" s="341"/>
      <c r="L357" s="323"/>
      <c r="M357" s="341"/>
      <c r="N357" s="341"/>
      <c r="O357" s="339"/>
      <c r="P357" s="339"/>
      <c r="Q357" s="339"/>
      <c r="R357" s="339"/>
      <c r="S357" s="339"/>
      <c r="T357" s="339"/>
    </row>
    <row r="358" spans="9:20" ht="12.75">
      <c r="I358" s="337"/>
      <c r="J358" s="337"/>
      <c r="K358" s="337"/>
      <c r="L358" s="338"/>
      <c r="M358" s="337"/>
      <c r="N358" s="337"/>
      <c r="O358" s="339"/>
      <c r="P358" s="339"/>
      <c r="Q358" s="339"/>
      <c r="R358" s="339"/>
      <c r="S358" s="339"/>
      <c r="T358" s="339"/>
    </row>
    <row r="359" spans="9:20" ht="12.75">
      <c r="I359" s="337"/>
      <c r="J359" s="337"/>
      <c r="K359" s="337"/>
      <c r="L359" s="338"/>
      <c r="M359" s="337"/>
      <c r="N359" s="337"/>
      <c r="O359" s="339"/>
      <c r="P359" s="339"/>
      <c r="Q359" s="339"/>
      <c r="R359" s="339"/>
      <c r="S359" s="339"/>
      <c r="T359" s="339"/>
    </row>
    <row r="360" spans="9:20" ht="12.75">
      <c r="I360" s="337"/>
      <c r="J360" s="337"/>
      <c r="K360" s="337"/>
      <c r="L360" s="338"/>
      <c r="M360" s="337"/>
      <c r="N360" s="337"/>
      <c r="O360" s="339"/>
      <c r="P360" s="339"/>
      <c r="Q360" s="339"/>
      <c r="R360" s="339"/>
      <c r="S360" s="339"/>
      <c r="T360" s="339"/>
    </row>
    <row r="361" spans="9:20" ht="12.75">
      <c r="I361" s="337"/>
      <c r="J361" s="337"/>
      <c r="K361" s="337"/>
      <c r="L361" s="338"/>
      <c r="M361" s="337"/>
      <c r="N361" s="337"/>
      <c r="O361" s="339"/>
      <c r="P361" s="339"/>
      <c r="Q361" s="339"/>
      <c r="R361" s="339"/>
      <c r="S361" s="339"/>
      <c r="T361" s="339"/>
    </row>
    <row r="362" spans="9:20" ht="12.75">
      <c r="I362" s="337"/>
      <c r="J362" s="337"/>
      <c r="K362" s="337"/>
      <c r="L362" s="338"/>
      <c r="M362" s="337"/>
      <c r="N362" s="337"/>
      <c r="O362" s="339"/>
      <c r="P362" s="339"/>
      <c r="Q362" s="339"/>
      <c r="R362" s="339"/>
      <c r="S362" s="339"/>
      <c r="T362" s="339"/>
    </row>
    <row r="363" spans="9:20" ht="12.75">
      <c r="I363" s="337"/>
      <c r="J363" s="337"/>
      <c r="K363" s="337"/>
      <c r="L363" s="338"/>
      <c r="M363" s="337"/>
      <c r="N363" s="337"/>
      <c r="O363" s="339"/>
      <c r="P363" s="339"/>
      <c r="Q363" s="339"/>
      <c r="R363" s="339"/>
      <c r="S363" s="339"/>
      <c r="T363" s="339"/>
    </row>
    <row r="364" spans="9:20" ht="12.75">
      <c r="I364" s="337"/>
      <c r="J364" s="337"/>
      <c r="K364" s="337"/>
      <c r="L364" s="338"/>
      <c r="M364" s="337"/>
      <c r="N364" s="337"/>
      <c r="O364" s="339"/>
      <c r="P364" s="339"/>
      <c r="Q364" s="339"/>
      <c r="R364" s="339"/>
      <c r="S364" s="339"/>
      <c r="T364" s="339"/>
    </row>
    <row r="365" spans="9:20" ht="12.75">
      <c r="I365" s="337"/>
      <c r="J365" s="337"/>
      <c r="K365" s="337"/>
      <c r="L365" s="338"/>
      <c r="M365" s="337"/>
      <c r="N365" s="337"/>
      <c r="O365" s="339"/>
      <c r="P365" s="339"/>
      <c r="Q365" s="339"/>
      <c r="R365" s="339"/>
      <c r="S365" s="339"/>
      <c r="T365" s="339"/>
    </row>
    <row r="366" spans="9:20" ht="12.75">
      <c r="I366" s="341"/>
      <c r="J366" s="341"/>
      <c r="K366" s="341"/>
      <c r="L366" s="323"/>
      <c r="M366" s="341"/>
      <c r="N366" s="341"/>
      <c r="O366" s="339"/>
      <c r="P366" s="339"/>
      <c r="Q366" s="339"/>
      <c r="R366" s="339"/>
      <c r="S366" s="339"/>
      <c r="T366" s="339"/>
    </row>
    <row r="367" spans="9:20" ht="12.75">
      <c r="I367" s="341"/>
      <c r="J367" s="341"/>
      <c r="K367" s="341"/>
      <c r="L367" s="323"/>
      <c r="M367" s="341"/>
      <c r="N367" s="341"/>
      <c r="O367" s="339"/>
      <c r="P367" s="339"/>
      <c r="Q367" s="339"/>
      <c r="R367" s="339"/>
      <c r="S367" s="339"/>
      <c r="T367" s="339"/>
    </row>
    <row r="368" spans="9:20" ht="12.75">
      <c r="I368" s="337"/>
      <c r="J368" s="337"/>
      <c r="K368" s="337"/>
      <c r="L368" s="338"/>
      <c r="M368" s="337"/>
      <c r="N368" s="337"/>
      <c r="O368" s="339"/>
      <c r="P368" s="339"/>
      <c r="Q368" s="339"/>
      <c r="R368" s="339"/>
      <c r="S368" s="339"/>
      <c r="T368" s="339"/>
    </row>
    <row r="369" spans="9:20" ht="12.75">
      <c r="I369" s="337"/>
      <c r="J369" s="337"/>
      <c r="K369" s="337"/>
      <c r="L369" s="338"/>
      <c r="M369" s="337"/>
      <c r="N369" s="337"/>
      <c r="O369" s="339"/>
      <c r="P369" s="339"/>
      <c r="Q369" s="339"/>
      <c r="R369" s="339"/>
      <c r="S369" s="339"/>
      <c r="T369" s="339"/>
    </row>
    <row r="370" spans="9:20" ht="12.75">
      <c r="I370" s="337"/>
      <c r="J370" s="337"/>
      <c r="K370" s="337"/>
      <c r="L370" s="338"/>
      <c r="M370" s="337"/>
      <c r="N370" s="337"/>
      <c r="O370" s="339"/>
      <c r="P370" s="339"/>
      <c r="Q370" s="339"/>
      <c r="R370" s="339"/>
      <c r="S370" s="339"/>
      <c r="T370" s="339"/>
    </row>
    <row r="371" spans="9:20" ht="12.75">
      <c r="I371" s="337"/>
      <c r="J371" s="337"/>
      <c r="K371" s="337"/>
      <c r="L371" s="338"/>
      <c r="M371" s="337"/>
      <c r="N371" s="337"/>
      <c r="O371" s="339"/>
      <c r="P371" s="339"/>
      <c r="Q371" s="339"/>
      <c r="R371" s="339"/>
      <c r="S371" s="339"/>
      <c r="T371" s="339"/>
    </row>
    <row r="372" spans="9:20" ht="12.75">
      <c r="I372" s="337"/>
      <c r="J372" s="337"/>
      <c r="K372" s="337"/>
      <c r="L372" s="338"/>
      <c r="M372" s="337"/>
      <c r="N372" s="337"/>
      <c r="O372" s="339"/>
      <c r="P372" s="339"/>
      <c r="Q372" s="339"/>
      <c r="R372" s="339"/>
      <c r="S372" s="339"/>
      <c r="T372" s="339"/>
    </row>
    <row r="373" spans="9:20" ht="12.75">
      <c r="I373" s="337"/>
      <c r="J373" s="337"/>
      <c r="K373" s="337"/>
      <c r="L373" s="338"/>
      <c r="M373" s="337"/>
      <c r="N373" s="337"/>
      <c r="O373" s="339"/>
      <c r="P373" s="339"/>
      <c r="Q373" s="339"/>
      <c r="R373" s="339"/>
      <c r="S373" s="339"/>
      <c r="T373" s="339"/>
    </row>
    <row r="374" spans="9:20" ht="12.75">
      <c r="I374" s="337"/>
      <c r="J374" s="337"/>
      <c r="K374" s="337"/>
      <c r="L374" s="338"/>
      <c r="M374" s="337"/>
      <c r="N374" s="337"/>
      <c r="O374" s="339"/>
      <c r="P374" s="339"/>
      <c r="Q374" s="339"/>
      <c r="R374" s="339"/>
      <c r="S374" s="339"/>
      <c r="T374" s="339"/>
    </row>
    <row r="375" spans="9:20" ht="12.75">
      <c r="I375" s="337"/>
      <c r="J375" s="337"/>
      <c r="K375" s="337"/>
      <c r="L375" s="338"/>
      <c r="M375" s="337"/>
      <c r="N375" s="337"/>
      <c r="O375" s="339"/>
      <c r="P375" s="339"/>
      <c r="Q375" s="339"/>
      <c r="R375" s="339"/>
      <c r="S375" s="339"/>
      <c r="T375" s="339"/>
    </row>
    <row r="376" spans="9:20" ht="12.75">
      <c r="I376" s="341"/>
      <c r="J376" s="341"/>
      <c r="K376" s="341"/>
      <c r="L376" s="323"/>
      <c r="M376" s="341"/>
      <c r="N376" s="341"/>
      <c r="O376" s="339"/>
      <c r="P376" s="339"/>
      <c r="Q376" s="339"/>
      <c r="R376" s="339"/>
      <c r="S376" s="339"/>
      <c r="T376" s="339"/>
    </row>
    <row r="377" spans="9:20" ht="12.75">
      <c r="I377" s="341"/>
      <c r="J377" s="341"/>
      <c r="K377" s="341"/>
      <c r="L377" s="323"/>
      <c r="M377" s="341"/>
      <c r="N377" s="341"/>
      <c r="O377" s="339"/>
      <c r="P377" s="339"/>
      <c r="Q377" s="339"/>
      <c r="R377" s="339"/>
      <c r="S377" s="339"/>
      <c r="T377" s="339"/>
    </row>
    <row r="378" spans="9:20" ht="12.75">
      <c r="I378" s="337"/>
      <c r="J378" s="337"/>
      <c r="K378" s="337"/>
      <c r="L378" s="338"/>
      <c r="M378" s="337"/>
      <c r="N378" s="337"/>
      <c r="O378" s="339"/>
      <c r="P378" s="339"/>
      <c r="Q378" s="339"/>
      <c r="R378" s="339"/>
      <c r="S378" s="339"/>
      <c r="T378" s="339"/>
    </row>
    <row r="379" spans="9:20" ht="12.75">
      <c r="I379" s="337"/>
      <c r="J379" s="337"/>
      <c r="K379" s="337"/>
      <c r="L379" s="338"/>
      <c r="M379" s="337"/>
      <c r="N379" s="337"/>
      <c r="O379" s="339"/>
      <c r="P379" s="339"/>
      <c r="Q379" s="339"/>
      <c r="R379" s="339"/>
      <c r="S379" s="339"/>
      <c r="T379" s="339"/>
    </row>
    <row r="380" spans="9:20" ht="12.75">
      <c r="I380" s="337"/>
      <c r="J380" s="337"/>
      <c r="K380" s="337"/>
      <c r="L380" s="338"/>
      <c r="M380" s="337"/>
      <c r="N380" s="337"/>
      <c r="O380" s="339"/>
      <c r="P380" s="339"/>
      <c r="Q380" s="339"/>
      <c r="R380" s="339"/>
      <c r="S380" s="339"/>
      <c r="T380" s="339"/>
    </row>
    <row r="381" spans="9:20" ht="12.75">
      <c r="I381" s="337"/>
      <c r="J381" s="337"/>
      <c r="K381" s="337"/>
      <c r="L381" s="338"/>
      <c r="M381" s="337"/>
      <c r="N381" s="337"/>
      <c r="O381" s="339"/>
      <c r="P381" s="339"/>
      <c r="Q381" s="339"/>
      <c r="R381" s="339"/>
      <c r="S381" s="339"/>
      <c r="T381" s="339"/>
    </row>
    <row r="382" spans="9:20" ht="12.75">
      <c r="I382" s="337"/>
      <c r="J382" s="337"/>
      <c r="K382" s="337"/>
      <c r="L382" s="338"/>
      <c r="M382" s="337"/>
      <c r="N382" s="337"/>
      <c r="O382" s="339"/>
      <c r="P382" s="339"/>
      <c r="Q382" s="339"/>
      <c r="R382" s="339"/>
      <c r="S382" s="339"/>
      <c r="T382" s="339"/>
    </row>
    <row r="383" spans="9:20" ht="12.75">
      <c r="I383" s="337"/>
      <c r="J383" s="337"/>
      <c r="K383" s="337"/>
      <c r="L383" s="338"/>
      <c r="M383" s="337"/>
      <c r="N383" s="337"/>
      <c r="O383" s="339"/>
      <c r="P383" s="339"/>
      <c r="Q383" s="339"/>
      <c r="R383" s="339"/>
      <c r="S383" s="339"/>
      <c r="T383" s="339"/>
    </row>
    <row r="384" spans="9:20" ht="12.75">
      <c r="I384" s="337"/>
      <c r="J384" s="337"/>
      <c r="K384" s="337"/>
      <c r="L384" s="338"/>
      <c r="M384" s="337"/>
      <c r="N384" s="337"/>
      <c r="O384" s="339"/>
      <c r="P384" s="339"/>
      <c r="Q384" s="339"/>
      <c r="R384" s="339"/>
      <c r="S384" s="339"/>
      <c r="T384" s="339"/>
    </row>
    <row r="385" spans="9:20" ht="12.75">
      <c r="I385" s="337"/>
      <c r="J385" s="337"/>
      <c r="K385" s="337"/>
      <c r="L385" s="338"/>
      <c r="M385" s="337"/>
      <c r="N385" s="337"/>
      <c r="O385" s="339"/>
      <c r="P385" s="339"/>
      <c r="Q385" s="339"/>
      <c r="R385" s="339"/>
      <c r="S385" s="339"/>
      <c r="T385" s="339"/>
    </row>
    <row r="386" spans="9:20" ht="12.75">
      <c r="I386" s="341"/>
      <c r="J386" s="341"/>
      <c r="K386" s="341"/>
      <c r="L386" s="323"/>
      <c r="M386" s="341"/>
      <c r="N386" s="341"/>
      <c r="O386" s="339"/>
      <c r="P386" s="339"/>
      <c r="Q386" s="339"/>
      <c r="R386" s="339"/>
      <c r="S386" s="339"/>
      <c r="T386" s="339"/>
    </row>
    <row r="387" spans="9:20" ht="12.75">
      <c r="I387" s="341"/>
      <c r="J387" s="341"/>
      <c r="K387" s="341"/>
      <c r="L387" s="323"/>
      <c r="M387" s="341"/>
      <c r="N387" s="341"/>
      <c r="O387" s="339"/>
      <c r="P387" s="339"/>
      <c r="Q387" s="339"/>
      <c r="R387" s="339"/>
      <c r="S387" s="339"/>
      <c r="T387" s="339"/>
    </row>
    <row r="388" spans="9:20" ht="12.75">
      <c r="I388" s="337"/>
      <c r="J388" s="337"/>
      <c r="K388" s="337"/>
      <c r="L388" s="338"/>
      <c r="M388" s="337"/>
      <c r="N388" s="337"/>
      <c r="O388" s="339"/>
      <c r="P388" s="339"/>
      <c r="Q388" s="339"/>
      <c r="R388" s="339"/>
      <c r="S388" s="339"/>
      <c r="T388" s="339"/>
    </row>
    <row r="389" spans="9:20" ht="12.75">
      <c r="I389" s="337"/>
      <c r="J389" s="337"/>
      <c r="K389" s="337"/>
      <c r="L389" s="338"/>
      <c r="M389" s="337"/>
      <c r="N389" s="337"/>
      <c r="O389" s="339"/>
      <c r="P389" s="339"/>
      <c r="Q389" s="339"/>
      <c r="R389" s="339"/>
      <c r="S389" s="339"/>
      <c r="T389" s="339"/>
    </row>
    <row r="390" spans="9:20" ht="12.75">
      <c r="I390" s="337"/>
      <c r="J390" s="337"/>
      <c r="K390" s="337"/>
      <c r="L390" s="338"/>
      <c r="M390" s="337"/>
      <c r="N390" s="337"/>
      <c r="O390" s="339"/>
      <c r="P390" s="339"/>
      <c r="Q390" s="339"/>
      <c r="R390" s="339"/>
      <c r="S390" s="339"/>
      <c r="T390" s="339"/>
    </row>
    <row r="391" spans="9:20" ht="12.75">
      <c r="I391" s="337"/>
      <c r="J391" s="337"/>
      <c r="K391" s="337"/>
      <c r="L391" s="338"/>
      <c r="M391" s="337"/>
      <c r="N391" s="337"/>
      <c r="O391" s="339"/>
      <c r="P391" s="339"/>
      <c r="Q391" s="339"/>
      <c r="R391" s="339"/>
      <c r="S391" s="339"/>
      <c r="T391" s="339"/>
    </row>
    <row r="392" spans="9:20" ht="12.75">
      <c r="I392" s="337"/>
      <c r="J392" s="337"/>
      <c r="K392" s="337"/>
      <c r="L392" s="338"/>
      <c r="M392" s="337"/>
      <c r="N392" s="337"/>
      <c r="O392" s="339"/>
      <c r="P392" s="339"/>
      <c r="Q392" s="339"/>
      <c r="R392" s="339"/>
      <c r="S392" s="339"/>
      <c r="T392" s="339"/>
    </row>
    <row r="393" spans="9:20" ht="12.75">
      <c r="I393" s="337"/>
      <c r="J393" s="337"/>
      <c r="K393" s="337"/>
      <c r="L393" s="338"/>
      <c r="M393" s="337"/>
      <c r="N393" s="337"/>
      <c r="O393" s="339"/>
      <c r="P393" s="339"/>
      <c r="Q393" s="339"/>
      <c r="R393" s="339"/>
      <c r="S393" s="339"/>
      <c r="T393" s="339"/>
    </row>
    <row r="394" spans="9:20" ht="12.75">
      <c r="I394" s="337"/>
      <c r="J394" s="337"/>
      <c r="K394" s="337"/>
      <c r="L394" s="338"/>
      <c r="M394" s="337"/>
      <c r="N394" s="337"/>
      <c r="O394" s="339"/>
      <c r="P394" s="339"/>
      <c r="Q394" s="339"/>
      <c r="R394" s="339"/>
      <c r="S394" s="339"/>
      <c r="T394" s="339"/>
    </row>
    <row r="395" spans="9:20" ht="12.75">
      <c r="I395" s="337"/>
      <c r="J395" s="337"/>
      <c r="K395" s="337"/>
      <c r="L395" s="338"/>
      <c r="M395" s="337"/>
      <c r="N395" s="337"/>
      <c r="O395" s="339"/>
      <c r="P395" s="339"/>
      <c r="Q395" s="339"/>
      <c r="R395" s="339"/>
      <c r="S395" s="339"/>
      <c r="T395" s="339"/>
    </row>
    <row r="396" spans="9:20" ht="12.75">
      <c r="I396" s="341"/>
      <c r="J396" s="341"/>
      <c r="K396" s="341"/>
      <c r="L396" s="323"/>
      <c r="M396" s="341"/>
      <c r="N396" s="341"/>
      <c r="O396" s="339"/>
      <c r="P396" s="339"/>
      <c r="Q396" s="339"/>
      <c r="R396" s="339"/>
      <c r="S396" s="339"/>
      <c r="T396" s="339"/>
    </row>
    <row r="397" spans="9:20" ht="12.75">
      <c r="I397" s="341"/>
      <c r="J397" s="341"/>
      <c r="K397" s="341"/>
      <c r="L397" s="323"/>
      <c r="M397" s="341"/>
      <c r="N397" s="341"/>
      <c r="O397" s="339"/>
      <c r="P397" s="339"/>
      <c r="Q397" s="339"/>
      <c r="R397" s="339"/>
      <c r="S397" s="339"/>
      <c r="T397" s="339"/>
    </row>
    <row r="398" spans="9:20" ht="12.75">
      <c r="I398" s="337"/>
      <c r="J398" s="337"/>
      <c r="K398" s="337"/>
      <c r="L398" s="338"/>
      <c r="M398" s="337"/>
      <c r="N398" s="337"/>
      <c r="O398" s="339"/>
      <c r="P398" s="339"/>
      <c r="Q398" s="339"/>
      <c r="R398" s="339"/>
      <c r="S398" s="339"/>
      <c r="T398" s="339"/>
    </row>
    <row r="399" spans="9:20" ht="12.75">
      <c r="I399" s="337"/>
      <c r="J399" s="337"/>
      <c r="K399" s="337"/>
      <c r="L399" s="338"/>
      <c r="M399" s="337"/>
      <c r="N399" s="337"/>
      <c r="O399" s="339"/>
      <c r="P399" s="339"/>
      <c r="Q399" s="339"/>
      <c r="R399" s="339"/>
      <c r="S399" s="339"/>
      <c r="T399" s="339"/>
    </row>
    <row r="400" spans="9:20" ht="12.75">
      <c r="I400" s="337"/>
      <c r="J400" s="337"/>
      <c r="K400" s="337"/>
      <c r="L400" s="338"/>
      <c r="M400" s="337"/>
      <c r="N400" s="337"/>
      <c r="O400" s="339"/>
      <c r="P400" s="339"/>
      <c r="Q400" s="339"/>
      <c r="R400" s="339"/>
      <c r="S400" s="339"/>
      <c r="T400" s="339"/>
    </row>
    <row r="401" spans="9:20" ht="12.75">
      <c r="I401" s="337"/>
      <c r="J401" s="337"/>
      <c r="K401" s="337"/>
      <c r="L401" s="338"/>
      <c r="M401" s="337"/>
      <c r="N401" s="337"/>
      <c r="O401" s="339"/>
      <c r="P401" s="339"/>
      <c r="Q401" s="339"/>
      <c r="R401" s="339"/>
      <c r="S401" s="339"/>
      <c r="T401" s="339"/>
    </row>
    <row r="402" spans="9:20" ht="12.75">
      <c r="I402" s="337"/>
      <c r="J402" s="337"/>
      <c r="K402" s="337"/>
      <c r="L402" s="338"/>
      <c r="M402" s="337"/>
      <c r="N402" s="337"/>
      <c r="O402" s="339"/>
      <c r="P402" s="339"/>
      <c r="Q402" s="339"/>
      <c r="R402" s="339"/>
      <c r="S402" s="339"/>
      <c r="T402" s="339"/>
    </row>
    <row r="403" spans="9:20" ht="12.75">
      <c r="I403" s="337"/>
      <c r="J403" s="337"/>
      <c r="K403" s="337"/>
      <c r="L403" s="338"/>
      <c r="M403" s="337"/>
      <c r="N403" s="337"/>
      <c r="O403" s="339"/>
      <c r="P403" s="339"/>
      <c r="Q403" s="339"/>
      <c r="R403" s="339"/>
      <c r="S403" s="339"/>
      <c r="T403" s="339"/>
    </row>
    <row r="404" spans="9:20" ht="12.75">
      <c r="I404" s="337"/>
      <c r="J404" s="337"/>
      <c r="K404" s="337"/>
      <c r="L404" s="338"/>
      <c r="M404" s="337"/>
      <c r="N404" s="337"/>
      <c r="O404" s="339"/>
      <c r="P404" s="339"/>
      <c r="Q404" s="339"/>
      <c r="R404" s="339"/>
      <c r="S404" s="339"/>
      <c r="T404" s="339"/>
    </row>
    <row r="405" spans="9:20" ht="12.75">
      <c r="I405" s="337"/>
      <c r="J405" s="337"/>
      <c r="K405" s="337"/>
      <c r="L405" s="338"/>
      <c r="M405" s="337"/>
      <c r="N405" s="337"/>
      <c r="O405" s="339"/>
      <c r="P405" s="339"/>
      <c r="Q405" s="339"/>
      <c r="R405" s="339"/>
      <c r="S405" s="339"/>
      <c r="T405" s="339"/>
    </row>
    <row r="406" spans="9:20" ht="12.75">
      <c r="I406" s="341"/>
      <c r="J406" s="341"/>
      <c r="K406" s="341"/>
      <c r="L406" s="323"/>
      <c r="M406" s="341"/>
      <c r="N406" s="341"/>
      <c r="O406" s="339"/>
      <c r="P406" s="339"/>
      <c r="Q406" s="339"/>
      <c r="R406" s="339"/>
      <c r="S406" s="339"/>
      <c r="T406" s="339"/>
    </row>
    <row r="407" spans="9:20" ht="12.75">
      <c r="I407" s="341"/>
      <c r="J407" s="341"/>
      <c r="K407" s="341"/>
      <c r="L407" s="323"/>
      <c r="M407" s="341"/>
      <c r="N407" s="341"/>
      <c r="O407" s="339"/>
      <c r="P407" s="339"/>
      <c r="Q407" s="339"/>
      <c r="R407" s="339"/>
      <c r="S407" s="339"/>
      <c r="T407" s="339"/>
    </row>
    <row r="408" spans="9:20" ht="12.75">
      <c r="I408" s="337"/>
      <c r="J408" s="337"/>
      <c r="K408" s="337"/>
      <c r="L408" s="338"/>
      <c r="M408" s="337"/>
      <c r="N408" s="337"/>
      <c r="O408" s="339"/>
      <c r="P408" s="339"/>
      <c r="Q408" s="339"/>
      <c r="R408" s="339"/>
      <c r="S408" s="339"/>
      <c r="T408" s="339"/>
    </row>
    <row r="409" spans="9:20" ht="12.75">
      <c r="I409" s="337"/>
      <c r="J409" s="337"/>
      <c r="K409" s="337"/>
      <c r="L409" s="338"/>
      <c r="M409" s="337"/>
      <c r="N409" s="337"/>
      <c r="O409" s="339"/>
      <c r="P409" s="339"/>
      <c r="Q409" s="339"/>
      <c r="R409" s="339"/>
      <c r="S409" s="339"/>
      <c r="T409" s="339"/>
    </row>
    <row r="410" spans="9:20" ht="12.75">
      <c r="I410" s="337"/>
      <c r="J410" s="337"/>
      <c r="K410" s="337"/>
      <c r="L410" s="338"/>
      <c r="M410" s="337"/>
      <c r="N410" s="337"/>
      <c r="O410" s="339"/>
      <c r="P410" s="339"/>
      <c r="Q410" s="339"/>
      <c r="R410" s="339"/>
      <c r="S410" s="339"/>
      <c r="T410" s="339"/>
    </row>
    <row r="411" spans="9:20" ht="12.75">
      <c r="I411" s="337"/>
      <c r="J411" s="337"/>
      <c r="K411" s="337"/>
      <c r="L411" s="338"/>
      <c r="M411" s="337"/>
      <c r="N411" s="337"/>
      <c r="O411" s="339"/>
      <c r="P411" s="339"/>
      <c r="Q411" s="339"/>
      <c r="R411" s="339"/>
      <c r="S411" s="339"/>
      <c r="T411" s="339"/>
    </row>
    <row r="412" spans="9:20" ht="12.75">
      <c r="I412" s="337"/>
      <c r="J412" s="337"/>
      <c r="K412" s="337"/>
      <c r="L412" s="338"/>
      <c r="M412" s="337"/>
      <c r="N412" s="337"/>
      <c r="O412" s="339"/>
      <c r="P412" s="339"/>
      <c r="Q412" s="339"/>
      <c r="R412" s="339"/>
      <c r="S412" s="339"/>
      <c r="T412" s="339"/>
    </row>
    <row r="413" spans="9:20" ht="12.75">
      <c r="I413" s="337"/>
      <c r="J413" s="337"/>
      <c r="K413" s="337"/>
      <c r="L413" s="338"/>
      <c r="M413" s="337"/>
      <c r="N413" s="337"/>
      <c r="O413" s="339"/>
      <c r="P413" s="339"/>
      <c r="Q413" s="339"/>
      <c r="R413" s="339"/>
      <c r="S413" s="339"/>
      <c r="T413" s="339"/>
    </row>
    <row r="414" spans="9:20" ht="12.75">
      <c r="I414" s="337"/>
      <c r="J414" s="337"/>
      <c r="K414" s="337"/>
      <c r="L414" s="338"/>
      <c r="M414" s="337"/>
      <c r="N414" s="337"/>
      <c r="O414" s="339"/>
      <c r="P414" s="339"/>
      <c r="Q414" s="339"/>
      <c r="R414" s="339"/>
      <c r="S414" s="339"/>
      <c r="T414" s="339"/>
    </row>
    <row r="415" spans="9:20" ht="12.75">
      <c r="I415" s="337"/>
      <c r="J415" s="337"/>
      <c r="K415" s="337"/>
      <c r="L415" s="338"/>
      <c r="M415" s="337"/>
      <c r="N415" s="337"/>
      <c r="O415" s="339"/>
      <c r="P415" s="339"/>
      <c r="Q415" s="339"/>
      <c r="R415" s="339"/>
      <c r="S415" s="339"/>
      <c r="T415" s="339"/>
    </row>
    <row r="416" spans="9:20" ht="12.75">
      <c r="I416" s="341"/>
      <c r="J416" s="341"/>
      <c r="K416" s="341"/>
      <c r="L416" s="323"/>
      <c r="M416" s="341"/>
      <c r="N416" s="341"/>
      <c r="O416" s="339"/>
      <c r="P416" s="339"/>
      <c r="Q416" s="339"/>
      <c r="R416" s="339"/>
      <c r="S416" s="339"/>
      <c r="T416" s="339"/>
    </row>
    <row r="417" spans="9:20" ht="12.75">
      <c r="I417" s="341"/>
      <c r="J417" s="341"/>
      <c r="K417" s="341"/>
      <c r="L417" s="323"/>
      <c r="M417" s="341"/>
      <c r="N417" s="341"/>
      <c r="O417" s="339"/>
      <c r="P417" s="339"/>
      <c r="Q417" s="339"/>
      <c r="R417" s="339"/>
      <c r="S417" s="339"/>
      <c r="T417" s="339"/>
    </row>
    <row r="418" spans="9:20" ht="12.75">
      <c r="I418" s="337"/>
      <c r="J418" s="337"/>
      <c r="K418" s="337"/>
      <c r="L418" s="338"/>
      <c r="M418" s="337"/>
      <c r="N418" s="337"/>
      <c r="O418" s="339"/>
      <c r="P418" s="339"/>
      <c r="Q418" s="339"/>
      <c r="R418" s="339"/>
      <c r="S418" s="339"/>
      <c r="T418" s="339"/>
    </row>
    <row r="419" spans="9:20" ht="12.75">
      <c r="I419" s="337"/>
      <c r="J419" s="337"/>
      <c r="K419" s="337"/>
      <c r="L419" s="338"/>
      <c r="M419" s="337"/>
      <c r="N419" s="337"/>
      <c r="O419" s="339"/>
      <c r="P419" s="339"/>
      <c r="Q419" s="339"/>
      <c r="R419" s="339"/>
      <c r="S419" s="339"/>
      <c r="T419" s="339"/>
    </row>
    <row r="420" spans="9:20" ht="12.75">
      <c r="I420" s="337"/>
      <c r="J420" s="337"/>
      <c r="K420" s="337"/>
      <c r="L420" s="338"/>
      <c r="M420" s="337"/>
      <c r="N420" s="337"/>
      <c r="O420" s="339"/>
      <c r="P420" s="339"/>
      <c r="Q420" s="339"/>
      <c r="R420" s="339"/>
      <c r="S420" s="339"/>
      <c r="T420" s="339"/>
    </row>
    <row r="421" spans="9:20" ht="12.75">
      <c r="I421" s="337"/>
      <c r="J421" s="337"/>
      <c r="K421" s="337"/>
      <c r="L421" s="338"/>
      <c r="M421" s="337"/>
      <c r="N421" s="337"/>
      <c r="O421" s="339"/>
      <c r="P421" s="339"/>
      <c r="Q421" s="339"/>
      <c r="R421" s="339"/>
      <c r="S421" s="339"/>
      <c r="T421" s="339"/>
    </row>
    <row r="422" spans="9:20" ht="12.75">
      <c r="I422" s="337"/>
      <c r="J422" s="337"/>
      <c r="K422" s="337"/>
      <c r="L422" s="338"/>
      <c r="M422" s="337"/>
      <c r="N422" s="337"/>
      <c r="O422" s="339"/>
      <c r="P422" s="339"/>
      <c r="Q422" s="339"/>
      <c r="R422" s="339"/>
      <c r="S422" s="339"/>
      <c r="T422" s="339"/>
    </row>
    <row r="423" spans="9:20" ht="12.75">
      <c r="I423" s="337"/>
      <c r="J423" s="337"/>
      <c r="K423" s="337"/>
      <c r="L423" s="338"/>
      <c r="M423" s="337"/>
      <c r="N423" s="337"/>
      <c r="O423" s="339"/>
      <c r="P423" s="339"/>
      <c r="Q423" s="339"/>
      <c r="R423" s="339"/>
      <c r="S423" s="339"/>
      <c r="T423" s="339"/>
    </row>
    <row r="424" spans="9:20" ht="12.75">
      <c r="I424" s="337"/>
      <c r="J424" s="337"/>
      <c r="K424" s="337"/>
      <c r="L424" s="338"/>
      <c r="M424" s="337"/>
      <c r="N424" s="337"/>
      <c r="O424" s="339"/>
      <c r="P424" s="339"/>
      <c r="Q424" s="339"/>
      <c r="R424" s="339"/>
      <c r="S424" s="339"/>
      <c r="T424" s="339"/>
    </row>
    <row r="425" spans="9:20" ht="12.75">
      <c r="I425" s="337"/>
      <c r="J425" s="337"/>
      <c r="K425" s="337"/>
      <c r="L425" s="338"/>
      <c r="M425" s="337"/>
      <c r="N425" s="337"/>
      <c r="O425" s="339"/>
      <c r="P425" s="339"/>
      <c r="Q425" s="339"/>
      <c r="R425" s="339"/>
      <c r="S425" s="339"/>
      <c r="T425" s="339"/>
    </row>
    <row r="426" spans="9:20" ht="12.75">
      <c r="I426" s="341"/>
      <c r="J426" s="341"/>
      <c r="K426" s="341"/>
      <c r="L426" s="323"/>
      <c r="M426" s="341"/>
      <c r="N426" s="341"/>
      <c r="O426" s="339"/>
      <c r="P426" s="339"/>
      <c r="Q426" s="339"/>
      <c r="R426" s="339"/>
      <c r="S426" s="339"/>
      <c r="T426" s="339"/>
    </row>
    <row r="427" spans="9:20" ht="12.75">
      <c r="I427" s="341"/>
      <c r="J427" s="341"/>
      <c r="K427" s="341"/>
      <c r="L427" s="323"/>
      <c r="M427" s="341"/>
      <c r="N427" s="341"/>
      <c r="O427" s="339"/>
      <c r="P427" s="339"/>
      <c r="Q427" s="339"/>
      <c r="R427" s="339"/>
      <c r="S427" s="339"/>
      <c r="T427" s="339"/>
    </row>
    <row r="428" spans="9:20" ht="12.75">
      <c r="I428" s="337"/>
      <c r="J428" s="337"/>
      <c r="K428" s="337"/>
      <c r="L428" s="338"/>
      <c r="M428" s="337"/>
      <c r="N428" s="337"/>
      <c r="O428" s="339"/>
      <c r="P428" s="339"/>
      <c r="Q428" s="339"/>
      <c r="R428" s="339"/>
      <c r="S428" s="339"/>
      <c r="T428" s="339"/>
    </row>
    <row r="429" spans="9:20" ht="12.75">
      <c r="I429" s="337"/>
      <c r="J429" s="337"/>
      <c r="K429" s="337"/>
      <c r="L429" s="338"/>
      <c r="M429" s="337"/>
      <c r="N429" s="337"/>
      <c r="O429" s="339"/>
      <c r="P429" s="339"/>
      <c r="Q429" s="339"/>
      <c r="R429" s="339"/>
      <c r="S429" s="339"/>
      <c r="T429" s="339"/>
    </row>
    <row r="430" spans="9:20" ht="12.75">
      <c r="I430" s="337"/>
      <c r="J430" s="337"/>
      <c r="K430" s="337"/>
      <c r="L430" s="338"/>
      <c r="M430" s="337"/>
      <c r="N430" s="337"/>
      <c r="O430" s="339"/>
      <c r="P430" s="339"/>
      <c r="Q430" s="339"/>
      <c r="R430" s="339"/>
      <c r="S430" s="339"/>
      <c r="T430" s="339"/>
    </row>
    <row r="431" spans="9:20" ht="12.75">
      <c r="I431" s="337"/>
      <c r="J431" s="337"/>
      <c r="K431" s="337"/>
      <c r="L431" s="338"/>
      <c r="M431" s="337"/>
      <c r="N431" s="337"/>
      <c r="O431" s="339"/>
      <c r="P431" s="339"/>
      <c r="Q431" s="339"/>
      <c r="R431" s="339"/>
      <c r="S431" s="339"/>
      <c r="T431" s="339"/>
    </row>
    <row r="432" spans="9:20" ht="12.75">
      <c r="I432" s="337"/>
      <c r="J432" s="337"/>
      <c r="K432" s="337"/>
      <c r="L432" s="338"/>
      <c r="M432" s="337"/>
      <c r="N432" s="337"/>
      <c r="O432" s="339"/>
      <c r="P432" s="339"/>
      <c r="Q432" s="339"/>
      <c r="R432" s="339"/>
      <c r="S432" s="339"/>
      <c r="T432" s="339"/>
    </row>
    <row r="433" spans="9:20" ht="12.75">
      <c r="I433" s="337"/>
      <c r="J433" s="337"/>
      <c r="K433" s="337"/>
      <c r="L433" s="338"/>
      <c r="M433" s="337"/>
      <c r="N433" s="337"/>
      <c r="O433" s="339"/>
      <c r="P433" s="339"/>
      <c r="Q433" s="339"/>
      <c r="R433" s="339"/>
      <c r="S433" s="339"/>
      <c r="T433" s="339"/>
    </row>
    <row r="434" spans="9:20" ht="12.75">
      <c r="I434" s="337"/>
      <c r="J434" s="337"/>
      <c r="K434" s="337"/>
      <c r="L434" s="338"/>
      <c r="M434" s="337"/>
      <c r="N434" s="337"/>
      <c r="O434" s="339"/>
      <c r="P434" s="339"/>
      <c r="Q434" s="339"/>
      <c r="R434" s="339"/>
      <c r="S434" s="339"/>
      <c r="T434" s="339"/>
    </row>
    <row r="435" spans="9:20" ht="12.75">
      <c r="I435" s="337"/>
      <c r="J435" s="337"/>
      <c r="K435" s="337"/>
      <c r="L435" s="338"/>
      <c r="M435" s="337"/>
      <c r="N435" s="337"/>
      <c r="O435" s="339"/>
      <c r="P435" s="339"/>
      <c r="Q435" s="339"/>
      <c r="R435" s="339"/>
      <c r="S435" s="339"/>
      <c r="T435" s="339"/>
    </row>
    <row r="436" spans="9:20" ht="12.75">
      <c r="I436" s="341"/>
      <c r="J436" s="341"/>
      <c r="K436" s="341"/>
      <c r="L436" s="323"/>
      <c r="M436" s="341"/>
      <c r="N436" s="341"/>
      <c r="O436" s="339"/>
      <c r="P436" s="339"/>
      <c r="Q436" s="339"/>
      <c r="R436" s="339"/>
      <c r="S436" s="339"/>
      <c r="T436" s="339"/>
    </row>
    <row r="437" spans="9:20" ht="12.75">
      <c r="I437" s="341"/>
      <c r="J437" s="341"/>
      <c r="K437" s="341"/>
      <c r="L437" s="323"/>
      <c r="M437" s="341"/>
      <c r="N437" s="341"/>
      <c r="O437" s="339"/>
      <c r="P437" s="339"/>
      <c r="Q437" s="339"/>
      <c r="R437" s="339"/>
      <c r="S437" s="339"/>
      <c r="T437" s="339"/>
    </row>
    <row r="438" spans="9:20" ht="12.75">
      <c r="I438" s="337"/>
      <c r="J438" s="337"/>
      <c r="K438" s="337"/>
      <c r="L438" s="338"/>
      <c r="M438" s="337"/>
      <c r="N438" s="337"/>
      <c r="O438" s="339"/>
      <c r="P438" s="339"/>
      <c r="Q438" s="339"/>
      <c r="R438" s="339"/>
      <c r="S438" s="339"/>
      <c r="T438" s="339"/>
    </row>
    <row r="439" spans="9:20" ht="12.75">
      <c r="I439" s="337"/>
      <c r="J439" s="337"/>
      <c r="K439" s="337"/>
      <c r="L439" s="338"/>
      <c r="M439" s="337"/>
      <c r="N439" s="337"/>
      <c r="O439" s="339"/>
      <c r="P439" s="339"/>
      <c r="Q439" s="339"/>
      <c r="R439" s="339"/>
      <c r="S439" s="339"/>
      <c r="T439" s="339"/>
    </row>
    <row r="440" spans="9:20" ht="12.75">
      <c r="I440" s="337"/>
      <c r="J440" s="337"/>
      <c r="K440" s="337"/>
      <c r="L440" s="338"/>
      <c r="M440" s="337"/>
      <c r="N440" s="337"/>
      <c r="O440" s="339"/>
      <c r="P440" s="339"/>
      <c r="Q440" s="339"/>
      <c r="R440" s="339"/>
      <c r="S440" s="339"/>
      <c r="T440" s="339"/>
    </row>
    <row r="441" spans="9:20" ht="12.75">
      <c r="I441" s="337"/>
      <c r="J441" s="337"/>
      <c r="K441" s="337"/>
      <c r="L441" s="338"/>
      <c r="M441" s="337"/>
      <c r="N441" s="337"/>
      <c r="O441" s="339"/>
      <c r="P441" s="339"/>
      <c r="Q441" s="339"/>
      <c r="R441" s="339"/>
      <c r="S441" s="339"/>
      <c r="T441" s="339"/>
    </row>
    <row r="442" spans="9:20" ht="12.75">
      <c r="I442" s="337"/>
      <c r="J442" s="337"/>
      <c r="K442" s="337"/>
      <c r="L442" s="338"/>
      <c r="M442" s="337"/>
      <c r="N442" s="337"/>
      <c r="O442" s="339"/>
      <c r="P442" s="339"/>
      <c r="Q442" s="339"/>
      <c r="R442" s="339"/>
      <c r="S442" s="339"/>
      <c r="T442" s="339"/>
    </row>
    <row r="443" spans="9:20" ht="12.75">
      <c r="I443" s="337"/>
      <c r="J443" s="337"/>
      <c r="K443" s="337"/>
      <c r="L443" s="338"/>
      <c r="M443" s="337"/>
      <c r="N443" s="337"/>
      <c r="O443" s="339"/>
      <c r="P443" s="339"/>
      <c r="Q443" s="339"/>
      <c r="R443" s="339"/>
      <c r="S443" s="339"/>
      <c r="T443" s="339"/>
    </row>
    <row r="444" spans="9:20" ht="12.75">
      <c r="I444" s="337"/>
      <c r="J444" s="337"/>
      <c r="K444" s="337"/>
      <c r="L444" s="338"/>
      <c r="M444" s="337"/>
      <c r="N444" s="337"/>
      <c r="O444" s="339"/>
      <c r="P444" s="339"/>
      <c r="Q444" s="339"/>
      <c r="R444" s="339"/>
      <c r="S444" s="339"/>
      <c r="T444" s="339"/>
    </row>
    <row r="445" spans="9:20" ht="12.75">
      <c r="I445" s="337"/>
      <c r="J445" s="337"/>
      <c r="K445" s="337"/>
      <c r="L445" s="338"/>
      <c r="M445" s="337"/>
      <c r="N445" s="337"/>
      <c r="O445" s="339"/>
      <c r="P445" s="339"/>
      <c r="Q445" s="339"/>
      <c r="R445" s="339"/>
      <c r="S445" s="339"/>
      <c r="T445" s="339"/>
    </row>
    <row r="446" spans="9:20" ht="12.75">
      <c r="I446" s="341"/>
      <c r="J446" s="341"/>
      <c r="K446" s="341"/>
      <c r="L446" s="323"/>
      <c r="M446" s="341"/>
      <c r="N446" s="341"/>
      <c r="O446" s="339"/>
      <c r="P446" s="339"/>
      <c r="Q446" s="339"/>
      <c r="R446" s="339"/>
      <c r="S446" s="339"/>
      <c r="T446" s="339"/>
    </row>
    <row r="447" spans="9:20" ht="12.75">
      <c r="I447" s="341"/>
      <c r="J447" s="341"/>
      <c r="K447" s="341"/>
      <c r="L447" s="323"/>
      <c r="M447" s="341"/>
      <c r="N447" s="341"/>
      <c r="O447" s="339"/>
      <c r="P447" s="339"/>
      <c r="Q447" s="339"/>
      <c r="R447" s="339"/>
      <c r="S447" s="339"/>
      <c r="T447" s="339"/>
    </row>
    <row r="448" spans="9:20" ht="12.75">
      <c r="I448" s="337"/>
      <c r="J448" s="337"/>
      <c r="K448" s="337"/>
      <c r="L448" s="338"/>
      <c r="M448" s="337"/>
      <c r="N448" s="337"/>
      <c r="O448" s="339"/>
      <c r="P448" s="339"/>
      <c r="Q448" s="339"/>
      <c r="R448" s="339"/>
      <c r="S448" s="339"/>
      <c r="T448" s="339"/>
    </row>
    <row r="449" spans="9:20" ht="12.75">
      <c r="I449" s="337"/>
      <c r="J449" s="337"/>
      <c r="K449" s="337"/>
      <c r="L449" s="338"/>
      <c r="M449" s="337"/>
      <c r="N449" s="337"/>
      <c r="O449" s="339"/>
      <c r="P449" s="339"/>
      <c r="Q449" s="339"/>
      <c r="R449" s="339"/>
      <c r="S449" s="339"/>
      <c r="T449" s="339"/>
    </row>
    <row r="450" spans="9:20" ht="12.75">
      <c r="I450" s="337"/>
      <c r="J450" s="337"/>
      <c r="K450" s="337"/>
      <c r="L450" s="338"/>
      <c r="M450" s="337"/>
      <c r="N450" s="337"/>
      <c r="O450" s="339"/>
      <c r="P450" s="339"/>
      <c r="Q450" s="339"/>
      <c r="R450" s="339"/>
      <c r="S450" s="339"/>
      <c r="T450" s="339"/>
    </row>
    <row r="451" spans="9:20" ht="12.75">
      <c r="I451" s="337"/>
      <c r="J451" s="337"/>
      <c r="K451" s="337"/>
      <c r="L451" s="338"/>
      <c r="M451" s="337"/>
      <c r="N451" s="337"/>
      <c r="O451" s="339"/>
      <c r="P451" s="339"/>
      <c r="Q451" s="339"/>
      <c r="R451" s="339"/>
      <c r="S451" s="339"/>
      <c r="T451" s="339"/>
    </row>
    <row r="452" spans="9:20" ht="12.75">
      <c r="I452" s="337"/>
      <c r="J452" s="337"/>
      <c r="K452" s="337"/>
      <c r="L452" s="338"/>
      <c r="M452" s="337"/>
      <c r="N452" s="337"/>
      <c r="O452" s="339"/>
      <c r="P452" s="339"/>
      <c r="Q452" s="339"/>
      <c r="R452" s="339"/>
      <c r="S452" s="339"/>
      <c r="T452" s="339"/>
    </row>
    <row r="453" spans="9:20" ht="12.75">
      <c r="I453" s="337"/>
      <c r="J453" s="337"/>
      <c r="K453" s="337"/>
      <c r="L453" s="338"/>
      <c r="M453" s="337"/>
      <c r="N453" s="337"/>
      <c r="O453" s="339"/>
      <c r="P453" s="339"/>
      <c r="Q453" s="339"/>
      <c r="R453" s="339"/>
      <c r="S453" s="339"/>
      <c r="T453" s="339"/>
    </row>
    <row r="454" spans="9:20" ht="12.75">
      <c r="I454" s="337"/>
      <c r="J454" s="337"/>
      <c r="K454" s="337"/>
      <c r="L454" s="338"/>
      <c r="M454" s="337"/>
      <c r="N454" s="337"/>
      <c r="O454" s="339"/>
      <c r="P454" s="339"/>
      <c r="Q454" s="339"/>
      <c r="R454" s="339"/>
      <c r="S454" s="339"/>
      <c r="T454" s="339"/>
    </row>
    <row r="455" spans="9:20" ht="12.75">
      <c r="I455" s="337"/>
      <c r="J455" s="337"/>
      <c r="K455" s="337"/>
      <c r="L455" s="338"/>
      <c r="M455" s="337"/>
      <c r="N455" s="337"/>
      <c r="O455" s="339"/>
      <c r="P455" s="339"/>
      <c r="Q455" s="339"/>
      <c r="R455" s="339"/>
      <c r="S455" s="339"/>
      <c r="T455" s="339"/>
    </row>
    <row r="456" spans="9:20" ht="12.75">
      <c r="I456" s="341"/>
      <c r="J456" s="341"/>
      <c r="K456" s="341"/>
      <c r="L456" s="323"/>
      <c r="M456" s="341"/>
      <c r="N456" s="341"/>
      <c r="O456" s="339"/>
      <c r="P456" s="339"/>
      <c r="Q456" s="339"/>
      <c r="R456" s="339"/>
      <c r="S456" s="339"/>
      <c r="T456" s="339"/>
    </row>
    <row r="457" spans="9:20" ht="12.75">
      <c r="I457" s="341"/>
      <c r="J457" s="341"/>
      <c r="K457" s="341"/>
      <c r="L457" s="323"/>
      <c r="M457" s="341"/>
      <c r="N457" s="341"/>
      <c r="O457" s="339"/>
      <c r="P457" s="339"/>
      <c r="Q457" s="339"/>
      <c r="R457" s="339"/>
      <c r="S457" s="339"/>
      <c r="T457" s="339"/>
    </row>
  </sheetData>
  <mergeCells count="349">
    <mergeCell ref="F141:F145"/>
    <mergeCell ref="T136:T145"/>
    <mergeCell ref="G137:G138"/>
    <mergeCell ref="G140:G141"/>
    <mergeCell ref="G143:G145"/>
    <mergeCell ref="A136:A145"/>
    <mergeCell ref="B136:B145"/>
    <mergeCell ref="C136:C145"/>
    <mergeCell ref="D136:D145"/>
    <mergeCell ref="E226:E235"/>
    <mergeCell ref="F226:F230"/>
    <mergeCell ref="T226:T235"/>
    <mergeCell ref="G227:G228"/>
    <mergeCell ref="G230:G231"/>
    <mergeCell ref="F231:F235"/>
    <mergeCell ref="G233:G235"/>
    <mergeCell ref="A226:A235"/>
    <mergeCell ref="B226:B235"/>
    <mergeCell ref="C226:C235"/>
    <mergeCell ref="D226:D235"/>
    <mergeCell ref="J4:J5"/>
    <mergeCell ref="A66:A75"/>
    <mergeCell ref="B66:B75"/>
    <mergeCell ref="C66:C75"/>
    <mergeCell ref="D66:D75"/>
    <mergeCell ref="E66:E75"/>
    <mergeCell ref="F66:F70"/>
    <mergeCell ref="G67:G68"/>
    <mergeCell ref="G70:G71"/>
    <mergeCell ref="F71:F75"/>
    <mergeCell ref="T196:T205"/>
    <mergeCell ref="G197:G198"/>
    <mergeCell ref="G200:G201"/>
    <mergeCell ref="F201:F205"/>
    <mergeCell ref="G203:G205"/>
    <mergeCell ref="B246:B255"/>
    <mergeCell ref="A176:A185"/>
    <mergeCell ref="B176:B185"/>
    <mergeCell ref="C176:C185"/>
    <mergeCell ref="A236:A245"/>
    <mergeCell ref="A196:A205"/>
    <mergeCell ref="B196:B205"/>
    <mergeCell ref="A246:A255"/>
    <mergeCell ref="A186:A195"/>
    <mergeCell ref="A206:A215"/>
    <mergeCell ref="B296:B305"/>
    <mergeCell ref="C296:C305"/>
    <mergeCell ref="C256:C265"/>
    <mergeCell ref="B256:B265"/>
    <mergeCell ref="B286:B295"/>
    <mergeCell ref="C276:C285"/>
    <mergeCell ref="C286:C295"/>
    <mergeCell ref="T116:T125"/>
    <mergeCell ref="T236:T245"/>
    <mergeCell ref="F111:F115"/>
    <mergeCell ref="G113:G115"/>
    <mergeCell ref="T176:T185"/>
    <mergeCell ref="G177:G178"/>
    <mergeCell ref="G180:G181"/>
    <mergeCell ref="F181:F185"/>
    <mergeCell ref="G183:G185"/>
    <mergeCell ref="F176:F180"/>
    <mergeCell ref="D246:D255"/>
    <mergeCell ref="T66:T75"/>
    <mergeCell ref="G73:G75"/>
    <mergeCell ref="E116:E125"/>
    <mergeCell ref="T106:T115"/>
    <mergeCell ref="G107:G108"/>
    <mergeCell ref="G110:G111"/>
    <mergeCell ref="G90:G91"/>
    <mergeCell ref="G93:G95"/>
    <mergeCell ref="E96:E105"/>
    <mergeCell ref="T286:T295"/>
    <mergeCell ref="G287:G288"/>
    <mergeCell ref="G293:G295"/>
    <mergeCell ref="G290:G291"/>
    <mergeCell ref="T256:T265"/>
    <mergeCell ref="G257:G258"/>
    <mergeCell ref="G260:G261"/>
    <mergeCell ref="F261:F265"/>
    <mergeCell ref="G263:G265"/>
    <mergeCell ref="F256:F260"/>
    <mergeCell ref="D286:D295"/>
    <mergeCell ref="E286:E295"/>
    <mergeCell ref="F286:F290"/>
    <mergeCell ref="F291:F295"/>
    <mergeCell ref="A256:A265"/>
    <mergeCell ref="D256:D265"/>
    <mergeCell ref="E256:E265"/>
    <mergeCell ref="A106:A115"/>
    <mergeCell ref="C106:C115"/>
    <mergeCell ref="D106:D115"/>
    <mergeCell ref="E106:E115"/>
    <mergeCell ref="A116:A125"/>
    <mergeCell ref="E166:E175"/>
    <mergeCell ref="E176:E185"/>
    <mergeCell ref="G237:G238"/>
    <mergeCell ref="G240:G241"/>
    <mergeCell ref="F241:F245"/>
    <mergeCell ref="G243:G245"/>
    <mergeCell ref="F236:F240"/>
    <mergeCell ref="G314:H314"/>
    <mergeCell ref="G318:H318"/>
    <mergeCell ref="F116:F120"/>
    <mergeCell ref="F191:F195"/>
    <mergeCell ref="G193:G195"/>
    <mergeCell ref="F296:F300"/>
    <mergeCell ref="F206:F210"/>
    <mergeCell ref="G173:G175"/>
    <mergeCell ref="F196:F200"/>
    <mergeCell ref="F166:F170"/>
    <mergeCell ref="G321:H321"/>
    <mergeCell ref="G319:H319"/>
    <mergeCell ref="A3:T3"/>
    <mergeCell ref="A4:A5"/>
    <mergeCell ref="D4:D5"/>
    <mergeCell ref="E4:E5"/>
    <mergeCell ref="T4:T5"/>
    <mergeCell ref="F4:F5"/>
    <mergeCell ref="G4:G5"/>
    <mergeCell ref="H4:H5"/>
    <mergeCell ref="I4:I5"/>
    <mergeCell ref="B4:B5"/>
    <mergeCell ref="A56:A65"/>
    <mergeCell ref="D56:D65"/>
    <mergeCell ref="E56:E65"/>
    <mergeCell ref="G43:G45"/>
    <mergeCell ref="F36:F40"/>
    <mergeCell ref="A36:A45"/>
    <mergeCell ref="A16:A25"/>
    <mergeCell ref="D16:D25"/>
    <mergeCell ref="T86:T95"/>
    <mergeCell ref="G87:G88"/>
    <mergeCell ref="A86:A95"/>
    <mergeCell ref="D86:D95"/>
    <mergeCell ref="E86:E95"/>
    <mergeCell ref="F86:F90"/>
    <mergeCell ref="C86:C95"/>
    <mergeCell ref="F91:F95"/>
    <mergeCell ref="T56:T65"/>
    <mergeCell ref="G57:G58"/>
    <mergeCell ref="G60:G61"/>
    <mergeCell ref="F61:F65"/>
    <mergeCell ref="G63:G65"/>
    <mergeCell ref="F56:F60"/>
    <mergeCell ref="F106:F110"/>
    <mergeCell ref="B106:B115"/>
    <mergeCell ref="B116:B125"/>
    <mergeCell ref="C116:C125"/>
    <mergeCell ref="T96:T105"/>
    <mergeCell ref="G97:G98"/>
    <mergeCell ref="G100:G101"/>
    <mergeCell ref="F101:F105"/>
    <mergeCell ref="G103:G105"/>
    <mergeCell ref="F96:F100"/>
    <mergeCell ref="T76:T85"/>
    <mergeCell ref="A76:A85"/>
    <mergeCell ref="D76:D85"/>
    <mergeCell ref="E76:E85"/>
    <mergeCell ref="G77:G78"/>
    <mergeCell ref="G80:G81"/>
    <mergeCell ref="F81:F85"/>
    <mergeCell ref="G83:G85"/>
    <mergeCell ref="F76:F80"/>
    <mergeCell ref="C76:C85"/>
    <mergeCell ref="T146:T155"/>
    <mergeCell ref="G147:G148"/>
    <mergeCell ref="G150:G151"/>
    <mergeCell ref="F151:F155"/>
    <mergeCell ref="G153:G155"/>
    <mergeCell ref="F146:F150"/>
    <mergeCell ref="T26:T35"/>
    <mergeCell ref="G27:G28"/>
    <mergeCell ref="G30:G31"/>
    <mergeCell ref="F31:F35"/>
    <mergeCell ref="G33:G35"/>
    <mergeCell ref="T166:T175"/>
    <mergeCell ref="G167:G168"/>
    <mergeCell ref="E36:E45"/>
    <mergeCell ref="T36:T45"/>
    <mergeCell ref="G37:G38"/>
    <mergeCell ref="G40:G41"/>
    <mergeCell ref="F41:F45"/>
    <mergeCell ref="F156:F160"/>
    <mergeCell ref="T156:T165"/>
    <mergeCell ref="G157:G158"/>
    <mergeCell ref="G160:G161"/>
    <mergeCell ref="F161:F165"/>
    <mergeCell ref="G163:G165"/>
    <mergeCell ref="D156:D165"/>
    <mergeCell ref="E156:E165"/>
    <mergeCell ref="E146:E155"/>
    <mergeCell ref="G117:G118"/>
    <mergeCell ref="G120:G121"/>
    <mergeCell ref="F121:F125"/>
    <mergeCell ref="G123:G125"/>
    <mergeCell ref="E126:E135"/>
    <mergeCell ref="E136:E145"/>
    <mergeCell ref="F126:F130"/>
    <mergeCell ref="F131:F135"/>
    <mergeCell ref="F136:F140"/>
    <mergeCell ref="G53:G55"/>
    <mergeCell ref="G50:G51"/>
    <mergeCell ref="B46:B55"/>
    <mergeCell ref="B56:B65"/>
    <mergeCell ref="D46:D55"/>
    <mergeCell ref="C56:C65"/>
    <mergeCell ref="G170:G171"/>
    <mergeCell ref="F171:F175"/>
    <mergeCell ref="C236:C245"/>
    <mergeCell ref="G187:G188"/>
    <mergeCell ref="F211:F215"/>
    <mergeCell ref="G213:G215"/>
    <mergeCell ref="C206:C215"/>
    <mergeCell ref="D206:D215"/>
    <mergeCell ref="E206:E215"/>
    <mergeCell ref="F186:F190"/>
    <mergeCell ref="T16:T25"/>
    <mergeCell ref="A46:A55"/>
    <mergeCell ref="G47:G48"/>
    <mergeCell ref="T46:T55"/>
    <mergeCell ref="F46:F50"/>
    <mergeCell ref="E46:E55"/>
    <mergeCell ref="F51:F55"/>
    <mergeCell ref="G17:G18"/>
    <mergeCell ref="G20:G21"/>
    <mergeCell ref="C46:C55"/>
    <mergeCell ref="E196:E205"/>
    <mergeCell ref="D186:D195"/>
    <mergeCell ref="E186:E195"/>
    <mergeCell ref="B186:B195"/>
    <mergeCell ref="C186:C195"/>
    <mergeCell ref="B206:B215"/>
    <mergeCell ref="C196:C205"/>
    <mergeCell ref="D196:D205"/>
    <mergeCell ref="D36:D45"/>
    <mergeCell ref="D146:D155"/>
    <mergeCell ref="B86:B95"/>
    <mergeCell ref="B96:B105"/>
    <mergeCell ref="C96:C105"/>
    <mergeCell ref="B76:B85"/>
    <mergeCell ref="D96:D105"/>
    <mergeCell ref="D26:D35"/>
    <mergeCell ref="A166:A175"/>
    <mergeCell ref="A156:A165"/>
    <mergeCell ref="A146:A155"/>
    <mergeCell ref="A26:A35"/>
    <mergeCell ref="A96:A105"/>
    <mergeCell ref="D116:D125"/>
    <mergeCell ref="A126:A135"/>
    <mergeCell ref="B126:B135"/>
    <mergeCell ref="C126:C135"/>
    <mergeCell ref="E246:E255"/>
    <mergeCell ref="C146:C150"/>
    <mergeCell ref="C151:C155"/>
    <mergeCell ref="C156:C165"/>
    <mergeCell ref="C166:C175"/>
    <mergeCell ref="D166:D175"/>
    <mergeCell ref="C246:C255"/>
    <mergeCell ref="D176:D185"/>
    <mergeCell ref="D236:D245"/>
    <mergeCell ref="E236:E245"/>
    <mergeCell ref="T246:T255"/>
    <mergeCell ref="G247:G248"/>
    <mergeCell ref="G250:G251"/>
    <mergeCell ref="F251:F255"/>
    <mergeCell ref="G253:G255"/>
    <mergeCell ref="F246:F250"/>
    <mergeCell ref="G190:G191"/>
    <mergeCell ref="A276:A285"/>
    <mergeCell ref="D276:D285"/>
    <mergeCell ref="B276:B285"/>
    <mergeCell ref="F276:F280"/>
    <mergeCell ref="A266:A275"/>
    <mergeCell ref="B266:B275"/>
    <mergeCell ref="C266:C275"/>
    <mergeCell ref="D266:D275"/>
    <mergeCell ref="E266:E275"/>
    <mergeCell ref="T276:T285"/>
    <mergeCell ref="G277:G278"/>
    <mergeCell ref="G280:G281"/>
    <mergeCell ref="F281:F285"/>
    <mergeCell ref="G283:G285"/>
    <mergeCell ref="A296:A305"/>
    <mergeCell ref="D296:D305"/>
    <mergeCell ref="E296:E305"/>
    <mergeCell ref="B146:B150"/>
    <mergeCell ref="B151:B155"/>
    <mergeCell ref="A286:A295"/>
    <mergeCell ref="E276:E285"/>
    <mergeCell ref="B156:B165"/>
    <mergeCell ref="B166:B175"/>
    <mergeCell ref="B236:B245"/>
    <mergeCell ref="T296:T305"/>
    <mergeCell ref="G297:G298"/>
    <mergeCell ref="G300:G301"/>
    <mergeCell ref="F301:F305"/>
    <mergeCell ref="G303:G305"/>
    <mergeCell ref="C4:C5"/>
    <mergeCell ref="B26:B35"/>
    <mergeCell ref="B36:B45"/>
    <mergeCell ref="B16:B25"/>
    <mergeCell ref="C16:C25"/>
    <mergeCell ref="A6:A15"/>
    <mergeCell ref="B6:B15"/>
    <mergeCell ref="C6:C15"/>
    <mergeCell ref="D6:D15"/>
    <mergeCell ref="E6:E15"/>
    <mergeCell ref="F6:F10"/>
    <mergeCell ref="C26:C35"/>
    <mergeCell ref="C36:C45"/>
    <mergeCell ref="F11:F15"/>
    <mergeCell ref="F21:F25"/>
    <mergeCell ref="F16:F20"/>
    <mergeCell ref="E16:E25"/>
    <mergeCell ref="E26:E35"/>
    <mergeCell ref="F26:F30"/>
    <mergeCell ref="K4:K5"/>
    <mergeCell ref="T206:T215"/>
    <mergeCell ref="G207:G208"/>
    <mergeCell ref="G210:G211"/>
    <mergeCell ref="T6:T15"/>
    <mergeCell ref="G7:G8"/>
    <mergeCell ref="G10:G11"/>
    <mergeCell ref="G13:G15"/>
    <mergeCell ref="G23:G25"/>
    <mergeCell ref="T186:T195"/>
    <mergeCell ref="F266:F270"/>
    <mergeCell ref="T266:T275"/>
    <mergeCell ref="G267:G268"/>
    <mergeCell ref="G270:G271"/>
    <mergeCell ref="F271:F275"/>
    <mergeCell ref="G273:G275"/>
    <mergeCell ref="D126:D135"/>
    <mergeCell ref="T126:T135"/>
    <mergeCell ref="G127:G128"/>
    <mergeCell ref="G130:G131"/>
    <mergeCell ref="G133:G135"/>
    <mergeCell ref="A216:A225"/>
    <mergeCell ref="B216:B225"/>
    <mergeCell ref="C216:C225"/>
    <mergeCell ref="D216:D225"/>
    <mergeCell ref="E216:E225"/>
    <mergeCell ref="F216:F220"/>
    <mergeCell ref="T216:T225"/>
    <mergeCell ref="G217:G218"/>
    <mergeCell ref="G220:G221"/>
    <mergeCell ref="F221:F225"/>
    <mergeCell ref="G223:G225"/>
  </mergeCells>
  <printOptions/>
  <pageMargins left="0.984251968503937" right="0.2362204724409449" top="0.8661417322834646" bottom="0.5511811023622047" header="0.15748031496062992" footer="0.15748031496062992"/>
  <pageSetup horizontalDpi="600" verticalDpi="600" orientation="landscape" paperSize="9" scale="74" r:id="rId1"/>
  <headerFooter alignWithMargins="0">
    <oddFooter>&amp;CStrona &amp;P</oddFooter>
  </headerFooter>
  <rowBreaks count="7" manualBreakCount="7">
    <brk id="45" max="19" man="1"/>
    <brk id="85" max="19" man="1"/>
    <brk id="125" max="19" man="1"/>
    <brk id="165" max="19" man="1"/>
    <brk id="205" max="19" man="1"/>
    <brk id="245" max="19" man="1"/>
    <brk id="28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440"/>
  <sheetViews>
    <sheetView view="pageBreakPreview" zoomScaleSheetLayoutView="100" workbookViewId="0" topLeftCell="A1">
      <pane xSplit="8" ySplit="5" topLeftCell="I31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F348" sqref="F348:F349"/>
    </sheetView>
  </sheetViews>
  <sheetFormatPr defaultColWidth="9.00390625" defaultRowHeight="12.75"/>
  <cols>
    <col min="1" max="1" width="3.25390625" style="344" customWidth="1"/>
    <col min="2" max="2" width="27.25390625" style="344" customWidth="1"/>
    <col min="3" max="3" width="10.125" style="345" customWidth="1"/>
    <col min="4" max="4" width="13.875" style="345" customWidth="1"/>
    <col min="5" max="5" width="9.125" style="345" customWidth="1"/>
    <col min="6" max="6" width="10.375" style="344" customWidth="1"/>
    <col min="7" max="7" width="14.25390625" style="344" customWidth="1"/>
    <col min="8" max="8" width="9.625" style="344" customWidth="1"/>
    <col min="9" max="9" width="9.75390625" style="344" customWidth="1"/>
    <col min="10" max="10" width="9.625" style="344" bestFit="1" customWidth="1"/>
    <col min="11" max="11" width="9.25390625" style="344" customWidth="1"/>
    <col min="12" max="12" width="8.75390625" style="344" bestFit="1" customWidth="1"/>
    <col min="13" max="38" width="0" style="344" hidden="1" customWidth="1"/>
    <col min="39" max="39" width="10.25390625" style="344" customWidth="1"/>
    <col min="40" max="16384" width="9.125" style="344" customWidth="1"/>
  </cols>
  <sheetData>
    <row r="1" spans="1:39" ht="12.75">
      <c r="A1" s="343"/>
      <c r="AM1" s="346" t="s">
        <v>181</v>
      </c>
    </row>
    <row r="2" spans="1:39" ht="12.75">
      <c r="A2" s="343"/>
      <c r="AM2" s="346" t="s">
        <v>182</v>
      </c>
    </row>
    <row r="3" spans="1:39" ht="30" customHeight="1" thickBot="1">
      <c r="A3" s="606" t="s">
        <v>183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</row>
    <row r="4" spans="1:39" ht="22.5" customHeight="1" thickBot="1">
      <c r="A4" s="607" t="s">
        <v>184</v>
      </c>
      <c r="B4" s="605" t="s">
        <v>102</v>
      </c>
      <c r="C4" s="610" t="s">
        <v>185</v>
      </c>
      <c r="D4" s="610" t="s">
        <v>103</v>
      </c>
      <c r="E4" s="610" t="s">
        <v>104</v>
      </c>
      <c r="F4" s="605" t="s">
        <v>105</v>
      </c>
      <c r="G4" s="605" t="s">
        <v>106</v>
      </c>
      <c r="H4" s="602" t="s">
        <v>108</v>
      </c>
      <c r="I4" s="604" t="s">
        <v>186</v>
      </c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  <c r="AK4" s="604"/>
      <c r="AL4" s="604"/>
      <c r="AM4" s="605" t="s">
        <v>110</v>
      </c>
    </row>
    <row r="5" spans="1:39" ht="21" customHeight="1" thickBot="1">
      <c r="A5" s="608"/>
      <c r="B5" s="609"/>
      <c r="C5" s="611"/>
      <c r="D5" s="611"/>
      <c r="E5" s="611"/>
      <c r="F5" s="608"/>
      <c r="G5" s="609"/>
      <c r="H5" s="603"/>
      <c r="I5" s="347">
        <v>2012</v>
      </c>
      <c r="J5" s="347">
        <v>2013</v>
      </c>
      <c r="K5" s="347">
        <v>2014</v>
      </c>
      <c r="L5" s="347">
        <v>2015</v>
      </c>
      <c r="M5" s="347">
        <v>2016</v>
      </c>
      <c r="N5" s="347">
        <v>2017</v>
      </c>
      <c r="O5" s="347">
        <v>2018</v>
      </c>
      <c r="P5" s="348">
        <v>2019</v>
      </c>
      <c r="Q5" s="348">
        <v>2020</v>
      </c>
      <c r="R5" s="348">
        <v>2021</v>
      </c>
      <c r="S5" s="348">
        <v>2022</v>
      </c>
      <c r="T5" s="348">
        <v>2023</v>
      </c>
      <c r="U5" s="348">
        <v>2024</v>
      </c>
      <c r="V5" s="348">
        <v>2025</v>
      </c>
      <c r="W5" s="348">
        <v>2026</v>
      </c>
      <c r="X5" s="348">
        <v>2027</v>
      </c>
      <c r="Y5" s="348">
        <v>2028</v>
      </c>
      <c r="Z5" s="348">
        <v>2029</v>
      </c>
      <c r="AA5" s="348">
        <v>2030</v>
      </c>
      <c r="AB5" s="349">
        <v>2031</v>
      </c>
      <c r="AC5" s="349">
        <v>2032</v>
      </c>
      <c r="AD5" s="349">
        <v>2033</v>
      </c>
      <c r="AE5" s="349">
        <v>2034</v>
      </c>
      <c r="AF5" s="349">
        <v>2035</v>
      </c>
      <c r="AG5" s="349">
        <v>2036</v>
      </c>
      <c r="AH5" s="349">
        <v>2036</v>
      </c>
      <c r="AI5" s="349">
        <v>2037</v>
      </c>
      <c r="AJ5" s="349">
        <v>2038</v>
      </c>
      <c r="AK5" s="349">
        <v>2039</v>
      </c>
      <c r="AL5" s="349">
        <v>2040</v>
      </c>
      <c r="AM5" s="605"/>
    </row>
    <row r="6" spans="1:39" ht="12.75">
      <c r="A6" s="599">
        <v>1</v>
      </c>
      <c r="B6" s="588" t="s">
        <v>187</v>
      </c>
      <c r="C6" s="591">
        <v>60004</v>
      </c>
      <c r="D6" s="594" t="s">
        <v>188</v>
      </c>
      <c r="E6" s="597">
        <v>2008</v>
      </c>
      <c r="F6" s="350" t="s">
        <v>113</v>
      </c>
      <c r="G6" s="351" t="s">
        <v>114</v>
      </c>
      <c r="H6" s="352"/>
      <c r="I6" s="353"/>
      <c r="J6" s="353"/>
      <c r="K6" s="353"/>
      <c r="L6" s="353"/>
      <c r="M6" s="353"/>
      <c r="N6" s="353"/>
      <c r="O6" s="353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580">
        <f>SUM(J12:AL13)</f>
        <v>0</v>
      </c>
    </row>
    <row r="7" spans="1:39" ht="12.75">
      <c r="A7" s="600"/>
      <c r="B7" s="589"/>
      <c r="C7" s="592"/>
      <c r="D7" s="595"/>
      <c r="E7" s="586"/>
      <c r="F7" s="583">
        <f>SUM(H12:AL12)</f>
        <v>0</v>
      </c>
      <c r="G7" s="355" t="s">
        <v>115</v>
      </c>
      <c r="H7" s="356">
        <f>3890748+995000</f>
        <v>4885748</v>
      </c>
      <c r="I7" s="357">
        <v>280000</v>
      </c>
      <c r="J7" s="357"/>
      <c r="K7" s="357"/>
      <c r="L7" s="357"/>
      <c r="M7" s="357"/>
      <c r="N7" s="357"/>
      <c r="O7" s="357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581"/>
    </row>
    <row r="8" spans="1:39" ht="12.75">
      <c r="A8" s="600"/>
      <c r="B8" s="589"/>
      <c r="C8" s="592"/>
      <c r="D8" s="595"/>
      <c r="E8" s="586"/>
      <c r="F8" s="584"/>
      <c r="G8" s="355" t="s">
        <v>116</v>
      </c>
      <c r="H8" s="356"/>
      <c r="I8" s="357"/>
      <c r="J8" s="357"/>
      <c r="K8" s="357"/>
      <c r="L8" s="357"/>
      <c r="M8" s="357"/>
      <c r="N8" s="357"/>
      <c r="O8" s="357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581"/>
    </row>
    <row r="9" spans="1:39" ht="12.75">
      <c r="A9" s="600"/>
      <c r="B9" s="589"/>
      <c r="C9" s="592"/>
      <c r="D9" s="595"/>
      <c r="E9" s="598"/>
      <c r="F9" s="359" t="s">
        <v>117</v>
      </c>
      <c r="G9" s="355" t="s">
        <v>118</v>
      </c>
      <c r="H9" s="356"/>
      <c r="I9" s="357"/>
      <c r="J9" s="357"/>
      <c r="K9" s="357"/>
      <c r="L9" s="357"/>
      <c r="M9" s="357"/>
      <c r="N9" s="357"/>
      <c r="O9" s="357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581"/>
    </row>
    <row r="10" spans="1:39" ht="12.75">
      <c r="A10" s="600"/>
      <c r="B10" s="589"/>
      <c r="C10" s="592"/>
      <c r="D10" s="595"/>
      <c r="E10" s="585">
        <v>2012</v>
      </c>
      <c r="F10" s="583">
        <f>SUM(H13:AL13)</f>
        <v>5165748</v>
      </c>
      <c r="G10" s="355" t="s">
        <v>122</v>
      </c>
      <c r="H10" s="356"/>
      <c r="I10" s="357"/>
      <c r="J10" s="357"/>
      <c r="K10" s="357"/>
      <c r="L10" s="357"/>
      <c r="M10" s="357"/>
      <c r="N10" s="357"/>
      <c r="O10" s="357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581"/>
    </row>
    <row r="11" spans="1:39" ht="12.75">
      <c r="A11" s="600"/>
      <c r="B11" s="589"/>
      <c r="C11" s="592"/>
      <c r="D11" s="595"/>
      <c r="E11" s="586"/>
      <c r="F11" s="584"/>
      <c r="G11" s="355" t="s">
        <v>123</v>
      </c>
      <c r="H11" s="356"/>
      <c r="I11" s="357"/>
      <c r="J11" s="357"/>
      <c r="K11" s="357"/>
      <c r="L11" s="357"/>
      <c r="M11" s="357"/>
      <c r="N11" s="357"/>
      <c r="O11" s="357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581"/>
    </row>
    <row r="12" spans="1:39" ht="12.75">
      <c r="A12" s="600"/>
      <c r="B12" s="589"/>
      <c r="C12" s="592"/>
      <c r="D12" s="595"/>
      <c r="E12" s="586"/>
      <c r="F12" s="359" t="s">
        <v>121</v>
      </c>
      <c r="G12" s="355" t="s">
        <v>124</v>
      </c>
      <c r="H12" s="360">
        <f aca="true" t="shared" si="0" ref="H12:AL12">H6+H8+H10</f>
        <v>0</v>
      </c>
      <c r="I12" s="361">
        <f t="shared" si="0"/>
        <v>0</v>
      </c>
      <c r="J12" s="361">
        <f t="shared" si="0"/>
        <v>0</v>
      </c>
      <c r="K12" s="361">
        <f t="shared" si="0"/>
        <v>0</v>
      </c>
      <c r="L12" s="361">
        <f t="shared" si="0"/>
        <v>0</v>
      </c>
      <c r="M12" s="361">
        <f t="shared" si="0"/>
        <v>0</v>
      </c>
      <c r="N12" s="361">
        <f t="shared" si="0"/>
        <v>0</v>
      </c>
      <c r="O12" s="361">
        <f t="shared" si="0"/>
        <v>0</v>
      </c>
      <c r="P12" s="361">
        <f t="shared" si="0"/>
        <v>0</v>
      </c>
      <c r="Q12" s="361">
        <f t="shared" si="0"/>
        <v>0</v>
      </c>
      <c r="R12" s="361">
        <f t="shared" si="0"/>
        <v>0</v>
      </c>
      <c r="S12" s="361">
        <f t="shared" si="0"/>
        <v>0</v>
      </c>
      <c r="T12" s="361">
        <f t="shared" si="0"/>
        <v>0</v>
      </c>
      <c r="U12" s="361">
        <f t="shared" si="0"/>
        <v>0</v>
      </c>
      <c r="V12" s="361">
        <f t="shared" si="0"/>
        <v>0</v>
      </c>
      <c r="W12" s="361">
        <f t="shared" si="0"/>
        <v>0</v>
      </c>
      <c r="X12" s="361">
        <f t="shared" si="0"/>
        <v>0</v>
      </c>
      <c r="Y12" s="361">
        <f t="shared" si="0"/>
        <v>0</v>
      </c>
      <c r="Z12" s="361">
        <f t="shared" si="0"/>
        <v>0</v>
      </c>
      <c r="AA12" s="361">
        <f t="shared" si="0"/>
        <v>0</v>
      </c>
      <c r="AB12" s="361">
        <f t="shared" si="0"/>
        <v>0</v>
      </c>
      <c r="AC12" s="361">
        <f t="shared" si="0"/>
        <v>0</v>
      </c>
      <c r="AD12" s="361">
        <f t="shared" si="0"/>
        <v>0</v>
      </c>
      <c r="AE12" s="361">
        <f t="shared" si="0"/>
        <v>0</v>
      </c>
      <c r="AF12" s="361">
        <f t="shared" si="0"/>
        <v>0</v>
      </c>
      <c r="AG12" s="361">
        <f t="shared" si="0"/>
        <v>0</v>
      </c>
      <c r="AH12" s="361">
        <f t="shared" si="0"/>
        <v>0</v>
      </c>
      <c r="AI12" s="361">
        <f t="shared" si="0"/>
        <v>0</v>
      </c>
      <c r="AJ12" s="361">
        <f t="shared" si="0"/>
        <v>0</v>
      </c>
      <c r="AK12" s="361">
        <f t="shared" si="0"/>
        <v>0</v>
      </c>
      <c r="AL12" s="362">
        <f t="shared" si="0"/>
        <v>0</v>
      </c>
      <c r="AM12" s="581"/>
    </row>
    <row r="13" spans="1:39" ht="13.5" thickBot="1">
      <c r="A13" s="601"/>
      <c r="B13" s="590"/>
      <c r="C13" s="593"/>
      <c r="D13" s="595"/>
      <c r="E13" s="587"/>
      <c r="F13" s="363">
        <f>F7+F10</f>
        <v>5165748</v>
      </c>
      <c r="G13" s="364" t="s">
        <v>125</v>
      </c>
      <c r="H13" s="365">
        <f aca="true" t="shared" si="1" ref="H13:AL13">H7+H9+H11</f>
        <v>4885748</v>
      </c>
      <c r="I13" s="366">
        <f t="shared" si="1"/>
        <v>280000</v>
      </c>
      <c r="J13" s="366">
        <f t="shared" si="1"/>
        <v>0</v>
      </c>
      <c r="K13" s="366">
        <f t="shared" si="1"/>
        <v>0</v>
      </c>
      <c r="L13" s="366">
        <f t="shared" si="1"/>
        <v>0</v>
      </c>
      <c r="M13" s="366">
        <f t="shared" si="1"/>
        <v>0</v>
      </c>
      <c r="N13" s="366">
        <f t="shared" si="1"/>
        <v>0</v>
      </c>
      <c r="O13" s="366">
        <f t="shared" si="1"/>
        <v>0</v>
      </c>
      <c r="P13" s="366">
        <f t="shared" si="1"/>
        <v>0</v>
      </c>
      <c r="Q13" s="366">
        <f t="shared" si="1"/>
        <v>0</v>
      </c>
      <c r="R13" s="366">
        <f t="shared" si="1"/>
        <v>0</v>
      </c>
      <c r="S13" s="366">
        <f t="shared" si="1"/>
        <v>0</v>
      </c>
      <c r="T13" s="366">
        <f t="shared" si="1"/>
        <v>0</v>
      </c>
      <c r="U13" s="366">
        <f t="shared" si="1"/>
        <v>0</v>
      </c>
      <c r="V13" s="366">
        <f t="shared" si="1"/>
        <v>0</v>
      </c>
      <c r="W13" s="366">
        <f t="shared" si="1"/>
        <v>0</v>
      </c>
      <c r="X13" s="366">
        <f t="shared" si="1"/>
        <v>0</v>
      </c>
      <c r="Y13" s="366">
        <f t="shared" si="1"/>
        <v>0</v>
      </c>
      <c r="Z13" s="366">
        <f t="shared" si="1"/>
        <v>0</v>
      </c>
      <c r="AA13" s="366">
        <f t="shared" si="1"/>
        <v>0</v>
      </c>
      <c r="AB13" s="366">
        <f t="shared" si="1"/>
        <v>0</v>
      </c>
      <c r="AC13" s="366">
        <f t="shared" si="1"/>
        <v>0</v>
      </c>
      <c r="AD13" s="366">
        <f t="shared" si="1"/>
        <v>0</v>
      </c>
      <c r="AE13" s="366">
        <f t="shared" si="1"/>
        <v>0</v>
      </c>
      <c r="AF13" s="366">
        <f t="shared" si="1"/>
        <v>0</v>
      </c>
      <c r="AG13" s="366">
        <f t="shared" si="1"/>
        <v>0</v>
      </c>
      <c r="AH13" s="366">
        <f t="shared" si="1"/>
        <v>0</v>
      </c>
      <c r="AI13" s="366">
        <f t="shared" si="1"/>
        <v>0</v>
      </c>
      <c r="AJ13" s="366">
        <f t="shared" si="1"/>
        <v>0</v>
      </c>
      <c r="AK13" s="366">
        <f t="shared" si="1"/>
        <v>0</v>
      </c>
      <c r="AL13" s="367">
        <f t="shared" si="1"/>
        <v>0</v>
      </c>
      <c r="AM13" s="582"/>
    </row>
    <row r="14" spans="1:39" ht="12.75" customHeight="1">
      <c r="A14" s="599">
        <v>2</v>
      </c>
      <c r="B14" s="588" t="s">
        <v>189</v>
      </c>
      <c r="C14" s="591">
        <v>60004</v>
      </c>
      <c r="D14" s="594" t="s">
        <v>188</v>
      </c>
      <c r="E14" s="586">
        <v>2011</v>
      </c>
      <c r="F14" s="350" t="s">
        <v>113</v>
      </c>
      <c r="G14" s="351" t="s">
        <v>114</v>
      </c>
      <c r="H14" s="352"/>
      <c r="I14" s="353"/>
      <c r="J14" s="353"/>
      <c r="K14" s="353"/>
      <c r="L14" s="353"/>
      <c r="M14" s="353"/>
      <c r="N14" s="353"/>
      <c r="O14" s="353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580">
        <f>SUM(J20:AL21)</f>
        <v>30000000</v>
      </c>
    </row>
    <row r="15" spans="1:39" ht="12.75">
      <c r="A15" s="600"/>
      <c r="B15" s="589"/>
      <c r="C15" s="592"/>
      <c r="D15" s="595"/>
      <c r="E15" s="586"/>
      <c r="F15" s="583">
        <f>SUM(H20:AL20)</f>
        <v>0</v>
      </c>
      <c r="G15" s="355" t="s">
        <v>115</v>
      </c>
      <c r="H15" s="356">
        <f>160000</f>
        <v>160000</v>
      </c>
      <c r="I15" s="357"/>
      <c r="J15" s="357"/>
      <c r="K15" s="357">
        <v>20000000</v>
      </c>
      <c r="L15" s="357">
        <v>10000000</v>
      </c>
      <c r="M15" s="357"/>
      <c r="N15" s="357"/>
      <c r="O15" s="357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581"/>
    </row>
    <row r="16" spans="1:39" ht="12.75">
      <c r="A16" s="600"/>
      <c r="B16" s="589"/>
      <c r="C16" s="592"/>
      <c r="D16" s="595"/>
      <c r="E16" s="586"/>
      <c r="F16" s="584"/>
      <c r="G16" s="355" t="s">
        <v>116</v>
      </c>
      <c r="H16" s="356"/>
      <c r="I16" s="357"/>
      <c r="J16" s="357"/>
      <c r="K16" s="357"/>
      <c r="L16" s="357"/>
      <c r="M16" s="357"/>
      <c r="N16" s="357"/>
      <c r="O16" s="357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581"/>
    </row>
    <row r="17" spans="1:39" ht="12.75">
      <c r="A17" s="600"/>
      <c r="B17" s="589"/>
      <c r="C17" s="592"/>
      <c r="D17" s="595"/>
      <c r="E17" s="598"/>
      <c r="F17" s="359" t="s">
        <v>117</v>
      </c>
      <c r="G17" s="355" t="s">
        <v>118</v>
      </c>
      <c r="H17" s="356"/>
      <c r="I17" s="357"/>
      <c r="J17" s="357"/>
      <c r="K17" s="357"/>
      <c r="L17" s="357"/>
      <c r="M17" s="357"/>
      <c r="N17" s="357"/>
      <c r="O17" s="357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581"/>
    </row>
    <row r="18" spans="1:39" ht="12.75">
      <c r="A18" s="600"/>
      <c r="B18" s="589"/>
      <c r="C18" s="592"/>
      <c r="D18" s="595"/>
      <c r="E18" s="585">
        <v>2015</v>
      </c>
      <c r="F18" s="583">
        <f>SUM(H21:AL21)</f>
        <v>30160000</v>
      </c>
      <c r="G18" s="355" t="s">
        <v>122</v>
      </c>
      <c r="H18" s="356"/>
      <c r="I18" s="357"/>
      <c r="J18" s="357"/>
      <c r="K18" s="357"/>
      <c r="L18" s="357"/>
      <c r="M18" s="357"/>
      <c r="N18" s="357"/>
      <c r="O18" s="357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581"/>
    </row>
    <row r="19" spans="1:39" ht="12.75">
      <c r="A19" s="600"/>
      <c r="B19" s="589"/>
      <c r="C19" s="592"/>
      <c r="D19" s="595"/>
      <c r="E19" s="586"/>
      <c r="F19" s="584"/>
      <c r="G19" s="355" t="s">
        <v>123</v>
      </c>
      <c r="H19" s="356"/>
      <c r="I19" s="357"/>
      <c r="J19" s="357"/>
      <c r="K19" s="357"/>
      <c r="L19" s="357"/>
      <c r="M19" s="357"/>
      <c r="N19" s="357"/>
      <c r="O19" s="357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581"/>
    </row>
    <row r="20" spans="1:39" ht="12.75">
      <c r="A20" s="600"/>
      <c r="B20" s="589"/>
      <c r="C20" s="592"/>
      <c r="D20" s="595"/>
      <c r="E20" s="586"/>
      <c r="F20" s="359" t="s">
        <v>121</v>
      </c>
      <c r="G20" s="355" t="s">
        <v>124</v>
      </c>
      <c r="H20" s="360">
        <f aca="true" t="shared" si="2" ref="H20:AL20">H14+H16+H18</f>
        <v>0</v>
      </c>
      <c r="I20" s="361">
        <f t="shared" si="2"/>
        <v>0</v>
      </c>
      <c r="J20" s="361">
        <f t="shared" si="2"/>
        <v>0</v>
      </c>
      <c r="K20" s="361">
        <f t="shared" si="2"/>
        <v>0</v>
      </c>
      <c r="L20" s="361">
        <f t="shared" si="2"/>
        <v>0</v>
      </c>
      <c r="M20" s="361">
        <f t="shared" si="2"/>
        <v>0</v>
      </c>
      <c r="N20" s="361">
        <f t="shared" si="2"/>
        <v>0</v>
      </c>
      <c r="O20" s="361">
        <f t="shared" si="2"/>
        <v>0</v>
      </c>
      <c r="P20" s="361">
        <f t="shared" si="2"/>
        <v>0</v>
      </c>
      <c r="Q20" s="361">
        <f t="shared" si="2"/>
        <v>0</v>
      </c>
      <c r="R20" s="361">
        <f t="shared" si="2"/>
        <v>0</v>
      </c>
      <c r="S20" s="361">
        <f t="shared" si="2"/>
        <v>0</v>
      </c>
      <c r="T20" s="361">
        <f t="shared" si="2"/>
        <v>0</v>
      </c>
      <c r="U20" s="361">
        <f t="shared" si="2"/>
        <v>0</v>
      </c>
      <c r="V20" s="361">
        <f t="shared" si="2"/>
        <v>0</v>
      </c>
      <c r="W20" s="361">
        <f t="shared" si="2"/>
        <v>0</v>
      </c>
      <c r="X20" s="361">
        <f t="shared" si="2"/>
        <v>0</v>
      </c>
      <c r="Y20" s="361">
        <f t="shared" si="2"/>
        <v>0</v>
      </c>
      <c r="Z20" s="361">
        <f t="shared" si="2"/>
        <v>0</v>
      </c>
      <c r="AA20" s="361">
        <f t="shared" si="2"/>
        <v>0</v>
      </c>
      <c r="AB20" s="361">
        <f t="shared" si="2"/>
        <v>0</v>
      </c>
      <c r="AC20" s="361">
        <f t="shared" si="2"/>
        <v>0</v>
      </c>
      <c r="AD20" s="361">
        <f t="shared" si="2"/>
        <v>0</v>
      </c>
      <c r="AE20" s="361">
        <f t="shared" si="2"/>
        <v>0</v>
      </c>
      <c r="AF20" s="361">
        <f t="shared" si="2"/>
        <v>0</v>
      </c>
      <c r="AG20" s="361">
        <f t="shared" si="2"/>
        <v>0</v>
      </c>
      <c r="AH20" s="361">
        <f t="shared" si="2"/>
        <v>0</v>
      </c>
      <c r="AI20" s="361">
        <f t="shared" si="2"/>
        <v>0</v>
      </c>
      <c r="AJ20" s="361">
        <f t="shared" si="2"/>
        <v>0</v>
      </c>
      <c r="AK20" s="361">
        <f t="shared" si="2"/>
        <v>0</v>
      </c>
      <c r="AL20" s="362">
        <f t="shared" si="2"/>
        <v>0</v>
      </c>
      <c r="AM20" s="581"/>
    </row>
    <row r="21" spans="1:39" ht="13.5" thickBot="1">
      <c r="A21" s="601"/>
      <c r="B21" s="590"/>
      <c r="C21" s="593"/>
      <c r="D21" s="595"/>
      <c r="E21" s="587"/>
      <c r="F21" s="363">
        <f>F15+F18</f>
        <v>30160000</v>
      </c>
      <c r="G21" s="364" t="s">
        <v>125</v>
      </c>
      <c r="H21" s="365">
        <f aca="true" t="shared" si="3" ref="H21:AL21">H15+H17+H19</f>
        <v>160000</v>
      </c>
      <c r="I21" s="366">
        <f t="shared" si="3"/>
        <v>0</v>
      </c>
      <c r="J21" s="366">
        <f t="shared" si="3"/>
        <v>0</v>
      </c>
      <c r="K21" s="366">
        <f t="shared" si="3"/>
        <v>20000000</v>
      </c>
      <c r="L21" s="366">
        <f t="shared" si="3"/>
        <v>10000000</v>
      </c>
      <c r="M21" s="366">
        <f t="shared" si="3"/>
        <v>0</v>
      </c>
      <c r="N21" s="366">
        <f t="shared" si="3"/>
        <v>0</v>
      </c>
      <c r="O21" s="366">
        <f t="shared" si="3"/>
        <v>0</v>
      </c>
      <c r="P21" s="366">
        <f t="shared" si="3"/>
        <v>0</v>
      </c>
      <c r="Q21" s="366">
        <f t="shared" si="3"/>
        <v>0</v>
      </c>
      <c r="R21" s="366">
        <f t="shared" si="3"/>
        <v>0</v>
      </c>
      <c r="S21" s="366">
        <f t="shared" si="3"/>
        <v>0</v>
      </c>
      <c r="T21" s="366">
        <f t="shared" si="3"/>
        <v>0</v>
      </c>
      <c r="U21" s="366">
        <f t="shared" si="3"/>
        <v>0</v>
      </c>
      <c r="V21" s="366">
        <f t="shared" si="3"/>
        <v>0</v>
      </c>
      <c r="W21" s="366">
        <f t="shared" si="3"/>
        <v>0</v>
      </c>
      <c r="X21" s="366">
        <f t="shared" si="3"/>
        <v>0</v>
      </c>
      <c r="Y21" s="366">
        <f t="shared" si="3"/>
        <v>0</v>
      </c>
      <c r="Z21" s="366">
        <f t="shared" si="3"/>
        <v>0</v>
      </c>
      <c r="AA21" s="366">
        <f t="shared" si="3"/>
        <v>0</v>
      </c>
      <c r="AB21" s="366">
        <f t="shared" si="3"/>
        <v>0</v>
      </c>
      <c r="AC21" s="366">
        <f t="shared" si="3"/>
        <v>0</v>
      </c>
      <c r="AD21" s="366">
        <f t="shared" si="3"/>
        <v>0</v>
      </c>
      <c r="AE21" s="366">
        <f t="shared" si="3"/>
        <v>0</v>
      </c>
      <c r="AF21" s="366">
        <f t="shared" si="3"/>
        <v>0</v>
      </c>
      <c r="AG21" s="366">
        <f t="shared" si="3"/>
        <v>0</v>
      </c>
      <c r="AH21" s="366">
        <f t="shared" si="3"/>
        <v>0</v>
      </c>
      <c r="AI21" s="366">
        <f t="shared" si="3"/>
        <v>0</v>
      </c>
      <c r="AJ21" s="366">
        <f t="shared" si="3"/>
        <v>0</v>
      </c>
      <c r="AK21" s="366">
        <f t="shared" si="3"/>
        <v>0</v>
      </c>
      <c r="AL21" s="367">
        <f t="shared" si="3"/>
        <v>0</v>
      </c>
      <c r="AM21" s="582"/>
    </row>
    <row r="22" spans="1:39" ht="12.75" customHeight="1">
      <c r="A22" s="599">
        <v>3</v>
      </c>
      <c r="B22" s="588" t="s">
        <v>190</v>
      </c>
      <c r="C22" s="591">
        <v>60015</v>
      </c>
      <c r="D22" s="594" t="s">
        <v>188</v>
      </c>
      <c r="E22" s="597">
        <v>2010</v>
      </c>
      <c r="F22" s="350" t="s">
        <v>113</v>
      </c>
      <c r="G22" s="351" t="s">
        <v>114</v>
      </c>
      <c r="H22" s="352"/>
      <c r="I22" s="353"/>
      <c r="J22" s="353"/>
      <c r="K22" s="353"/>
      <c r="L22" s="353"/>
      <c r="M22" s="353"/>
      <c r="N22" s="353"/>
      <c r="O22" s="353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580">
        <f>SUM(J28:AL29)</f>
        <v>0</v>
      </c>
    </row>
    <row r="23" spans="1:39" ht="12.75">
      <c r="A23" s="600"/>
      <c r="B23" s="589"/>
      <c r="C23" s="592"/>
      <c r="D23" s="595"/>
      <c r="E23" s="586"/>
      <c r="F23" s="583">
        <f>SUM(H28:AL28)</f>
        <v>0</v>
      </c>
      <c r="G23" s="355" t="s">
        <v>115</v>
      </c>
      <c r="H23" s="356">
        <f>200000+800000</f>
        <v>1000000</v>
      </c>
      <c r="I23" s="357">
        <f>1700000-500000</f>
        <v>1200000</v>
      </c>
      <c r="J23" s="357"/>
      <c r="K23" s="357"/>
      <c r="L23" s="357"/>
      <c r="M23" s="357"/>
      <c r="N23" s="357"/>
      <c r="O23" s="357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581"/>
    </row>
    <row r="24" spans="1:39" ht="12.75">
      <c r="A24" s="600"/>
      <c r="B24" s="589"/>
      <c r="C24" s="592"/>
      <c r="D24" s="595"/>
      <c r="E24" s="586"/>
      <c r="F24" s="584"/>
      <c r="G24" s="355" t="s">
        <v>116</v>
      </c>
      <c r="H24" s="356"/>
      <c r="I24" s="357"/>
      <c r="J24" s="357"/>
      <c r="K24" s="357"/>
      <c r="L24" s="357"/>
      <c r="M24" s="357"/>
      <c r="N24" s="357"/>
      <c r="O24" s="357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581"/>
    </row>
    <row r="25" spans="1:39" ht="12.75">
      <c r="A25" s="600"/>
      <c r="B25" s="589"/>
      <c r="C25" s="592"/>
      <c r="D25" s="595"/>
      <c r="E25" s="598"/>
      <c r="F25" s="359" t="s">
        <v>117</v>
      </c>
      <c r="G25" s="355" t="s">
        <v>118</v>
      </c>
      <c r="H25" s="356"/>
      <c r="I25" s="357"/>
      <c r="J25" s="357"/>
      <c r="K25" s="357"/>
      <c r="L25" s="357"/>
      <c r="M25" s="357"/>
      <c r="N25" s="357"/>
      <c r="O25" s="357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581"/>
    </row>
    <row r="26" spans="1:39" ht="12.75">
      <c r="A26" s="600"/>
      <c r="B26" s="589"/>
      <c r="C26" s="592"/>
      <c r="D26" s="595"/>
      <c r="E26" s="585">
        <v>2012</v>
      </c>
      <c r="F26" s="583">
        <f>SUM(H29:AL29)</f>
        <v>2200000</v>
      </c>
      <c r="G26" s="355" t="s">
        <v>122</v>
      </c>
      <c r="H26" s="356"/>
      <c r="I26" s="357"/>
      <c r="J26" s="357"/>
      <c r="K26" s="357"/>
      <c r="L26" s="357"/>
      <c r="M26" s="357"/>
      <c r="N26" s="357"/>
      <c r="O26" s="357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581"/>
    </row>
    <row r="27" spans="1:39" ht="12.75">
      <c r="A27" s="600"/>
      <c r="B27" s="589"/>
      <c r="C27" s="592"/>
      <c r="D27" s="595"/>
      <c r="E27" s="586"/>
      <c r="F27" s="584"/>
      <c r="G27" s="355" t="s">
        <v>123</v>
      </c>
      <c r="H27" s="356"/>
      <c r="I27" s="357"/>
      <c r="J27" s="357"/>
      <c r="K27" s="357"/>
      <c r="L27" s="357"/>
      <c r="M27" s="357"/>
      <c r="N27" s="357"/>
      <c r="O27" s="357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581"/>
    </row>
    <row r="28" spans="1:39" ht="12.75">
      <c r="A28" s="600"/>
      <c r="B28" s="589"/>
      <c r="C28" s="592"/>
      <c r="D28" s="595"/>
      <c r="E28" s="586"/>
      <c r="F28" s="359" t="s">
        <v>121</v>
      </c>
      <c r="G28" s="355" t="s">
        <v>124</v>
      </c>
      <c r="H28" s="360">
        <f aca="true" t="shared" si="4" ref="H28:AL28">H22+H24+H26</f>
        <v>0</v>
      </c>
      <c r="I28" s="361">
        <f t="shared" si="4"/>
        <v>0</v>
      </c>
      <c r="J28" s="361">
        <f t="shared" si="4"/>
        <v>0</v>
      </c>
      <c r="K28" s="361">
        <f t="shared" si="4"/>
        <v>0</v>
      </c>
      <c r="L28" s="361">
        <f t="shared" si="4"/>
        <v>0</v>
      </c>
      <c r="M28" s="361">
        <f t="shared" si="4"/>
        <v>0</v>
      </c>
      <c r="N28" s="361">
        <f t="shared" si="4"/>
        <v>0</v>
      </c>
      <c r="O28" s="361">
        <f t="shared" si="4"/>
        <v>0</v>
      </c>
      <c r="P28" s="361">
        <f t="shared" si="4"/>
        <v>0</v>
      </c>
      <c r="Q28" s="361">
        <f t="shared" si="4"/>
        <v>0</v>
      </c>
      <c r="R28" s="361">
        <f t="shared" si="4"/>
        <v>0</v>
      </c>
      <c r="S28" s="361">
        <f t="shared" si="4"/>
        <v>0</v>
      </c>
      <c r="T28" s="361">
        <f t="shared" si="4"/>
        <v>0</v>
      </c>
      <c r="U28" s="361">
        <f t="shared" si="4"/>
        <v>0</v>
      </c>
      <c r="V28" s="361">
        <f t="shared" si="4"/>
        <v>0</v>
      </c>
      <c r="W28" s="361">
        <f t="shared" si="4"/>
        <v>0</v>
      </c>
      <c r="X28" s="361">
        <f t="shared" si="4"/>
        <v>0</v>
      </c>
      <c r="Y28" s="361">
        <f t="shared" si="4"/>
        <v>0</v>
      </c>
      <c r="Z28" s="361">
        <f t="shared" si="4"/>
        <v>0</v>
      </c>
      <c r="AA28" s="361">
        <f t="shared" si="4"/>
        <v>0</v>
      </c>
      <c r="AB28" s="361">
        <f t="shared" si="4"/>
        <v>0</v>
      </c>
      <c r="AC28" s="361">
        <f t="shared" si="4"/>
        <v>0</v>
      </c>
      <c r="AD28" s="361">
        <f t="shared" si="4"/>
        <v>0</v>
      </c>
      <c r="AE28" s="361">
        <f t="shared" si="4"/>
        <v>0</v>
      </c>
      <c r="AF28" s="361">
        <f t="shared" si="4"/>
        <v>0</v>
      </c>
      <c r="AG28" s="361">
        <f t="shared" si="4"/>
        <v>0</v>
      </c>
      <c r="AH28" s="361">
        <f t="shared" si="4"/>
        <v>0</v>
      </c>
      <c r="AI28" s="361">
        <f t="shared" si="4"/>
        <v>0</v>
      </c>
      <c r="AJ28" s="361">
        <f t="shared" si="4"/>
        <v>0</v>
      </c>
      <c r="AK28" s="361">
        <f t="shared" si="4"/>
        <v>0</v>
      </c>
      <c r="AL28" s="361">
        <f t="shared" si="4"/>
        <v>0</v>
      </c>
      <c r="AM28" s="581"/>
    </row>
    <row r="29" spans="1:39" ht="13.5" thickBot="1">
      <c r="A29" s="601"/>
      <c r="B29" s="590"/>
      <c r="C29" s="593"/>
      <c r="D29" s="596"/>
      <c r="E29" s="587"/>
      <c r="F29" s="363">
        <f>F23+F26</f>
        <v>2200000</v>
      </c>
      <c r="G29" s="364" t="s">
        <v>125</v>
      </c>
      <c r="H29" s="365">
        <f aca="true" t="shared" si="5" ref="H29:AL29">H23+H25+H27</f>
        <v>1000000</v>
      </c>
      <c r="I29" s="366">
        <f t="shared" si="5"/>
        <v>1200000</v>
      </c>
      <c r="J29" s="366">
        <f t="shared" si="5"/>
        <v>0</v>
      </c>
      <c r="K29" s="366">
        <f t="shared" si="5"/>
        <v>0</v>
      </c>
      <c r="L29" s="366">
        <f t="shared" si="5"/>
        <v>0</v>
      </c>
      <c r="M29" s="366">
        <f t="shared" si="5"/>
        <v>0</v>
      </c>
      <c r="N29" s="366">
        <f t="shared" si="5"/>
        <v>0</v>
      </c>
      <c r="O29" s="366">
        <f t="shared" si="5"/>
        <v>0</v>
      </c>
      <c r="P29" s="366">
        <f t="shared" si="5"/>
        <v>0</v>
      </c>
      <c r="Q29" s="366">
        <f t="shared" si="5"/>
        <v>0</v>
      </c>
      <c r="R29" s="366">
        <f t="shared" si="5"/>
        <v>0</v>
      </c>
      <c r="S29" s="366">
        <f t="shared" si="5"/>
        <v>0</v>
      </c>
      <c r="T29" s="366">
        <f t="shared" si="5"/>
        <v>0</v>
      </c>
      <c r="U29" s="366">
        <f t="shared" si="5"/>
        <v>0</v>
      </c>
      <c r="V29" s="366">
        <f t="shared" si="5"/>
        <v>0</v>
      </c>
      <c r="W29" s="366">
        <f t="shared" si="5"/>
        <v>0</v>
      </c>
      <c r="X29" s="366">
        <f t="shared" si="5"/>
        <v>0</v>
      </c>
      <c r="Y29" s="366">
        <f t="shared" si="5"/>
        <v>0</v>
      </c>
      <c r="Z29" s="366">
        <f t="shared" si="5"/>
        <v>0</v>
      </c>
      <c r="AA29" s="366">
        <f t="shared" si="5"/>
        <v>0</v>
      </c>
      <c r="AB29" s="366">
        <f t="shared" si="5"/>
        <v>0</v>
      </c>
      <c r="AC29" s="366">
        <f t="shared" si="5"/>
        <v>0</v>
      </c>
      <c r="AD29" s="366">
        <f t="shared" si="5"/>
        <v>0</v>
      </c>
      <c r="AE29" s="366">
        <f t="shared" si="5"/>
        <v>0</v>
      </c>
      <c r="AF29" s="366">
        <f t="shared" si="5"/>
        <v>0</v>
      </c>
      <c r="AG29" s="366">
        <f t="shared" si="5"/>
        <v>0</v>
      </c>
      <c r="AH29" s="366">
        <f t="shared" si="5"/>
        <v>0</v>
      </c>
      <c r="AI29" s="366">
        <f t="shared" si="5"/>
        <v>0</v>
      </c>
      <c r="AJ29" s="366">
        <f t="shared" si="5"/>
        <v>0</v>
      </c>
      <c r="AK29" s="366">
        <f t="shared" si="5"/>
        <v>0</v>
      </c>
      <c r="AL29" s="366">
        <f t="shared" si="5"/>
        <v>0</v>
      </c>
      <c r="AM29" s="582"/>
    </row>
    <row r="30" spans="1:39" ht="12.75" customHeight="1">
      <c r="A30" s="599">
        <v>4</v>
      </c>
      <c r="B30" s="588" t="s">
        <v>191</v>
      </c>
      <c r="C30" s="591">
        <v>60015</v>
      </c>
      <c r="D30" s="594" t="s">
        <v>188</v>
      </c>
      <c r="E30" s="597">
        <v>2010</v>
      </c>
      <c r="F30" s="350" t="s">
        <v>113</v>
      </c>
      <c r="G30" s="351" t="s">
        <v>114</v>
      </c>
      <c r="H30" s="352"/>
      <c r="I30" s="353"/>
      <c r="J30" s="353"/>
      <c r="K30" s="353"/>
      <c r="L30" s="353"/>
      <c r="M30" s="353"/>
      <c r="N30" s="353"/>
      <c r="O30" s="353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580">
        <f>SUM(J36:AL37)</f>
        <v>4550000</v>
      </c>
    </row>
    <row r="31" spans="1:39" ht="12.75">
      <c r="A31" s="600"/>
      <c r="B31" s="589"/>
      <c r="C31" s="592"/>
      <c r="D31" s="595"/>
      <c r="E31" s="586"/>
      <c r="F31" s="583">
        <f>SUM(H36:AL36)</f>
        <v>0</v>
      </c>
      <c r="G31" s="355" t="s">
        <v>115</v>
      </c>
      <c r="H31" s="356">
        <f>500000+2450000</f>
        <v>2950000</v>
      </c>
      <c r="I31" s="357">
        <f>850000-500000-50000</f>
        <v>300000</v>
      </c>
      <c r="J31" s="357">
        <f>2000000+50000</f>
        <v>2050000</v>
      </c>
      <c r="K31" s="357">
        <v>2500000</v>
      </c>
      <c r="L31" s="357"/>
      <c r="M31" s="357"/>
      <c r="N31" s="357"/>
      <c r="O31" s="357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581"/>
    </row>
    <row r="32" spans="1:39" ht="12.75">
      <c r="A32" s="600"/>
      <c r="B32" s="589"/>
      <c r="C32" s="592"/>
      <c r="D32" s="595"/>
      <c r="E32" s="586"/>
      <c r="F32" s="584"/>
      <c r="G32" s="355" t="s">
        <v>116</v>
      </c>
      <c r="H32" s="356"/>
      <c r="I32" s="357"/>
      <c r="J32" s="357"/>
      <c r="K32" s="357"/>
      <c r="L32" s="357"/>
      <c r="M32" s="357"/>
      <c r="N32" s="357"/>
      <c r="O32" s="357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581"/>
    </row>
    <row r="33" spans="1:39" ht="12.75">
      <c r="A33" s="600"/>
      <c r="B33" s="589"/>
      <c r="C33" s="592"/>
      <c r="D33" s="595"/>
      <c r="E33" s="598"/>
      <c r="F33" s="359" t="s">
        <v>117</v>
      </c>
      <c r="G33" s="355" t="s">
        <v>118</v>
      </c>
      <c r="H33" s="356"/>
      <c r="I33" s="357"/>
      <c r="J33" s="357"/>
      <c r="K33" s="357"/>
      <c r="L33" s="357"/>
      <c r="M33" s="357"/>
      <c r="N33" s="357"/>
      <c r="O33" s="357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581"/>
    </row>
    <row r="34" spans="1:39" ht="12.75">
      <c r="A34" s="600"/>
      <c r="B34" s="589"/>
      <c r="C34" s="592"/>
      <c r="D34" s="595"/>
      <c r="E34" s="585">
        <v>2014</v>
      </c>
      <c r="F34" s="583">
        <f>SUM(H37:AL37)</f>
        <v>7800000</v>
      </c>
      <c r="G34" s="355" t="s">
        <v>122</v>
      </c>
      <c r="H34" s="356"/>
      <c r="I34" s="357"/>
      <c r="J34" s="357"/>
      <c r="K34" s="357"/>
      <c r="L34" s="357"/>
      <c r="M34" s="357"/>
      <c r="N34" s="357"/>
      <c r="O34" s="357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581"/>
    </row>
    <row r="35" spans="1:39" ht="12.75">
      <c r="A35" s="600"/>
      <c r="B35" s="589"/>
      <c r="C35" s="592"/>
      <c r="D35" s="595"/>
      <c r="E35" s="586"/>
      <c r="F35" s="584"/>
      <c r="G35" s="355" t="s">
        <v>123</v>
      </c>
      <c r="H35" s="356"/>
      <c r="I35" s="357"/>
      <c r="J35" s="357"/>
      <c r="K35" s="357"/>
      <c r="L35" s="357"/>
      <c r="M35" s="357"/>
      <c r="N35" s="357"/>
      <c r="O35" s="357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581"/>
    </row>
    <row r="36" spans="1:39" ht="12.75">
      <c r="A36" s="600"/>
      <c r="B36" s="589"/>
      <c r="C36" s="592"/>
      <c r="D36" s="595"/>
      <c r="E36" s="586"/>
      <c r="F36" s="359" t="s">
        <v>121</v>
      </c>
      <c r="G36" s="355" t="s">
        <v>124</v>
      </c>
      <c r="H36" s="360">
        <f aca="true" t="shared" si="6" ref="H36:AL36">H30+H32+H34</f>
        <v>0</v>
      </c>
      <c r="I36" s="361">
        <f t="shared" si="6"/>
        <v>0</v>
      </c>
      <c r="J36" s="361">
        <f t="shared" si="6"/>
        <v>0</v>
      </c>
      <c r="K36" s="361">
        <f t="shared" si="6"/>
        <v>0</v>
      </c>
      <c r="L36" s="361">
        <f t="shared" si="6"/>
        <v>0</v>
      </c>
      <c r="M36" s="361">
        <f t="shared" si="6"/>
        <v>0</v>
      </c>
      <c r="N36" s="361">
        <f t="shared" si="6"/>
        <v>0</v>
      </c>
      <c r="O36" s="361">
        <f t="shared" si="6"/>
        <v>0</v>
      </c>
      <c r="P36" s="361">
        <f t="shared" si="6"/>
        <v>0</v>
      </c>
      <c r="Q36" s="361">
        <f t="shared" si="6"/>
        <v>0</v>
      </c>
      <c r="R36" s="361">
        <f t="shared" si="6"/>
        <v>0</v>
      </c>
      <c r="S36" s="361">
        <f t="shared" si="6"/>
        <v>0</v>
      </c>
      <c r="T36" s="361">
        <f t="shared" si="6"/>
        <v>0</v>
      </c>
      <c r="U36" s="361">
        <f t="shared" si="6"/>
        <v>0</v>
      </c>
      <c r="V36" s="361">
        <f t="shared" si="6"/>
        <v>0</v>
      </c>
      <c r="W36" s="361">
        <f t="shared" si="6"/>
        <v>0</v>
      </c>
      <c r="X36" s="361">
        <f t="shared" si="6"/>
        <v>0</v>
      </c>
      <c r="Y36" s="361">
        <f t="shared" si="6"/>
        <v>0</v>
      </c>
      <c r="Z36" s="361">
        <f t="shared" si="6"/>
        <v>0</v>
      </c>
      <c r="AA36" s="361">
        <f t="shared" si="6"/>
        <v>0</v>
      </c>
      <c r="AB36" s="361">
        <f t="shared" si="6"/>
        <v>0</v>
      </c>
      <c r="AC36" s="361">
        <f t="shared" si="6"/>
        <v>0</v>
      </c>
      <c r="AD36" s="361">
        <f t="shared" si="6"/>
        <v>0</v>
      </c>
      <c r="AE36" s="361">
        <f t="shared" si="6"/>
        <v>0</v>
      </c>
      <c r="AF36" s="361">
        <f t="shared" si="6"/>
        <v>0</v>
      </c>
      <c r="AG36" s="361">
        <f t="shared" si="6"/>
        <v>0</v>
      </c>
      <c r="AH36" s="361">
        <f t="shared" si="6"/>
        <v>0</v>
      </c>
      <c r="AI36" s="361">
        <f t="shared" si="6"/>
        <v>0</v>
      </c>
      <c r="AJ36" s="361">
        <f t="shared" si="6"/>
        <v>0</v>
      </c>
      <c r="AK36" s="361">
        <f t="shared" si="6"/>
        <v>0</v>
      </c>
      <c r="AL36" s="361">
        <f t="shared" si="6"/>
        <v>0</v>
      </c>
      <c r="AM36" s="581"/>
    </row>
    <row r="37" spans="1:39" ht="13.5" thickBot="1">
      <c r="A37" s="601"/>
      <c r="B37" s="590"/>
      <c r="C37" s="593"/>
      <c r="D37" s="596"/>
      <c r="E37" s="587"/>
      <c r="F37" s="363">
        <f>F31+F34</f>
        <v>7800000</v>
      </c>
      <c r="G37" s="364" t="s">
        <v>125</v>
      </c>
      <c r="H37" s="365">
        <f aca="true" t="shared" si="7" ref="H37:AL37">H31+H33+H35</f>
        <v>2950000</v>
      </c>
      <c r="I37" s="366">
        <f t="shared" si="7"/>
        <v>300000</v>
      </c>
      <c r="J37" s="366">
        <f t="shared" si="7"/>
        <v>2050000</v>
      </c>
      <c r="K37" s="366">
        <f t="shared" si="7"/>
        <v>2500000</v>
      </c>
      <c r="L37" s="366">
        <f t="shared" si="7"/>
        <v>0</v>
      </c>
      <c r="M37" s="366">
        <f t="shared" si="7"/>
        <v>0</v>
      </c>
      <c r="N37" s="366">
        <f t="shared" si="7"/>
        <v>0</v>
      </c>
      <c r="O37" s="366">
        <f t="shared" si="7"/>
        <v>0</v>
      </c>
      <c r="P37" s="366">
        <f t="shared" si="7"/>
        <v>0</v>
      </c>
      <c r="Q37" s="366">
        <f t="shared" si="7"/>
        <v>0</v>
      </c>
      <c r="R37" s="366">
        <f t="shared" si="7"/>
        <v>0</v>
      </c>
      <c r="S37" s="366">
        <f t="shared" si="7"/>
        <v>0</v>
      </c>
      <c r="T37" s="366">
        <f t="shared" si="7"/>
        <v>0</v>
      </c>
      <c r="U37" s="366">
        <f t="shared" si="7"/>
        <v>0</v>
      </c>
      <c r="V37" s="366">
        <f t="shared" si="7"/>
        <v>0</v>
      </c>
      <c r="W37" s="366">
        <f t="shared" si="7"/>
        <v>0</v>
      </c>
      <c r="X37" s="366">
        <f t="shared" si="7"/>
        <v>0</v>
      </c>
      <c r="Y37" s="366">
        <f t="shared" si="7"/>
        <v>0</v>
      </c>
      <c r="Z37" s="366">
        <f t="shared" si="7"/>
        <v>0</v>
      </c>
      <c r="AA37" s="366">
        <f t="shared" si="7"/>
        <v>0</v>
      </c>
      <c r="AB37" s="366">
        <f t="shared" si="7"/>
        <v>0</v>
      </c>
      <c r="AC37" s="366">
        <f t="shared" si="7"/>
        <v>0</v>
      </c>
      <c r="AD37" s="366">
        <f t="shared" si="7"/>
        <v>0</v>
      </c>
      <c r="AE37" s="366">
        <f t="shared" si="7"/>
        <v>0</v>
      </c>
      <c r="AF37" s="366">
        <f t="shared" si="7"/>
        <v>0</v>
      </c>
      <c r="AG37" s="366">
        <f t="shared" si="7"/>
        <v>0</v>
      </c>
      <c r="AH37" s="366">
        <f t="shared" si="7"/>
        <v>0</v>
      </c>
      <c r="AI37" s="366">
        <f t="shared" si="7"/>
        <v>0</v>
      </c>
      <c r="AJ37" s="366">
        <f t="shared" si="7"/>
        <v>0</v>
      </c>
      <c r="AK37" s="366">
        <f t="shared" si="7"/>
        <v>0</v>
      </c>
      <c r="AL37" s="366">
        <f t="shared" si="7"/>
        <v>0</v>
      </c>
      <c r="AM37" s="582"/>
    </row>
    <row r="38" spans="1:39" ht="12.75" customHeight="1">
      <c r="A38" s="599">
        <v>5</v>
      </c>
      <c r="B38" s="588" t="s">
        <v>192</v>
      </c>
      <c r="C38" s="591">
        <v>60015</v>
      </c>
      <c r="D38" s="594" t="s">
        <v>188</v>
      </c>
      <c r="E38" s="597">
        <v>2010</v>
      </c>
      <c r="F38" s="350" t="s">
        <v>113</v>
      </c>
      <c r="G38" s="351" t="s">
        <v>114</v>
      </c>
      <c r="H38" s="352"/>
      <c r="I38" s="353"/>
      <c r="J38" s="353"/>
      <c r="K38" s="353"/>
      <c r="L38" s="353"/>
      <c r="M38" s="353"/>
      <c r="N38" s="353"/>
      <c r="O38" s="353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580">
        <f>SUM(J44:AL45)</f>
        <v>74000000</v>
      </c>
    </row>
    <row r="39" spans="1:39" ht="12.75">
      <c r="A39" s="600"/>
      <c r="B39" s="589"/>
      <c r="C39" s="592"/>
      <c r="D39" s="595"/>
      <c r="E39" s="586"/>
      <c r="F39" s="583">
        <f>SUM(H44:AL44)</f>
        <v>0</v>
      </c>
      <c r="G39" s="355" t="s">
        <v>115</v>
      </c>
      <c r="H39" s="356">
        <f>4000000+30400000</f>
        <v>34400000</v>
      </c>
      <c r="I39" s="357">
        <f>22000000-3000000-2500000</f>
        <v>16500000</v>
      </c>
      <c r="J39" s="357">
        <f>28000000+10000000</f>
        <v>38000000</v>
      </c>
      <c r="K39" s="357">
        <f>26000000+10000000</f>
        <v>36000000</v>
      </c>
      <c r="L39" s="357"/>
      <c r="M39" s="357"/>
      <c r="N39" s="357"/>
      <c r="O39" s="357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581"/>
    </row>
    <row r="40" spans="1:39" ht="12.75">
      <c r="A40" s="600"/>
      <c r="B40" s="589"/>
      <c r="C40" s="592"/>
      <c r="D40" s="595"/>
      <c r="E40" s="586"/>
      <c r="F40" s="584"/>
      <c r="G40" s="355" t="s">
        <v>116</v>
      </c>
      <c r="H40" s="356"/>
      <c r="I40" s="357"/>
      <c r="J40" s="357"/>
      <c r="K40" s="357"/>
      <c r="L40" s="357"/>
      <c r="M40" s="357"/>
      <c r="N40" s="357"/>
      <c r="O40" s="357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581"/>
    </row>
    <row r="41" spans="1:39" ht="12.75">
      <c r="A41" s="600"/>
      <c r="B41" s="589"/>
      <c r="C41" s="592"/>
      <c r="D41" s="595"/>
      <c r="E41" s="598"/>
      <c r="F41" s="359" t="s">
        <v>117</v>
      </c>
      <c r="G41" s="355" t="s">
        <v>118</v>
      </c>
      <c r="H41" s="356"/>
      <c r="I41" s="357"/>
      <c r="J41" s="357"/>
      <c r="K41" s="357"/>
      <c r="L41" s="357"/>
      <c r="M41" s="357"/>
      <c r="N41" s="357"/>
      <c r="O41" s="357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581"/>
    </row>
    <row r="42" spans="1:39" ht="12.75">
      <c r="A42" s="600"/>
      <c r="B42" s="589"/>
      <c r="C42" s="592"/>
      <c r="D42" s="595"/>
      <c r="E42" s="585">
        <v>2014</v>
      </c>
      <c r="F42" s="583">
        <f>SUM(H45:AL45)</f>
        <v>124900000</v>
      </c>
      <c r="G42" s="355" t="s">
        <v>122</v>
      </c>
      <c r="H42" s="356"/>
      <c r="I42" s="357"/>
      <c r="J42" s="357"/>
      <c r="K42" s="357"/>
      <c r="L42" s="357"/>
      <c r="M42" s="357"/>
      <c r="N42" s="357"/>
      <c r="O42" s="357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581"/>
    </row>
    <row r="43" spans="1:39" ht="12.75">
      <c r="A43" s="600"/>
      <c r="B43" s="589"/>
      <c r="C43" s="592"/>
      <c r="D43" s="595"/>
      <c r="E43" s="586"/>
      <c r="F43" s="584"/>
      <c r="G43" s="355" t="s">
        <v>123</v>
      </c>
      <c r="H43" s="356"/>
      <c r="I43" s="357"/>
      <c r="J43" s="357"/>
      <c r="K43" s="357"/>
      <c r="L43" s="357"/>
      <c r="M43" s="357"/>
      <c r="N43" s="357"/>
      <c r="O43" s="357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581"/>
    </row>
    <row r="44" spans="1:39" ht="12.75">
      <c r="A44" s="600"/>
      <c r="B44" s="589"/>
      <c r="C44" s="592"/>
      <c r="D44" s="595"/>
      <c r="E44" s="586"/>
      <c r="F44" s="359" t="s">
        <v>121</v>
      </c>
      <c r="G44" s="355" t="s">
        <v>124</v>
      </c>
      <c r="H44" s="360">
        <f aca="true" t="shared" si="8" ref="H44:AL44">H38+H40+H42</f>
        <v>0</v>
      </c>
      <c r="I44" s="361">
        <f t="shared" si="8"/>
        <v>0</v>
      </c>
      <c r="J44" s="361">
        <f t="shared" si="8"/>
        <v>0</v>
      </c>
      <c r="K44" s="361">
        <f t="shared" si="8"/>
        <v>0</v>
      </c>
      <c r="L44" s="361">
        <f t="shared" si="8"/>
        <v>0</v>
      </c>
      <c r="M44" s="361">
        <f t="shared" si="8"/>
        <v>0</v>
      </c>
      <c r="N44" s="361">
        <f t="shared" si="8"/>
        <v>0</v>
      </c>
      <c r="O44" s="361">
        <f t="shared" si="8"/>
        <v>0</v>
      </c>
      <c r="P44" s="361">
        <f t="shared" si="8"/>
        <v>0</v>
      </c>
      <c r="Q44" s="361">
        <f t="shared" si="8"/>
        <v>0</v>
      </c>
      <c r="R44" s="361">
        <f t="shared" si="8"/>
        <v>0</v>
      </c>
      <c r="S44" s="361">
        <f t="shared" si="8"/>
        <v>0</v>
      </c>
      <c r="T44" s="361">
        <f t="shared" si="8"/>
        <v>0</v>
      </c>
      <c r="U44" s="361">
        <f t="shared" si="8"/>
        <v>0</v>
      </c>
      <c r="V44" s="361">
        <f t="shared" si="8"/>
        <v>0</v>
      </c>
      <c r="W44" s="361">
        <f t="shared" si="8"/>
        <v>0</v>
      </c>
      <c r="X44" s="361">
        <f t="shared" si="8"/>
        <v>0</v>
      </c>
      <c r="Y44" s="361">
        <f t="shared" si="8"/>
        <v>0</v>
      </c>
      <c r="Z44" s="361">
        <f t="shared" si="8"/>
        <v>0</v>
      </c>
      <c r="AA44" s="361">
        <f t="shared" si="8"/>
        <v>0</v>
      </c>
      <c r="AB44" s="361">
        <f t="shared" si="8"/>
        <v>0</v>
      </c>
      <c r="AC44" s="361">
        <f t="shared" si="8"/>
        <v>0</v>
      </c>
      <c r="AD44" s="361">
        <f t="shared" si="8"/>
        <v>0</v>
      </c>
      <c r="AE44" s="361">
        <f t="shared" si="8"/>
        <v>0</v>
      </c>
      <c r="AF44" s="361">
        <f t="shared" si="8"/>
        <v>0</v>
      </c>
      <c r="AG44" s="361">
        <f t="shared" si="8"/>
        <v>0</v>
      </c>
      <c r="AH44" s="361">
        <f t="shared" si="8"/>
        <v>0</v>
      </c>
      <c r="AI44" s="361">
        <f t="shared" si="8"/>
        <v>0</v>
      </c>
      <c r="AJ44" s="361">
        <f t="shared" si="8"/>
        <v>0</v>
      </c>
      <c r="AK44" s="361">
        <f t="shared" si="8"/>
        <v>0</v>
      </c>
      <c r="AL44" s="361">
        <f t="shared" si="8"/>
        <v>0</v>
      </c>
      <c r="AM44" s="581"/>
    </row>
    <row r="45" spans="1:39" ht="13.5" thickBot="1">
      <c r="A45" s="601"/>
      <c r="B45" s="590"/>
      <c r="C45" s="593"/>
      <c r="D45" s="595"/>
      <c r="E45" s="587"/>
      <c r="F45" s="363">
        <f>F39+F42</f>
        <v>124900000</v>
      </c>
      <c r="G45" s="364" t="s">
        <v>125</v>
      </c>
      <c r="H45" s="365">
        <f aca="true" t="shared" si="9" ref="H45:AL45">H39+H41+H43</f>
        <v>34400000</v>
      </c>
      <c r="I45" s="366">
        <f t="shared" si="9"/>
        <v>16500000</v>
      </c>
      <c r="J45" s="366">
        <f t="shared" si="9"/>
        <v>38000000</v>
      </c>
      <c r="K45" s="366">
        <f t="shared" si="9"/>
        <v>36000000</v>
      </c>
      <c r="L45" s="366">
        <f t="shared" si="9"/>
        <v>0</v>
      </c>
      <c r="M45" s="366">
        <f t="shared" si="9"/>
        <v>0</v>
      </c>
      <c r="N45" s="366">
        <f t="shared" si="9"/>
        <v>0</v>
      </c>
      <c r="O45" s="366">
        <f t="shared" si="9"/>
        <v>0</v>
      </c>
      <c r="P45" s="366">
        <f t="shared" si="9"/>
        <v>0</v>
      </c>
      <c r="Q45" s="366">
        <f t="shared" si="9"/>
        <v>0</v>
      </c>
      <c r="R45" s="366">
        <f t="shared" si="9"/>
        <v>0</v>
      </c>
      <c r="S45" s="366">
        <f t="shared" si="9"/>
        <v>0</v>
      </c>
      <c r="T45" s="366">
        <f t="shared" si="9"/>
        <v>0</v>
      </c>
      <c r="U45" s="366">
        <f t="shared" si="9"/>
        <v>0</v>
      </c>
      <c r="V45" s="366">
        <f t="shared" si="9"/>
        <v>0</v>
      </c>
      <c r="W45" s="366">
        <f t="shared" si="9"/>
        <v>0</v>
      </c>
      <c r="X45" s="366">
        <f t="shared" si="9"/>
        <v>0</v>
      </c>
      <c r="Y45" s="366">
        <f t="shared" si="9"/>
        <v>0</v>
      </c>
      <c r="Z45" s="366">
        <f t="shared" si="9"/>
        <v>0</v>
      </c>
      <c r="AA45" s="366">
        <f t="shared" si="9"/>
        <v>0</v>
      </c>
      <c r="AB45" s="366">
        <f t="shared" si="9"/>
        <v>0</v>
      </c>
      <c r="AC45" s="366">
        <f t="shared" si="9"/>
        <v>0</v>
      </c>
      <c r="AD45" s="366">
        <f t="shared" si="9"/>
        <v>0</v>
      </c>
      <c r="AE45" s="366">
        <f t="shared" si="9"/>
        <v>0</v>
      </c>
      <c r="AF45" s="366">
        <f t="shared" si="9"/>
        <v>0</v>
      </c>
      <c r="AG45" s="366">
        <f t="shared" si="9"/>
        <v>0</v>
      </c>
      <c r="AH45" s="366">
        <f t="shared" si="9"/>
        <v>0</v>
      </c>
      <c r="AI45" s="366">
        <f t="shared" si="9"/>
        <v>0</v>
      </c>
      <c r="AJ45" s="366">
        <f t="shared" si="9"/>
        <v>0</v>
      </c>
      <c r="AK45" s="366">
        <f t="shared" si="9"/>
        <v>0</v>
      </c>
      <c r="AL45" s="366">
        <f t="shared" si="9"/>
        <v>0</v>
      </c>
      <c r="AM45" s="582"/>
    </row>
    <row r="46" spans="1:39" ht="12.75" customHeight="1">
      <c r="A46" s="599">
        <v>6</v>
      </c>
      <c r="B46" s="588" t="s">
        <v>193</v>
      </c>
      <c r="C46" s="591">
        <v>60015</v>
      </c>
      <c r="D46" s="594" t="s">
        <v>188</v>
      </c>
      <c r="E46" s="586">
        <v>2008</v>
      </c>
      <c r="F46" s="350" t="s">
        <v>113</v>
      </c>
      <c r="G46" s="368" t="s">
        <v>114</v>
      </c>
      <c r="H46" s="352"/>
      <c r="I46" s="369"/>
      <c r="J46" s="369"/>
      <c r="K46" s="369"/>
      <c r="L46" s="369"/>
      <c r="M46" s="369"/>
      <c r="N46" s="369"/>
      <c r="O46" s="369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580">
        <f>SUM(J52:AL53)</f>
        <v>1500000</v>
      </c>
    </row>
    <row r="47" spans="1:39" ht="12.75">
      <c r="A47" s="600"/>
      <c r="B47" s="589"/>
      <c r="C47" s="592"/>
      <c r="D47" s="595"/>
      <c r="E47" s="586"/>
      <c r="F47" s="583">
        <f>SUM(H52:AL52)</f>
        <v>0</v>
      </c>
      <c r="G47" s="355" t="s">
        <v>115</v>
      </c>
      <c r="H47" s="356">
        <f>603114+1700000</f>
        <v>2303114</v>
      </c>
      <c r="I47" s="357">
        <f>1300000-500000</f>
        <v>800000</v>
      </c>
      <c r="J47" s="357">
        <f>500000+500000</f>
        <v>1000000</v>
      </c>
      <c r="K47" s="357">
        <v>500000</v>
      </c>
      <c r="L47" s="357"/>
      <c r="M47" s="357"/>
      <c r="N47" s="357"/>
      <c r="O47" s="357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581"/>
    </row>
    <row r="48" spans="1:39" ht="9.75" customHeight="1">
      <c r="A48" s="600"/>
      <c r="B48" s="589"/>
      <c r="C48" s="592"/>
      <c r="D48" s="595"/>
      <c r="E48" s="586"/>
      <c r="F48" s="584"/>
      <c r="G48" s="355" t="s">
        <v>116</v>
      </c>
      <c r="H48" s="356"/>
      <c r="I48" s="357"/>
      <c r="J48" s="357"/>
      <c r="K48" s="357"/>
      <c r="L48" s="357"/>
      <c r="M48" s="357"/>
      <c r="N48" s="357"/>
      <c r="O48" s="357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581"/>
    </row>
    <row r="49" spans="1:39" ht="12.75">
      <c r="A49" s="600"/>
      <c r="B49" s="589"/>
      <c r="C49" s="592"/>
      <c r="D49" s="595"/>
      <c r="E49" s="598"/>
      <c r="F49" s="359" t="s">
        <v>117</v>
      </c>
      <c r="G49" s="355" t="s">
        <v>118</v>
      </c>
      <c r="H49" s="356"/>
      <c r="I49" s="357"/>
      <c r="J49" s="357"/>
      <c r="K49" s="357"/>
      <c r="L49" s="357"/>
      <c r="M49" s="357"/>
      <c r="N49" s="357"/>
      <c r="O49" s="357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581"/>
    </row>
    <row r="50" spans="1:39" ht="12.75">
      <c r="A50" s="600"/>
      <c r="B50" s="589"/>
      <c r="C50" s="592"/>
      <c r="D50" s="595"/>
      <c r="E50" s="585">
        <v>2014</v>
      </c>
      <c r="F50" s="583">
        <f>SUM(H53:AL53)</f>
        <v>4603114</v>
      </c>
      <c r="G50" s="355" t="s">
        <v>122</v>
      </c>
      <c r="H50" s="356"/>
      <c r="I50" s="357"/>
      <c r="J50" s="357"/>
      <c r="K50" s="357"/>
      <c r="L50" s="357"/>
      <c r="M50" s="357"/>
      <c r="N50" s="357"/>
      <c r="O50" s="357"/>
      <c r="P50" s="358"/>
      <c r="Q50" s="358"/>
      <c r="R50" s="358"/>
      <c r="S50" s="358"/>
      <c r="T50" s="357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581"/>
    </row>
    <row r="51" spans="1:39" ht="12.75">
      <c r="A51" s="600"/>
      <c r="B51" s="589"/>
      <c r="C51" s="592"/>
      <c r="D51" s="595"/>
      <c r="E51" s="586"/>
      <c r="F51" s="584"/>
      <c r="G51" s="355" t="s">
        <v>123</v>
      </c>
      <c r="H51" s="356"/>
      <c r="I51" s="357"/>
      <c r="J51" s="357"/>
      <c r="K51" s="357"/>
      <c r="L51" s="357"/>
      <c r="M51" s="357"/>
      <c r="N51" s="357"/>
      <c r="O51" s="357"/>
      <c r="P51" s="358"/>
      <c r="Q51" s="358"/>
      <c r="R51" s="358"/>
      <c r="S51" s="358"/>
      <c r="T51" s="357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581"/>
    </row>
    <row r="52" spans="1:39" ht="12.75">
      <c r="A52" s="600"/>
      <c r="B52" s="589"/>
      <c r="C52" s="592"/>
      <c r="D52" s="595"/>
      <c r="E52" s="586"/>
      <c r="F52" s="359" t="s">
        <v>121</v>
      </c>
      <c r="G52" s="355" t="s">
        <v>124</v>
      </c>
      <c r="H52" s="360">
        <f aca="true" t="shared" si="10" ref="H52:AL52">H46+H48+H50</f>
        <v>0</v>
      </c>
      <c r="I52" s="361">
        <f t="shared" si="10"/>
        <v>0</v>
      </c>
      <c r="J52" s="361">
        <f t="shared" si="10"/>
        <v>0</v>
      </c>
      <c r="K52" s="361">
        <f t="shared" si="10"/>
        <v>0</v>
      </c>
      <c r="L52" s="361">
        <f t="shared" si="10"/>
        <v>0</v>
      </c>
      <c r="M52" s="361">
        <f t="shared" si="10"/>
        <v>0</v>
      </c>
      <c r="N52" s="361">
        <f t="shared" si="10"/>
        <v>0</v>
      </c>
      <c r="O52" s="361">
        <f t="shared" si="10"/>
        <v>0</v>
      </c>
      <c r="P52" s="361">
        <f t="shared" si="10"/>
        <v>0</v>
      </c>
      <c r="Q52" s="361">
        <f t="shared" si="10"/>
        <v>0</v>
      </c>
      <c r="R52" s="361">
        <f t="shared" si="10"/>
        <v>0</v>
      </c>
      <c r="S52" s="361">
        <f t="shared" si="10"/>
        <v>0</v>
      </c>
      <c r="T52" s="361">
        <f t="shared" si="10"/>
        <v>0</v>
      </c>
      <c r="U52" s="361">
        <f t="shared" si="10"/>
        <v>0</v>
      </c>
      <c r="V52" s="361">
        <f t="shared" si="10"/>
        <v>0</v>
      </c>
      <c r="W52" s="361">
        <f t="shared" si="10"/>
        <v>0</v>
      </c>
      <c r="X52" s="361">
        <f t="shared" si="10"/>
        <v>0</v>
      </c>
      <c r="Y52" s="361">
        <f t="shared" si="10"/>
        <v>0</v>
      </c>
      <c r="Z52" s="361">
        <f t="shared" si="10"/>
        <v>0</v>
      </c>
      <c r="AA52" s="361">
        <f t="shared" si="10"/>
        <v>0</v>
      </c>
      <c r="AB52" s="361">
        <f t="shared" si="10"/>
        <v>0</v>
      </c>
      <c r="AC52" s="361">
        <f t="shared" si="10"/>
        <v>0</v>
      </c>
      <c r="AD52" s="361">
        <f t="shared" si="10"/>
        <v>0</v>
      </c>
      <c r="AE52" s="361">
        <f t="shared" si="10"/>
        <v>0</v>
      </c>
      <c r="AF52" s="361">
        <f t="shared" si="10"/>
        <v>0</v>
      </c>
      <c r="AG52" s="361">
        <f t="shared" si="10"/>
        <v>0</v>
      </c>
      <c r="AH52" s="361">
        <f t="shared" si="10"/>
        <v>0</v>
      </c>
      <c r="AI52" s="361">
        <f t="shared" si="10"/>
        <v>0</v>
      </c>
      <c r="AJ52" s="361">
        <f t="shared" si="10"/>
        <v>0</v>
      </c>
      <c r="AK52" s="361">
        <f t="shared" si="10"/>
        <v>0</v>
      </c>
      <c r="AL52" s="361">
        <f t="shared" si="10"/>
        <v>0</v>
      </c>
      <c r="AM52" s="581"/>
    </row>
    <row r="53" spans="1:39" ht="13.5" thickBot="1">
      <c r="A53" s="601"/>
      <c r="B53" s="590"/>
      <c r="C53" s="593"/>
      <c r="D53" s="595"/>
      <c r="E53" s="587"/>
      <c r="F53" s="363">
        <f>F47+F50</f>
        <v>4603114</v>
      </c>
      <c r="G53" s="364" t="s">
        <v>125</v>
      </c>
      <c r="H53" s="365">
        <f aca="true" t="shared" si="11" ref="H53:AL53">H47+H49+H51</f>
        <v>2303114</v>
      </c>
      <c r="I53" s="366">
        <f t="shared" si="11"/>
        <v>800000</v>
      </c>
      <c r="J53" s="366">
        <f t="shared" si="11"/>
        <v>1000000</v>
      </c>
      <c r="K53" s="366">
        <f t="shared" si="11"/>
        <v>500000</v>
      </c>
      <c r="L53" s="366">
        <f t="shared" si="11"/>
        <v>0</v>
      </c>
      <c r="M53" s="366">
        <f t="shared" si="11"/>
        <v>0</v>
      </c>
      <c r="N53" s="366">
        <f t="shared" si="11"/>
        <v>0</v>
      </c>
      <c r="O53" s="366">
        <f t="shared" si="11"/>
        <v>0</v>
      </c>
      <c r="P53" s="366">
        <f t="shared" si="11"/>
        <v>0</v>
      </c>
      <c r="Q53" s="366">
        <f t="shared" si="11"/>
        <v>0</v>
      </c>
      <c r="R53" s="366">
        <f t="shared" si="11"/>
        <v>0</v>
      </c>
      <c r="S53" s="366">
        <f t="shared" si="11"/>
        <v>0</v>
      </c>
      <c r="T53" s="366">
        <f t="shared" si="11"/>
        <v>0</v>
      </c>
      <c r="U53" s="371">
        <f t="shared" si="11"/>
        <v>0</v>
      </c>
      <c r="V53" s="371">
        <f t="shared" si="11"/>
        <v>0</v>
      </c>
      <c r="W53" s="371">
        <f t="shared" si="11"/>
        <v>0</v>
      </c>
      <c r="X53" s="371">
        <f t="shared" si="11"/>
        <v>0</v>
      </c>
      <c r="Y53" s="371">
        <f t="shared" si="11"/>
        <v>0</v>
      </c>
      <c r="Z53" s="371">
        <f t="shared" si="11"/>
        <v>0</v>
      </c>
      <c r="AA53" s="371">
        <f t="shared" si="11"/>
        <v>0</v>
      </c>
      <c r="AB53" s="371">
        <f t="shared" si="11"/>
        <v>0</v>
      </c>
      <c r="AC53" s="371">
        <f t="shared" si="11"/>
        <v>0</v>
      </c>
      <c r="AD53" s="371">
        <f t="shared" si="11"/>
        <v>0</v>
      </c>
      <c r="AE53" s="371">
        <f t="shared" si="11"/>
        <v>0</v>
      </c>
      <c r="AF53" s="371">
        <f t="shared" si="11"/>
        <v>0</v>
      </c>
      <c r="AG53" s="371">
        <f t="shared" si="11"/>
        <v>0</v>
      </c>
      <c r="AH53" s="371">
        <f t="shared" si="11"/>
        <v>0</v>
      </c>
      <c r="AI53" s="371">
        <f t="shared" si="11"/>
        <v>0</v>
      </c>
      <c r="AJ53" s="371">
        <f t="shared" si="11"/>
        <v>0</v>
      </c>
      <c r="AK53" s="371">
        <f t="shared" si="11"/>
        <v>0</v>
      </c>
      <c r="AL53" s="371">
        <f t="shared" si="11"/>
        <v>0</v>
      </c>
      <c r="AM53" s="582"/>
    </row>
    <row r="54" spans="1:39" ht="12.75" customHeight="1">
      <c r="A54" s="599">
        <v>7</v>
      </c>
      <c r="B54" s="588" t="s">
        <v>194</v>
      </c>
      <c r="C54" s="591">
        <v>60015</v>
      </c>
      <c r="D54" s="594" t="s">
        <v>188</v>
      </c>
      <c r="E54" s="586">
        <v>2012</v>
      </c>
      <c r="F54" s="350" t="s">
        <v>113</v>
      </c>
      <c r="G54" s="368" t="s">
        <v>114</v>
      </c>
      <c r="H54" s="352"/>
      <c r="I54" s="369"/>
      <c r="J54" s="369"/>
      <c r="K54" s="369"/>
      <c r="L54" s="369"/>
      <c r="M54" s="369"/>
      <c r="N54" s="369"/>
      <c r="O54" s="369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580">
        <f>SUM(J60:AL61)</f>
        <v>2150000</v>
      </c>
    </row>
    <row r="55" spans="1:39" ht="12.75">
      <c r="A55" s="600"/>
      <c r="B55" s="589"/>
      <c r="C55" s="592"/>
      <c r="D55" s="595"/>
      <c r="E55" s="586"/>
      <c r="F55" s="583">
        <f>SUM(H60:AL60)</f>
        <v>0</v>
      </c>
      <c r="G55" s="355" t="s">
        <v>115</v>
      </c>
      <c r="H55" s="356"/>
      <c r="I55" s="357">
        <v>250000</v>
      </c>
      <c r="J55" s="357">
        <v>150000</v>
      </c>
      <c r="K55" s="357">
        <v>1400000</v>
      </c>
      <c r="L55" s="357">
        <v>600000</v>
      </c>
      <c r="M55" s="357"/>
      <c r="N55" s="357"/>
      <c r="O55" s="357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581"/>
    </row>
    <row r="56" spans="1:39" ht="9.75" customHeight="1">
      <c r="A56" s="600"/>
      <c r="B56" s="589"/>
      <c r="C56" s="592"/>
      <c r="D56" s="595"/>
      <c r="E56" s="586"/>
      <c r="F56" s="584"/>
      <c r="G56" s="355" t="s">
        <v>116</v>
      </c>
      <c r="H56" s="356"/>
      <c r="I56" s="357"/>
      <c r="J56" s="357"/>
      <c r="K56" s="357"/>
      <c r="L56" s="357"/>
      <c r="M56" s="357"/>
      <c r="N56" s="357"/>
      <c r="O56" s="357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581"/>
    </row>
    <row r="57" spans="1:39" ht="12.75">
      <c r="A57" s="600"/>
      <c r="B57" s="589"/>
      <c r="C57" s="592"/>
      <c r="D57" s="595"/>
      <c r="E57" s="598"/>
      <c r="F57" s="359" t="s">
        <v>117</v>
      </c>
      <c r="G57" s="355" t="s">
        <v>118</v>
      </c>
      <c r="H57" s="356"/>
      <c r="I57" s="357"/>
      <c r="J57" s="357"/>
      <c r="K57" s="357"/>
      <c r="L57" s="357"/>
      <c r="M57" s="357"/>
      <c r="N57" s="357"/>
      <c r="O57" s="357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581"/>
    </row>
    <row r="58" spans="1:39" ht="12.75">
      <c r="A58" s="600"/>
      <c r="B58" s="589"/>
      <c r="C58" s="592"/>
      <c r="D58" s="595"/>
      <c r="E58" s="585">
        <v>2015</v>
      </c>
      <c r="F58" s="583">
        <f>SUM(H61:AL61)</f>
        <v>2400000</v>
      </c>
      <c r="G58" s="355" t="s">
        <v>122</v>
      </c>
      <c r="H58" s="356"/>
      <c r="I58" s="357"/>
      <c r="J58" s="357"/>
      <c r="K58" s="357"/>
      <c r="L58" s="357"/>
      <c r="M58" s="357"/>
      <c r="N58" s="357"/>
      <c r="O58" s="357"/>
      <c r="P58" s="358"/>
      <c r="Q58" s="358"/>
      <c r="R58" s="358"/>
      <c r="S58" s="358"/>
      <c r="T58" s="357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581"/>
    </row>
    <row r="59" spans="1:39" ht="12.75">
      <c r="A59" s="600"/>
      <c r="B59" s="589"/>
      <c r="C59" s="592"/>
      <c r="D59" s="595"/>
      <c r="E59" s="586"/>
      <c r="F59" s="584"/>
      <c r="G59" s="355" t="s">
        <v>123</v>
      </c>
      <c r="H59" s="356"/>
      <c r="I59" s="357"/>
      <c r="J59" s="357"/>
      <c r="K59" s="357"/>
      <c r="L59" s="357"/>
      <c r="M59" s="357"/>
      <c r="N59" s="357"/>
      <c r="O59" s="357"/>
      <c r="P59" s="358"/>
      <c r="Q59" s="358"/>
      <c r="R59" s="358"/>
      <c r="S59" s="358"/>
      <c r="T59" s="357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581"/>
    </row>
    <row r="60" spans="1:39" ht="12.75">
      <c r="A60" s="600"/>
      <c r="B60" s="589"/>
      <c r="C60" s="592"/>
      <c r="D60" s="595"/>
      <c r="E60" s="586"/>
      <c r="F60" s="359" t="s">
        <v>121</v>
      </c>
      <c r="G60" s="355" t="s">
        <v>124</v>
      </c>
      <c r="H60" s="360">
        <f aca="true" t="shared" si="12" ref="H60:AL60">H54+H56+H58</f>
        <v>0</v>
      </c>
      <c r="I60" s="361">
        <f t="shared" si="12"/>
        <v>0</v>
      </c>
      <c r="J60" s="361">
        <f t="shared" si="12"/>
        <v>0</v>
      </c>
      <c r="K60" s="361">
        <f t="shared" si="12"/>
        <v>0</v>
      </c>
      <c r="L60" s="361">
        <f t="shared" si="12"/>
        <v>0</v>
      </c>
      <c r="M60" s="361">
        <f t="shared" si="12"/>
        <v>0</v>
      </c>
      <c r="N60" s="361">
        <f t="shared" si="12"/>
        <v>0</v>
      </c>
      <c r="O60" s="361">
        <f t="shared" si="12"/>
        <v>0</v>
      </c>
      <c r="P60" s="361">
        <f t="shared" si="12"/>
        <v>0</v>
      </c>
      <c r="Q60" s="361">
        <f t="shared" si="12"/>
        <v>0</v>
      </c>
      <c r="R60" s="361">
        <f t="shared" si="12"/>
        <v>0</v>
      </c>
      <c r="S60" s="361">
        <f t="shared" si="12"/>
        <v>0</v>
      </c>
      <c r="T60" s="361">
        <f t="shared" si="12"/>
        <v>0</v>
      </c>
      <c r="U60" s="361">
        <f t="shared" si="12"/>
        <v>0</v>
      </c>
      <c r="V60" s="361">
        <f t="shared" si="12"/>
        <v>0</v>
      </c>
      <c r="W60" s="361">
        <f t="shared" si="12"/>
        <v>0</v>
      </c>
      <c r="X60" s="361">
        <f t="shared" si="12"/>
        <v>0</v>
      </c>
      <c r="Y60" s="361">
        <f t="shared" si="12"/>
        <v>0</v>
      </c>
      <c r="Z60" s="361">
        <f t="shared" si="12"/>
        <v>0</v>
      </c>
      <c r="AA60" s="361">
        <f t="shared" si="12"/>
        <v>0</v>
      </c>
      <c r="AB60" s="361">
        <f t="shared" si="12"/>
        <v>0</v>
      </c>
      <c r="AC60" s="361">
        <f t="shared" si="12"/>
        <v>0</v>
      </c>
      <c r="AD60" s="361">
        <f t="shared" si="12"/>
        <v>0</v>
      </c>
      <c r="AE60" s="361">
        <f t="shared" si="12"/>
        <v>0</v>
      </c>
      <c r="AF60" s="361">
        <f t="shared" si="12"/>
        <v>0</v>
      </c>
      <c r="AG60" s="361">
        <f t="shared" si="12"/>
        <v>0</v>
      </c>
      <c r="AH60" s="361">
        <f t="shared" si="12"/>
        <v>0</v>
      </c>
      <c r="AI60" s="361">
        <f t="shared" si="12"/>
        <v>0</v>
      </c>
      <c r="AJ60" s="361">
        <f t="shared" si="12"/>
        <v>0</v>
      </c>
      <c r="AK60" s="361">
        <f t="shared" si="12"/>
        <v>0</v>
      </c>
      <c r="AL60" s="361">
        <f t="shared" si="12"/>
        <v>0</v>
      </c>
      <c r="AM60" s="581"/>
    </row>
    <row r="61" spans="1:39" ht="13.5" thickBot="1">
      <c r="A61" s="601"/>
      <c r="B61" s="590"/>
      <c r="C61" s="593"/>
      <c r="D61" s="595"/>
      <c r="E61" s="587"/>
      <c r="F61" s="363">
        <f>F55+F58</f>
        <v>2400000</v>
      </c>
      <c r="G61" s="364" t="s">
        <v>125</v>
      </c>
      <c r="H61" s="365">
        <f aca="true" t="shared" si="13" ref="H61:AL61">H55+H57+H59</f>
        <v>0</v>
      </c>
      <c r="I61" s="366">
        <f t="shared" si="13"/>
        <v>250000</v>
      </c>
      <c r="J61" s="366">
        <f t="shared" si="13"/>
        <v>150000</v>
      </c>
      <c r="K61" s="366">
        <f t="shared" si="13"/>
        <v>1400000</v>
      </c>
      <c r="L61" s="366">
        <f t="shared" si="13"/>
        <v>600000</v>
      </c>
      <c r="M61" s="366">
        <f t="shared" si="13"/>
        <v>0</v>
      </c>
      <c r="N61" s="366">
        <f t="shared" si="13"/>
        <v>0</v>
      </c>
      <c r="O61" s="366">
        <f t="shared" si="13"/>
        <v>0</v>
      </c>
      <c r="P61" s="366">
        <f t="shared" si="13"/>
        <v>0</v>
      </c>
      <c r="Q61" s="366">
        <f t="shared" si="13"/>
        <v>0</v>
      </c>
      <c r="R61" s="366">
        <f t="shared" si="13"/>
        <v>0</v>
      </c>
      <c r="S61" s="366">
        <f t="shared" si="13"/>
        <v>0</v>
      </c>
      <c r="T61" s="366">
        <f t="shared" si="13"/>
        <v>0</v>
      </c>
      <c r="U61" s="371">
        <f t="shared" si="13"/>
        <v>0</v>
      </c>
      <c r="V61" s="371">
        <f t="shared" si="13"/>
        <v>0</v>
      </c>
      <c r="W61" s="371">
        <f t="shared" si="13"/>
        <v>0</v>
      </c>
      <c r="X61" s="371">
        <f t="shared" si="13"/>
        <v>0</v>
      </c>
      <c r="Y61" s="371">
        <f t="shared" si="13"/>
        <v>0</v>
      </c>
      <c r="Z61" s="371">
        <f t="shared" si="13"/>
        <v>0</v>
      </c>
      <c r="AA61" s="371">
        <f t="shared" si="13"/>
        <v>0</v>
      </c>
      <c r="AB61" s="371">
        <f t="shared" si="13"/>
        <v>0</v>
      </c>
      <c r="AC61" s="371">
        <f t="shared" si="13"/>
        <v>0</v>
      </c>
      <c r="AD61" s="371">
        <f t="shared" si="13"/>
        <v>0</v>
      </c>
      <c r="AE61" s="371">
        <f t="shared" si="13"/>
        <v>0</v>
      </c>
      <c r="AF61" s="371">
        <f t="shared" si="13"/>
        <v>0</v>
      </c>
      <c r="AG61" s="371">
        <f t="shared" si="13"/>
        <v>0</v>
      </c>
      <c r="AH61" s="371">
        <f t="shared" si="13"/>
        <v>0</v>
      </c>
      <c r="AI61" s="371">
        <f t="shared" si="13"/>
        <v>0</v>
      </c>
      <c r="AJ61" s="371">
        <f t="shared" si="13"/>
        <v>0</v>
      </c>
      <c r="AK61" s="371">
        <f t="shared" si="13"/>
        <v>0</v>
      </c>
      <c r="AL61" s="371">
        <f t="shared" si="13"/>
        <v>0</v>
      </c>
      <c r="AM61" s="582"/>
    </row>
    <row r="62" spans="1:39" ht="12.75" customHeight="1">
      <c r="A62" s="599">
        <v>8</v>
      </c>
      <c r="B62" s="588" t="s">
        <v>195</v>
      </c>
      <c r="C62" s="591">
        <v>60015</v>
      </c>
      <c r="D62" s="594" t="s">
        <v>188</v>
      </c>
      <c r="E62" s="586">
        <v>2011</v>
      </c>
      <c r="F62" s="350" t="s">
        <v>113</v>
      </c>
      <c r="G62" s="368" t="s">
        <v>114</v>
      </c>
      <c r="H62" s="352"/>
      <c r="I62" s="369"/>
      <c r="J62" s="369"/>
      <c r="K62" s="369"/>
      <c r="L62" s="369"/>
      <c r="M62" s="369"/>
      <c r="N62" s="369"/>
      <c r="O62" s="369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580">
        <f>SUM(J68:AL69)</f>
        <v>4000000</v>
      </c>
    </row>
    <row r="63" spans="1:39" ht="12.75">
      <c r="A63" s="600"/>
      <c r="B63" s="589"/>
      <c r="C63" s="592"/>
      <c r="D63" s="595"/>
      <c r="E63" s="586"/>
      <c r="F63" s="583">
        <f>SUM(H68:AL68)</f>
        <v>0</v>
      </c>
      <c r="G63" s="355" t="s">
        <v>115</v>
      </c>
      <c r="H63" s="356">
        <v>2000000</v>
      </c>
      <c r="I63" s="357">
        <v>6000000</v>
      </c>
      <c r="J63" s="357">
        <v>2000000</v>
      </c>
      <c r="K63" s="357">
        <v>2000000</v>
      </c>
      <c r="L63" s="357"/>
      <c r="M63" s="357"/>
      <c r="N63" s="357"/>
      <c r="O63" s="357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581"/>
    </row>
    <row r="64" spans="1:39" ht="9.75" customHeight="1">
      <c r="A64" s="600"/>
      <c r="B64" s="589"/>
      <c r="C64" s="592"/>
      <c r="D64" s="595"/>
      <c r="E64" s="586"/>
      <c r="F64" s="584"/>
      <c r="G64" s="355" t="s">
        <v>116</v>
      </c>
      <c r="H64" s="356"/>
      <c r="I64" s="357"/>
      <c r="J64" s="357"/>
      <c r="K64" s="357"/>
      <c r="L64" s="357"/>
      <c r="M64" s="357"/>
      <c r="N64" s="357"/>
      <c r="O64" s="357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581"/>
    </row>
    <row r="65" spans="1:39" ht="12.75">
      <c r="A65" s="600"/>
      <c r="B65" s="589"/>
      <c r="C65" s="592"/>
      <c r="D65" s="595"/>
      <c r="E65" s="598"/>
      <c r="F65" s="359" t="s">
        <v>117</v>
      </c>
      <c r="G65" s="355" t="s">
        <v>118</v>
      </c>
      <c r="H65" s="356"/>
      <c r="I65" s="357"/>
      <c r="J65" s="357"/>
      <c r="K65" s="357"/>
      <c r="L65" s="357"/>
      <c r="M65" s="357"/>
      <c r="N65" s="357"/>
      <c r="O65" s="357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581"/>
    </row>
    <row r="66" spans="1:39" ht="12.75">
      <c r="A66" s="600"/>
      <c r="B66" s="589"/>
      <c r="C66" s="592"/>
      <c r="D66" s="595"/>
      <c r="E66" s="585">
        <v>2014</v>
      </c>
      <c r="F66" s="583">
        <f>SUM(H69:AL69)</f>
        <v>12000000</v>
      </c>
      <c r="G66" s="355" t="s">
        <v>122</v>
      </c>
      <c r="H66" s="356"/>
      <c r="I66" s="357"/>
      <c r="J66" s="357"/>
      <c r="K66" s="357"/>
      <c r="L66" s="357"/>
      <c r="M66" s="357"/>
      <c r="N66" s="357"/>
      <c r="O66" s="357"/>
      <c r="P66" s="358"/>
      <c r="Q66" s="358"/>
      <c r="R66" s="358"/>
      <c r="S66" s="358"/>
      <c r="T66" s="357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8"/>
      <c r="AL66" s="358"/>
      <c r="AM66" s="581"/>
    </row>
    <row r="67" spans="1:39" ht="12.75">
      <c r="A67" s="600"/>
      <c r="B67" s="589"/>
      <c r="C67" s="592"/>
      <c r="D67" s="595"/>
      <c r="E67" s="586"/>
      <c r="F67" s="584"/>
      <c r="G67" s="355" t="s">
        <v>123</v>
      </c>
      <c r="H67" s="356"/>
      <c r="I67" s="357"/>
      <c r="J67" s="357"/>
      <c r="K67" s="357"/>
      <c r="L67" s="357"/>
      <c r="M67" s="357"/>
      <c r="N67" s="357"/>
      <c r="O67" s="357"/>
      <c r="P67" s="358"/>
      <c r="Q67" s="358"/>
      <c r="R67" s="358"/>
      <c r="S67" s="358"/>
      <c r="T67" s="357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581"/>
    </row>
    <row r="68" spans="1:39" ht="12.75">
      <c r="A68" s="600"/>
      <c r="B68" s="589"/>
      <c r="C68" s="592"/>
      <c r="D68" s="595"/>
      <c r="E68" s="586"/>
      <c r="F68" s="359" t="s">
        <v>121</v>
      </c>
      <c r="G68" s="355" t="s">
        <v>124</v>
      </c>
      <c r="H68" s="360">
        <f aca="true" t="shared" si="14" ref="H68:AL68">H62+H64+H66</f>
        <v>0</v>
      </c>
      <c r="I68" s="361">
        <f t="shared" si="14"/>
        <v>0</v>
      </c>
      <c r="J68" s="361">
        <f t="shared" si="14"/>
        <v>0</v>
      </c>
      <c r="K68" s="361">
        <f t="shared" si="14"/>
        <v>0</v>
      </c>
      <c r="L68" s="361">
        <f t="shared" si="14"/>
        <v>0</v>
      </c>
      <c r="M68" s="361">
        <f t="shared" si="14"/>
        <v>0</v>
      </c>
      <c r="N68" s="361">
        <f t="shared" si="14"/>
        <v>0</v>
      </c>
      <c r="O68" s="361">
        <f t="shared" si="14"/>
        <v>0</v>
      </c>
      <c r="P68" s="361">
        <f t="shared" si="14"/>
        <v>0</v>
      </c>
      <c r="Q68" s="361">
        <f t="shared" si="14"/>
        <v>0</v>
      </c>
      <c r="R68" s="361">
        <f t="shared" si="14"/>
        <v>0</v>
      </c>
      <c r="S68" s="361">
        <f t="shared" si="14"/>
        <v>0</v>
      </c>
      <c r="T68" s="361">
        <f t="shared" si="14"/>
        <v>0</v>
      </c>
      <c r="U68" s="361">
        <f t="shared" si="14"/>
        <v>0</v>
      </c>
      <c r="V68" s="361">
        <f t="shared" si="14"/>
        <v>0</v>
      </c>
      <c r="W68" s="361">
        <f t="shared" si="14"/>
        <v>0</v>
      </c>
      <c r="X68" s="361">
        <f t="shared" si="14"/>
        <v>0</v>
      </c>
      <c r="Y68" s="361">
        <f t="shared" si="14"/>
        <v>0</v>
      </c>
      <c r="Z68" s="361">
        <f t="shared" si="14"/>
        <v>0</v>
      </c>
      <c r="AA68" s="361">
        <f t="shared" si="14"/>
        <v>0</v>
      </c>
      <c r="AB68" s="361">
        <f t="shared" si="14"/>
        <v>0</v>
      </c>
      <c r="AC68" s="361">
        <f t="shared" si="14"/>
        <v>0</v>
      </c>
      <c r="AD68" s="361">
        <f t="shared" si="14"/>
        <v>0</v>
      </c>
      <c r="AE68" s="361">
        <f t="shared" si="14"/>
        <v>0</v>
      </c>
      <c r="AF68" s="361">
        <f t="shared" si="14"/>
        <v>0</v>
      </c>
      <c r="AG68" s="361">
        <f t="shared" si="14"/>
        <v>0</v>
      </c>
      <c r="AH68" s="361">
        <f t="shared" si="14"/>
        <v>0</v>
      </c>
      <c r="AI68" s="361">
        <f t="shared" si="14"/>
        <v>0</v>
      </c>
      <c r="AJ68" s="361">
        <f t="shared" si="14"/>
        <v>0</v>
      </c>
      <c r="AK68" s="361">
        <f t="shared" si="14"/>
        <v>0</v>
      </c>
      <c r="AL68" s="361">
        <f t="shared" si="14"/>
        <v>0</v>
      </c>
      <c r="AM68" s="581"/>
    </row>
    <row r="69" spans="1:39" ht="13.5" thickBot="1">
      <c r="A69" s="601"/>
      <c r="B69" s="590"/>
      <c r="C69" s="593"/>
      <c r="D69" s="595"/>
      <c r="E69" s="587"/>
      <c r="F69" s="363">
        <f>F63+F66</f>
        <v>12000000</v>
      </c>
      <c r="G69" s="364" t="s">
        <v>125</v>
      </c>
      <c r="H69" s="365">
        <f aca="true" t="shared" si="15" ref="H69:AL69">H63+H65+H67</f>
        <v>2000000</v>
      </c>
      <c r="I69" s="366">
        <f t="shared" si="15"/>
        <v>6000000</v>
      </c>
      <c r="J69" s="366">
        <f t="shared" si="15"/>
        <v>2000000</v>
      </c>
      <c r="K69" s="366">
        <f t="shared" si="15"/>
        <v>2000000</v>
      </c>
      <c r="L69" s="366">
        <f t="shared" si="15"/>
        <v>0</v>
      </c>
      <c r="M69" s="366">
        <f t="shared" si="15"/>
        <v>0</v>
      </c>
      <c r="N69" s="366">
        <f t="shared" si="15"/>
        <v>0</v>
      </c>
      <c r="O69" s="366">
        <f t="shared" si="15"/>
        <v>0</v>
      </c>
      <c r="P69" s="366">
        <f t="shared" si="15"/>
        <v>0</v>
      </c>
      <c r="Q69" s="366">
        <f t="shared" si="15"/>
        <v>0</v>
      </c>
      <c r="R69" s="366">
        <f t="shared" si="15"/>
        <v>0</v>
      </c>
      <c r="S69" s="366">
        <f t="shared" si="15"/>
        <v>0</v>
      </c>
      <c r="T69" s="366">
        <f t="shared" si="15"/>
        <v>0</v>
      </c>
      <c r="U69" s="371">
        <f t="shared" si="15"/>
        <v>0</v>
      </c>
      <c r="V69" s="371">
        <f t="shared" si="15"/>
        <v>0</v>
      </c>
      <c r="W69" s="371">
        <f t="shared" si="15"/>
        <v>0</v>
      </c>
      <c r="X69" s="371">
        <f t="shared" si="15"/>
        <v>0</v>
      </c>
      <c r="Y69" s="371">
        <f t="shared" si="15"/>
        <v>0</v>
      </c>
      <c r="Z69" s="371">
        <f t="shared" si="15"/>
        <v>0</v>
      </c>
      <c r="AA69" s="371">
        <f t="shared" si="15"/>
        <v>0</v>
      </c>
      <c r="AB69" s="371">
        <f t="shared" si="15"/>
        <v>0</v>
      </c>
      <c r="AC69" s="371">
        <f t="shared" si="15"/>
        <v>0</v>
      </c>
      <c r="AD69" s="371">
        <f t="shared" si="15"/>
        <v>0</v>
      </c>
      <c r="AE69" s="371">
        <f t="shared" si="15"/>
        <v>0</v>
      </c>
      <c r="AF69" s="371">
        <f t="shared" si="15"/>
        <v>0</v>
      </c>
      <c r="AG69" s="371">
        <f t="shared" si="15"/>
        <v>0</v>
      </c>
      <c r="AH69" s="371">
        <f t="shared" si="15"/>
        <v>0</v>
      </c>
      <c r="AI69" s="371">
        <f t="shared" si="15"/>
        <v>0</v>
      </c>
      <c r="AJ69" s="371">
        <f t="shared" si="15"/>
        <v>0</v>
      </c>
      <c r="AK69" s="371">
        <f t="shared" si="15"/>
        <v>0</v>
      </c>
      <c r="AL69" s="371">
        <f t="shared" si="15"/>
        <v>0</v>
      </c>
      <c r="AM69" s="582"/>
    </row>
    <row r="70" spans="1:39" ht="12.75" customHeight="1">
      <c r="A70" s="599">
        <v>9</v>
      </c>
      <c r="B70" s="588" t="s">
        <v>196</v>
      </c>
      <c r="C70" s="591">
        <v>60016</v>
      </c>
      <c r="D70" s="594" t="s">
        <v>188</v>
      </c>
      <c r="E70" s="597">
        <v>2011</v>
      </c>
      <c r="F70" s="350" t="s">
        <v>113</v>
      </c>
      <c r="G70" s="351" t="s">
        <v>114</v>
      </c>
      <c r="H70" s="352"/>
      <c r="I70" s="353"/>
      <c r="J70" s="353"/>
      <c r="K70" s="353"/>
      <c r="L70" s="353"/>
      <c r="M70" s="353"/>
      <c r="N70" s="353"/>
      <c r="O70" s="353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580">
        <f>SUM(J76:AL77)</f>
        <v>30000000</v>
      </c>
    </row>
    <row r="71" spans="1:39" ht="12.75">
      <c r="A71" s="600"/>
      <c r="B71" s="589"/>
      <c r="C71" s="592"/>
      <c r="D71" s="595"/>
      <c r="E71" s="586"/>
      <c r="F71" s="583">
        <f>SUM(H76:AL76)</f>
        <v>0</v>
      </c>
      <c r="G71" s="355" t="s">
        <v>115</v>
      </c>
      <c r="H71" s="356">
        <f>12000000</f>
        <v>12000000</v>
      </c>
      <c r="I71" s="357">
        <f>17000000+3435018-500000</f>
        <v>19935018</v>
      </c>
      <c r="J71" s="357">
        <v>15000000</v>
      </c>
      <c r="K71" s="357">
        <v>15000000</v>
      </c>
      <c r="L71" s="357"/>
      <c r="M71" s="357"/>
      <c r="N71" s="357"/>
      <c r="O71" s="357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581"/>
    </row>
    <row r="72" spans="1:39" ht="12.75">
      <c r="A72" s="600"/>
      <c r="B72" s="589"/>
      <c r="C72" s="592"/>
      <c r="D72" s="595"/>
      <c r="E72" s="586"/>
      <c r="F72" s="584"/>
      <c r="G72" s="355" t="s">
        <v>116</v>
      </c>
      <c r="H72" s="356"/>
      <c r="I72" s="357"/>
      <c r="J72" s="357"/>
      <c r="K72" s="357"/>
      <c r="L72" s="357"/>
      <c r="M72" s="357"/>
      <c r="N72" s="357"/>
      <c r="O72" s="357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581"/>
    </row>
    <row r="73" spans="1:39" ht="12.75">
      <c r="A73" s="600"/>
      <c r="B73" s="589"/>
      <c r="C73" s="592"/>
      <c r="D73" s="595"/>
      <c r="E73" s="598"/>
      <c r="F73" s="359" t="s">
        <v>117</v>
      </c>
      <c r="G73" s="355" t="s">
        <v>118</v>
      </c>
      <c r="H73" s="356"/>
      <c r="I73" s="357"/>
      <c r="J73" s="357"/>
      <c r="K73" s="357"/>
      <c r="L73" s="357"/>
      <c r="M73" s="357"/>
      <c r="N73" s="357"/>
      <c r="O73" s="357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58"/>
      <c r="AL73" s="358"/>
      <c r="AM73" s="581"/>
    </row>
    <row r="74" spans="1:39" ht="12.75">
      <c r="A74" s="600"/>
      <c r="B74" s="589"/>
      <c r="C74" s="592"/>
      <c r="D74" s="595"/>
      <c r="E74" s="585">
        <v>2014</v>
      </c>
      <c r="F74" s="583">
        <f>SUM(H77:AL77)</f>
        <v>61935018</v>
      </c>
      <c r="G74" s="355" t="s">
        <v>122</v>
      </c>
      <c r="H74" s="356"/>
      <c r="I74" s="357"/>
      <c r="J74" s="357"/>
      <c r="K74" s="357"/>
      <c r="L74" s="357"/>
      <c r="M74" s="357"/>
      <c r="N74" s="357"/>
      <c r="O74" s="357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581"/>
    </row>
    <row r="75" spans="1:39" ht="12.75">
      <c r="A75" s="600"/>
      <c r="B75" s="589"/>
      <c r="C75" s="592"/>
      <c r="D75" s="595"/>
      <c r="E75" s="586"/>
      <c r="F75" s="584"/>
      <c r="G75" s="355" t="s">
        <v>123</v>
      </c>
      <c r="H75" s="356"/>
      <c r="I75" s="357"/>
      <c r="J75" s="357"/>
      <c r="K75" s="357"/>
      <c r="L75" s="357"/>
      <c r="M75" s="357"/>
      <c r="N75" s="357"/>
      <c r="O75" s="357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581"/>
    </row>
    <row r="76" spans="1:39" ht="12.75">
      <c r="A76" s="600"/>
      <c r="B76" s="589"/>
      <c r="C76" s="592"/>
      <c r="D76" s="595"/>
      <c r="E76" s="586"/>
      <c r="F76" s="359" t="s">
        <v>121</v>
      </c>
      <c r="G76" s="355" t="s">
        <v>124</v>
      </c>
      <c r="H76" s="360">
        <f aca="true" t="shared" si="16" ref="H76:AL76">H70+H72+H74</f>
        <v>0</v>
      </c>
      <c r="I76" s="361">
        <f t="shared" si="16"/>
        <v>0</v>
      </c>
      <c r="J76" s="361">
        <f t="shared" si="16"/>
        <v>0</v>
      </c>
      <c r="K76" s="361">
        <f t="shared" si="16"/>
        <v>0</v>
      </c>
      <c r="L76" s="361">
        <f t="shared" si="16"/>
        <v>0</v>
      </c>
      <c r="M76" s="361">
        <f t="shared" si="16"/>
        <v>0</v>
      </c>
      <c r="N76" s="361">
        <f t="shared" si="16"/>
        <v>0</v>
      </c>
      <c r="O76" s="361">
        <f t="shared" si="16"/>
        <v>0</v>
      </c>
      <c r="P76" s="361">
        <f t="shared" si="16"/>
        <v>0</v>
      </c>
      <c r="Q76" s="361">
        <f t="shared" si="16"/>
        <v>0</v>
      </c>
      <c r="R76" s="361">
        <f t="shared" si="16"/>
        <v>0</v>
      </c>
      <c r="S76" s="361">
        <f t="shared" si="16"/>
        <v>0</v>
      </c>
      <c r="T76" s="361">
        <f t="shared" si="16"/>
        <v>0</v>
      </c>
      <c r="U76" s="361">
        <f t="shared" si="16"/>
        <v>0</v>
      </c>
      <c r="V76" s="361">
        <f t="shared" si="16"/>
        <v>0</v>
      </c>
      <c r="W76" s="361">
        <f t="shared" si="16"/>
        <v>0</v>
      </c>
      <c r="X76" s="361">
        <f t="shared" si="16"/>
        <v>0</v>
      </c>
      <c r="Y76" s="361">
        <f t="shared" si="16"/>
        <v>0</v>
      </c>
      <c r="Z76" s="361">
        <f t="shared" si="16"/>
        <v>0</v>
      </c>
      <c r="AA76" s="361">
        <f t="shared" si="16"/>
        <v>0</v>
      </c>
      <c r="AB76" s="361">
        <f t="shared" si="16"/>
        <v>0</v>
      </c>
      <c r="AC76" s="361">
        <f t="shared" si="16"/>
        <v>0</v>
      </c>
      <c r="AD76" s="361">
        <f t="shared" si="16"/>
        <v>0</v>
      </c>
      <c r="AE76" s="361">
        <f t="shared" si="16"/>
        <v>0</v>
      </c>
      <c r="AF76" s="361">
        <f t="shared" si="16"/>
        <v>0</v>
      </c>
      <c r="AG76" s="361">
        <f t="shared" si="16"/>
        <v>0</v>
      </c>
      <c r="AH76" s="361">
        <f t="shared" si="16"/>
        <v>0</v>
      </c>
      <c r="AI76" s="361">
        <f t="shared" si="16"/>
        <v>0</v>
      </c>
      <c r="AJ76" s="361">
        <f t="shared" si="16"/>
        <v>0</v>
      </c>
      <c r="AK76" s="361">
        <f t="shared" si="16"/>
        <v>0</v>
      </c>
      <c r="AL76" s="361">
        <f t="shared" si="16"/>
        <v>0</v>
      </c>
      <c r="AM76" s="581"/>
    </row>
    <row r="77" spans="1:39" ht="13.5" thickBot="1">
      <c r="A77" s="601"/>
      <c r="B77" s="590"/>
      <c r="C77" s="593"/>
      <c r="D77" s="596"/>
      <c r="E77" s="587"/>
      <c r="F77" s="363">
        <f>F71+F74</f>
        <v>61935018</v>
      </c>
      <c r="G77" s="364" t="s">
        <v>125</v>
      </c>
      <c r="H77" s="365">
        <f aca="true" t="shared" si="17" ref="H77:AL77">H71+H73+H75</f>
        <v>12000000</v>
      </c>
      <c r="I77" s="366">
        <f t="shared" si="17"/>
        <v>19935018</v>
      </c>
      <c r="J77" s="366">
        <f t="shared" si="17"/>
        <v>15000000</v>
      </c>
      <c r="K77" s="366">
        <f t="shared" si="17"/>
        <v>15000000</v>
      </c>
      <c r="L77" s="366">
        <f t="shared" si="17"/>
        <v>0</v>
      </c>
      <c r="M77" s="366">
        <f t="shared" si="17"/>
        <v>0</v>
      </c>
      <c r="N77" s="366">
        <f t="shared" si="17"/>
        <v>0</v>
      </c>
      <c r="O77" s="366">
        <f t="shared" si="17"/>
        <v>0</v>
      </c>
      <c r="P77" s="366">
        <f t="shared" si="17"/>
        <v>0</v>
      </c>
      <c r="Q77" s="366">
        <f t="shared" si="17"/>
        <v>0</v>
      </c>
      <c r="R77" s="366">
        <f t="shared" si="17"/>
        <v>0</v>
      </c>
      <c r="S77" s="366">
        <f t="shared" si="17"/>
        <v>0</v>
      </c>
      <c r="T77" s="366">
        <f t="shared" si="17"/>
        <v>0</v>
      </c>
      <c r="U77" s="366">
        <f t="shared" si="17"/>
        <v>0</v>
      </c>
      <c r="V77" s="366">
        <f t="shared" si="17"/>
        <v>0</v>
      </c>
      <c r="W77" s="366">
        <f t="shared" si="17"/>
        <v>0</v>
      </c>
      <c r="X77" s="366">
        <f t="shared" si="17"/>
        <v>0</v>
      </c>
      <c r="Y77" s="366">
        <f t="shared" si="17"/>
        <v>0</v>
      </c>
      <c r="Z77" s="366">
        <f t="shared" si="17"/>
        <v>0</v>
      </c>
      <c r="AA77" s="366">
        <f t="shared" si="17"/>
        <v>0</v>
      </c>
      <c r="AB77" s="366">
        <f t="shared" si="17"/>
        <v>0</v>
      </c>
      <c r="AC77" s="366">
        <f t="shared" si="17"/>
        <v>0</v>
      </c>
      <c r="AD77" s="366">
        <f t="shared" si="17"/>
        <v>0</v>
      </c>
      <c r="AE77" s="366">
        <f t="shared" si="17"/>
        <v>0</v>
      </c>
      <c r="AF77" s="366">
        <f t="shared" si="17"/>
        <v>0</v>
      </c>
      <c r="AG77" s="366">
        <f t="shared" si="17"/>
        <v>0</v>
      </c>
      <c r="AH77" s="366">
        <f t="shared" si="17"/>
        <v>0</v>
      </c>
      <c r="AI77" s="366">
        <f t="shared" si="17"/>
        <v>0</v>
      </c>
      <c r="AJ77" s="366">
        <f t="shared" si="17"/>
        <v>0</v>
      </c>
      <c r="AK77" s="366">
        <f t="shared" si="17"/>
        <v>0</v>
      </c>
      <c r="AL77" s="366">
        <f t="shared" si="17"/>
        <v>0</v>
      </c>
      <c r="AM77" s="582"/>
    </row>
    <row r="78" spans="1:39" ht="12.75" customHeight="1">
      <c r="A78" s="599">
        <v>10</v>
      </c>
      <c r="B78" s="588" t="s">
        <v>197</v>
      </c>
      <c r="C78" s="591">
        <v>60016</v>
      </c>
      <c r="D78" s="594" t="s">
        <v>188</v>
      </c>
      <c r="E78" s="597">
        <v>2011</v>
      </c>
      <c r="F78" s="350" t="s">
        <v>113</v>
      </c>
      <c r="G78" s="351" t="s">
        <v>114</v>
      </c>
      <c r="H78" s="352"/>
      <c r="I78" s="353"/>
      <c r="J78" s="353"/>
      <c r="K78" s="353"/>
      <c r="L78" s="353"/>
      <c r="M78" s="353"/>
      <c r="N78" s="353"/>
      <c r="O78" s="353"/>
      <c r="P78" s="354"/>
      <c r="Q78" s="354"/>
      <c r="R78" s="354"/>
      <c r="S78" s="354"/>
      <c r="T78" s="354"/>
      <c r="U78" s="354"/>
      <c r="V78" s="354"/>
      <c r="W78" s="354"/>
      <c r="X78" s="354"/>
      <c r="Y78" s="354"/>
      <c r="Z78" s="354"/>
      <c r="AA78" s="354"/>
      <c r="AB78" s="354"/>
      <c r="AC78" s="354"/>
      <c r="AD78" s="354"/>
      <c r="AE78" s="354"/>
      <c r="AF78" s="354"/>
      <c r="AG78" s="354"/>
      <c r="AH78" s="354"/>
      <c r="AI78" s="354"/>
      <c r="AJ78" s="354"/>
      <c r="AK78" s="354"/>
      <c r="AL78" s="354"/>
      <c r="AM78" s="580">
        <f>SUM(J84:AL85)</f>
        <v>5000000</v>
      </c>
    </row>
    <row r="79" spans="1:39" ht="12.75">
      <c r="A79" s="600"/>
      <c r="B79" s="589"/>
      <c r="C79" s="592"/>
      <c r="D79" s="595"/>
      <c r="E79" s="586"/>
      <c r="F79" s="583">
        <f>SUM(H84:AL84)</f>
        <v>0</v>
      </c>
      <c r="G79" s="355" t="s">
        <v>115</v>
      </c>
      <c r="H79" s="356">
        <f>1400000</f>
        <v>1400000</v>
      </c>
      <c r="I79" s="357">
        <f>3000000-1000000</f>
        <v>2000000</v>
      </c>
      <c r="J79" s="357">
        <v>2500000</v>
      </c>
      <c r="K79" s="357">
        <v>2500000</v>
      </c>
      <c r="L79" s="357"/>
      <c r="M79" s="357"/>
      <c r="N79" s="357"/>
      <c r="O79" s="357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58"/>
      <c r="AL79" s="358"/>
      <c r="AM79" s="581"/>
    </row>
    <row r="80" spans="1:39" ht="12.75">
      <c r="A80" s="600"/>
      <c r="B80" s="589"/>
      <c r="C80" s="592"/>
      <c r="D80" s="595"/>
      <c r="E80" s="586"/>
      <c r="F80" s="584"/>
      <c r="G80" s="355" t="s">
        <v>116</v>
      </c>
      <c r="H80" s="356"/>
      <c r="I80" s="357"/>
      <c r="J80" s="357"/>
      <c r="K80" s="357"/>
      <c r="L80" s="357"/>
      <c r="M80" s="357"/>
      <c r="N80" s="357"/>
      <c r="O80" s="357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8"/>
      <c r="AK80" s="358"/>
      <c r="AL80" s="358"/>
      <c r="AM80" s="581"/>
    </row>
    <row r="81" spans="1:39" ht="12.75">
      <c r="A81" s="600"/>
      <c r="B81" s="589"/>
      <c r="C81" s="592"/>
      <c r="D81" s="595"/>
      <c r="E81" s="598"/>
      <c r="F81" s="359" t="s">
        <v>117</v>
      </c>
      <c r="G81" s="355" t="s">
        <v>118</v>
      </c>
      <c r="H81" s="356"/>
      <c r="I81" s="357"/>
      <c r="J81" s="357"/>
      <c r="K81" s="357"/>
      <c r="L81" s="357"/>
      <c r="M81" s="357"/>
      <c r="N81" s="357"/>
      <c r="O81" s="357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58"/>
      <c r="AL81" s="358"/>
      <c r="AM81" s="581"/>
    </row>
    <row r="82" spans="1:39" ht="12.75">
      <c r="A82" s="600"/>
      <c r="B82" s="589"/>
      <c r="C82" s="592"/>
      <c r="D82" s="595"/>
      <c r="E82" s="585">
        <v>2014</v>
      </c>
      <c r="F82" s="583">
        <f>SUM(H85:AL85)</f>
        <v>8400000</v>
      </c>
      <c r="G82" s="355" t="s">
        <v>122</v>
      </c>
      <c r="H82" s="356"/>
      <c r="I82" s="357"/>
      <c r="J82" s="357"/>
      <c r="K82" s="357"/>
      <c r="L82" s="357"/>
      <c r="M82" s="357"/>
      <c r="N82" s="357"/>
      <c r="O82" s="357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581"/>
    </row>
    <row r="83" spans="1:39" ht="12.75">
      <c r="A83" s="600"/>
      <c r="B83" s="589"/>
      <c r="C83" s="592"/>
      <c r="D83" s="595"/>
      <c r="E83" s="586"/>
      <c r="F83" s="584"/>
      <c r="G83" s="355" t="s">
        <v>123</v>
      </c>
      <c r="H83" s="356"/>
      <c r="I83" s="357"/>
      <c r="J83" s="357"/>
      <c r="K83" s="357"/>
      <c r="L83" s="357"/>
      <c r="M83" s="357"/>
      <c r="N83" s="357"/>
      <c r="O83" s="357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  <c r="AF83" s="358"/>
      <c r="AG83" s="358"/>
      <c r="AH83" s="358"/>
      <c r="AI83" s="358"/>
      <c r="AJ83" s="358"/>
      <c r="AK83" s="358"/>
      <c r="AL83" s="358"/>
      <c r="AM83" s="581"/>
    </row>
    <row r="84" spans="1:39" ht="12.75">
      <c r="A84" s="600"/>
      <c r="B84" s="589"/>
      <c r="C84" s="592"/>
      <c r="D84" s="595"/>
      <c r="E84" s="586"/>
      <c r="F84" s="359" t="s">
        <v>121</v>
      </c>
      <c r="G84" s="355" t="s">
        <v>124</v>
      </c>
      <c r="H84" s="360">
        <f aca="true" t="shared" si="18" ref="H84:AL84">H78+H80+H82</f>
        <v>0</v>
      </c>
      <c r="I84" s="361">
        <f t="shared" si="18"/>
        <v>0</v>
      </c>
      <c r="J84" s="361">
        <f t="shared" si="18"/>
        <v>0</v>
      </c>
      <c r="K84" s="361">
        <f t="shared" si="18"/>
        <v>0</v>
      </c>
      <c r="L84" s="361">
        <f t="shared" si="18"/>
        <v>0</v>
      </c>
      <c r="M84" s="361">
        <f t="shared" si="18"/>
        <v>0</v>
      </c>
      <c r="N84" s="361">
        <f t="shared" si="18"/>
        <v>0</v>
      </c>
      <c r="O84" s="361">
        <f t="shared" si="18"/>
        <v>0</v>
      </c>
      <c r="P84" s="361">
        <f t="shared" si="18"/>
        <v>0</v>
      </c>
      <c r="Q84" s="361">
        <f t="shared" si="18"/>
        <v>0</v>
      </c>
      <c r="R84" s="361">
        <f t="shared" si="18"/>
        <v>0</v>
      </c>
      <c r="S84" s="361">
        <f t="shared" si="18"/>
        <v>0</v>
      </c>
      <c r="T84" s="361">
        <f t="shared" si="18"/>
        <v>0</v>
      </c>
      <c r="U84" s="361">
        <f t="shared" si="18"/>
        <v>0</v>
      </c>
      <c r="V84" s="361">
        <f t="shared" si="18"/>
        <v>0</v>
      </c>
      <c r="W84" s="361">
        <f t="shared" si="18"/>
        <v>0</v>
      </c>
      <c r="X84" s="361">
        <f t="shared" si="18"/>
        <v>0</v>
      </c>
      <c r="Y84" s="361">
        <f t="shared" si="18"/>
        <v>0</v>
      </c>
      <c r="Z84" s="361">
        <f t="shared" si="18"/>
        <v>0</v>
      </c>
      <c r="AA84" s="361">
        <f t="shared" si="18"/>
        <v>0</v>
      </c>
      <c r="AB84" s="361">
        <f t="shared" si="18"/>
        <v>0</v>
      </c>
      <c r="AC84" s="361">
        <f t="shared" si="18"/>
        <v>0</v>
      </c>
      <c r="AD84" s="361">
        <f t="shared" si="18"/>
        <v>0</v>
      </c>
      <c r="AE84" s="361">
        <f t="shared" si="18"/>
        <v>0</v>
      </c>
      <c r="AF84" s="361">
        <f t="shared" si="18"/>
        <v>0</v>
      </c>
      <c r="AG84" s="361">
        <f t="shared" si="18"/>
        <v>0</v>
      </c>
      <c r="AH84" s="361">
        <f t="shared" si="18"/>
        <v>0</v>
      </c>
      <c r="AI84" s="361">
        <f t="shared" si="18"/>
        <v>0</v>
      </c>
      <c r="AJ84" s="361">
        <f t="shared" si="18"/>
        <v>0</v>
      </c>
      <c r="AK84" s="361">
        <f t="shared" si="18"/>
        <v>0</v>
      </c>
      <c r="AL84" s="361">
        <f t="shared" si="18"/>
        <v>0</v>
      </c>
      <c r="AM84" s="581"/>
    </row>
    <row r="85" spans="1:39" ht="13.5" thickBot="1">
      <c r="A85" s="601"/>
      <c r="B85" s="590"/>
      <c r="C85" s="593"/>
      <c r="D85" s="596"/>
      <c r="E85" s="587"/>
      <c r="F85" s="363">
        <f>F79+F82</f>
        <v>8400000</v>
      </c>
      <c r="G85" s="364" t="s">
        <v>125</v>
      </c>
      <c r="H85" s="365">
        <f aca="true" t="shared" si="19" ref="H85:AL85">H79+H81+H83</f>
        <v>1400000</v>
      </c>
      <c r="I85" s="366">
        <f t="shared" si="19"/>
        <v>2000000</v>
      </c>
      <c r="J85" s="366">
        <f t="shared" si="19"/>
        <v>2500000</v>
      </c>
      <c r="K85" s="366">
        <f t="shared" si="19"/>
        <v>2500000</v>
      </c>
      <c r="L85" s="366">
        <f t="shared" si="19"/>
        <v>0</v>
      </c>
      <c r="M85" s="366">
        <f t="shared" si="19"/>
        <v>0</v>
      </c>
      <c r="N85" s="366">
        <f t="shared" si="19"/>
        <v>0</v>
      </c>
      <c r="O85" s="366">
        <f t="shared" si="19"/>
        <v>0</v>
      </c>
      <c r="P85" s="366">
        <f t="shared" si="19"/>
        <v>0</v>
      </c>
      <c r="Q85" s="366">
        <f t="shared" si="19"/>
        <v>0</v>
      </c>
      <c r="R85" s="366">
        <f t="shared" si="19"/>
        <v>0</v>
      </c>
      <c r="S85" s="366">
        <f t="shared" si="19"/>
        <v>0</v>
      </c>
      <c r="T85" s="366">
        <f t="shared" si="19"/>
        <v>0</v>
      </c>
      <c r="U85" s="366">
        <f t="shared" si="19"/>
        <v>0</v>
      </c>
      <c r="V85" s="366">
        <f t="shared" si="19"/>
        <v>0</v>
      </c>
      <c r="W85" s="366">
        <f t="shared" si="19"/>
        <v>0</v>
      </c>
      <c r="X85" s="366">
        <f t="shared" si="19"/>
        <v>0</v>
      </c>
      <c r="Y85" s="366">
        <f t="shared" si="19"/>
        <v>0</v>
      </c>
      <c r="Z85" s="366">
        <f t="shared" si="19"/>
        <v>0</v>
      </c>
      <c r="AA85" s="366">
        <f t="shared" si="19"/>
        <v>0</v>
      </c>
      <c r="AB85" s="366">
        <f t="shared" si="19"/>
        <v>0</v>
      </c>
      <c r="AC85" s="366">
        <f t="shared" si="19"/>
        <v>0</v>
      </c>
      <c r="AD85" s="366">
        <f t="shared" si="19"/>
        <v>0</v>
      </c>
      <c r="AE85" s="366">
        <f t="shared" si="19"/>
        <v>0</v>
      </c>
      <c r="AF85" s="366">
        <f t="shared" si="19"/>
        <v>0</v>
      </c>
      <c r="AG85" s="366">
        <f t="shared" si="19"/>
        <v>0</v>
      </c>
      <c r="AH85" s="366">
        <f t="shared" si="19"/>
        <v>0</v>
      </c>
      <c r="AI85" s="366">
        <f t="shared" si="19"/>
        <v>0</v>
      </c>
      <c r="AJ85" s="366">
        <f t="shared" si="19"/>
        <v>0</v>
      </c>
      <c r="AK85" s="366">
        <f t="shared" si="19"/>
        <v>0</v>
      </c>
      <c r="AL85" s="366">
        <f t="shared" si="19"/>
        <v>0</v>
      </c>
      <c r="AM85" s="582"/>
    </row>
    <row r="86" spans="1:39" ht="12.75" customHeight="1">
      <c r="A86" s="599">
        <v>11</v>
      </c>
      <c r="B86" s="588" t="s">
        <v>198</v>
      </c>
      <c r="C86" s="591">
        <v>60016</v>
      </c>
      <c r="D86" s="594" t="s">
        <v>188</v>
      </c>
      <c r="E86" s="597">
        <v>2011</v>
      </c>
      <c r="F86" s="350" t="s">
        <v>113</v>
      </c>
      <c r="G86" s="351" t="s">
        <v>114</v>
      </c>
      <c r="H86" s="352"/>
      <c r="I86" s="353"/>
      <c r="J86" s="353"/>
      <c r="K86" s="353"/>
      <c r="L86" s="353"/>
      <c r="M86" s="353"/>
      <c r="N86" s="353"/>
      <c r="O86" s="353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354"/>
      <c r="AK86" s="354"/>
      <c r="AL86" s="354"/>
      <c r="AM86" s="580">
        <f>SUM(J92:AL93)</f>
        <v>2000000</v>
      </c>
    </row>
    <row r="87" spans="1:39" ht="12.75">
      <c r="A87" s="600"/>
      <c r="B87" s="589"/>
      <c r="C87" s="592"/>
      <c r="D87" s="595"/>
      <c r="E87" s="586"/>
      <c r="F87" s="583">
        <f>SUM(H92:AL92)</f>
        <v>0</v>
      </c>
      <c r="G87" s="355" t="s">
        <v>115</v>
      </c>
      <c r="H87" s="356">
        <f>50000</f>
        <v>50000</v>
      </c>
      <c r="I87" s="357">
        <f>1500000-1000000</f>
        <v>500000</v>
      </c>
      <c r="J87" s="357">
        <v>1000000</v>
      </c>
      <c r="K87" s="357">
        <v>1000000</v>
      </c>
      <c r="L87" s="357"/>
      <c r="M87" s="357"/>
      <c r="N87" s="357"/>
      <c r="O87" s="357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  <c r="AJ87" s="358"/>
      <c r="AK87" s="358"/>
      <c r="AL87" s="358"/>
      <c r="AM87" s="581"/>
    </row>
    <row r="88" spans="1:39" ht="12.75">
      <c r="A88" s="600"/>
      <c r="B88" s="589"/>
      <c r="C88" s="592"/>
      <c r="D88" s="595"/>
      <c r="E88" s="586"/>
      <c r="F88" s="584"/>
      <c r="G88" s="355" t="s">
        <v>116</v>
      </c>
      <c r="H88" s="356"/>
      <c r="I88" s="357"/>
      <c r="J88" s="357"/>
      <c r="K88" s="357"/>
      <c r="L88" s="357"/>
      <c r="M88" s="357"/>
      <c r="N88" s="357"/>
      <c r="O88" s="357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  <c r="AJ88" s="358"/>
      <c r="AK88" s="358"/>
      <c r="AL88" s="358"/>
      <c r="AM88" s="581"/>
    </row>
    <row r="89" spans="1:39" ht="12.75">
      <c r="A89" s="600"/>
      <c r="B89" s="589"/>
      <c r="C89" s="592"/>
      <c r="D89" s="595"/>
      <c r="E89" s="598"/>
      <c r="F89" s="359" t="s">
        <v>117</v>
      </c>
      <c r="G89" s="355" t="s">
        <v>118</v>
      </c>
      <c r="H89" s="356"/>
      <c r="I89" s="357"/>
      <c r="J89" s="357"/>
      <c r="K89" s="357"/>
      <c r="L89" s="357"/>
      <c r="M89" s="357"/>
      <c r="N89" s="357"/>
      <c r="O89" s="357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581"/>
    </row>
    <row r="90" spans="1:39" ht="12.75">
      <c r="A90" s="600"/>
      <c r="B90" s="589"/>
      <c r="C90" s="592"/>
      <c r="D90" s="595"/>
      <c r="E90" s="585">
        <v>2014</v>
      </c>
      <c r="F90" s="583">
        <f>SUM(H93:AL93)</f>
        <v>2550000</v>
      </c>
      <c r="G90" s="355" t="s">
        <v>122</v>
      </c>
      <c r="H90" s="356"/>
      <c r="I90" s="357"/>
      <c r="J90" s="357"/>
      <c r="K90" s="357"/>
      <c r="L90" s="357"/>
      <c r="M90" s="357"/>
      <c r="N90" s="357"/>
      <c r="O90" s="357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358"/>
      <c r="AG90" s="358"/>
      <c r="AH90" s="358"/>
      <c r="AI90" s="358"/>
      <c r="AJ90" s="358"/>
      <c r="AK90" s="358"/>
      <c r="AL90" s="358"/>
      <c r="AM90" s="581"/>
    </row>
    <row r="91" spans="1:39" ht="12.75">
      <c r="A91" s="600"/>
      <c r="B91" s="589"/>
      <c r="C91" s="592"/>
      <c r="D91" s="595"/>
      <c r="E91" s="586"/>
      <c r="F91" s="584"/>
      <c r="G91" s="355" t="s">
        <v>123</v>
      </c>
      <c r="H91" s="356"/>
      <c r="I91" s="357"/>
      <c r="J91" s="357"/>
      <c r="K91" s="357"/>
      <c r="L91" s="357"/>
      <c r="M91" s="357"/>
      <c r="N91" s="357"/>
      <c r="O91" s="357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581"/>
    </row>
    <row r="92" spans="1:39" ht="12.75">
      <c r="A92" s="600"/>
      <c r="B92" s="589"/>
      <c r="C92" s="592"/>
      <c r="D92" s="595"/>
      <c r="E92" s="586"/>
      <c r="F92" s="359" t="s">
        <v>121</v>
      </c>
      <c r="G92" s="355" t="s">
        <v>124</v>
      </c>
      <c r="H92" s="360">
        <f aca="true" t="shared" si="20" ref="H92:AL92">H86+H88+H90</f>
        <v>0</v>
      </c>
      <c r="I92" s="361">
        <f t="shared" si="20"/>
        <v>0</v>
      </c>
      <c r="J92" s="361">
        <f t="shared" si="20"/>
        <v>0</v>
      </c>
      <c r="K92" s="361">
        <f t="shared" si="20"/>
        <v>0</v>
      </c>
      <c r="L92" s="361">
        <f t="shared" si="20"/>
        <v>0</v>
      </c>
      <c r="M92" s="361">
        <f t="shared" si="20"/>
        <v>0</v>
      </c>
      <c r="N92" s="361">
        <f t="shared" si="20"/>
        <v>0</v>
      </c>
      <c r="O92" s="361">
        <f t="shared" si="20"/>
        <v>0</v>
      </c>
      <c r="P92" s="361">
        <f t="shared" si="20"/>
        <v>0</v>
      </c>
      <c r="Q92" s="361">
        <f t="shared" si="20"/>
        <v>0</v>
      </c>
      <c r="R92" s="361">
        <f t="shared" si="20"/>
        <v>0</v>
      </c>
      <c r="S92" s="361">
        <f t="shared" si="20"/>
        <v>0</v>
      </c>
      <c r="T92" s="361">
        <f t="shared" si="20"/>
        <v>0</v>
      </c>
      <c r="U92" s="361">
        <f t="shared" si="20"/>
        <v>0</v>
      </c>
      <c r="V92" s="361">
        <f t="shared" si="20"/>
        <v>0</v>
      </c>
      <c r="W92" s="361">
        <f t="shared" si="20"/>
        <v>0</v>
      </c>
      <c r="X92" s="361">
        <f t="shared" si="20"/>
        <v>0</v>
      </c>
      <c r="Y92" s="361">
        <f t="shared" si="20"/>
        <v>0</v>
      </c>
      <c r="Z92" s="361">
        <f t="shared" si="20"/>
        <v>0</v>
      </c>
      <c r="AA92" s="361">
        <f t="shared" si="20"/>
        <v>0</v>
      </c>
      <c r="AB92" s="361">
        <f t="shared" si="20"/>
        <v>0</v>
      </c>
      <c r="AC92" s="361">
        <f t="shared" si="20"/>
        <v>0</v>
      </c>
      <c r="AD92" s="361">
        <f t="shared" si="20"/>
        <v>0</v>
      </c>
      <c r="AE92" s="361">
        <f t="shared" si="20"/>
        <v>0</v>
      </c>
      <c r="AF92" s="361">
        <f t="shared" si="20"/>
        <v>0</v>
      </c>
      <c r="AG92" s="361">
        <f t="shared" si="20"/>
        <v>0</v>
      </c>
      <c r="AH92" s="361">
        <f t="shared" si="20"/>
        <v>0</v>
      </c>
      <c r="AI92" s="361">
        <f t="shared" si="20"/>
        <v>0</v>
      </c>
      <c r="AJ92" s="361">
        <f t="shared" si="20"/>
        <v>0</v>
      </c>
      <c r="AK92" s="361">
        <f t="shared" si="20"/>
        <v>0</v>
      </c>
      <c r="AL92" s="361">
        <f t="shared" si="20"/>
        <v>0</v>
      </c>
      <c r="AM92" s="581"/>
    </row>
    <row r="93" spans="1:39" ht="13.5" thickBot="1">
      <c r="A93" s="601"/>
      <c r="B93" s="590"/>
      <c r="C93" s="593"/>
      <c r="D93" s="596"/>
      <c r="E93" s="587"/>
      <c r="F93" s="363">
        <f>F87+F90</f>
        <v>2550000</v>
      </c>
      <c r="G93" s="364" t="s">
        <v>125</v>
      </c>
      <c r="H93" s="365">
        <f aca="true" t="shared" si="21" ref="H93:AL93">H87+H89+H91</f>
        <v>50000</v>
      </c>
      <c r="I93" s="366">
        <f t="shared" si="21"/>
        <v>500000</v>
      </c>
      <c r="J93" s="366">
        <f t="shared" si="21"/>
        <v>1000000</v>
      </c>
      <c r="K93" s="366">
        <f t="shared" si="21"/>
        <v>1000000</v>
      </c>
      <c r="L93" s="366">
        <f t="shared" si="21"/>
        <v>0</v>
      </c>
      <c r="M93" s="366">
        <f t="shared" si="21"/>
        <v>0</v>
      </c>
      <c r="N93" s="366">
        <f t="shared" si="21"/>
        <v>0</v>
      </c>
      <c r="O93" s="366">
        <f t="shared" si="21"/>
        <v>0</v>
      </c>
      <c r="P93" s="366">
        <f t="shared" si="21"/>
        <v>0</v>
      </c>
      <c r="Q93" s="366">
        <f t="shared" si="21"/>
        <v>0</v>
      </c>
      <c r="R93" s="366">
        <f t="shared" si="21"/>
        <v>0</v>
      </c>
      <c r="S93" s="366">
        <f t="shared" si="21"/>
        <v>0</v>
      </c>
      <c r="T93" s="366">
        <f t="shared" si="21"/>
        <v>0</v>
      </c>
      <c r="U93" s="366">
        <f t="shared" si="21"/>
        <v>0</v>
      </c>
      <c r="V93" s="366">
        <f t="shared" si="21"/>
        <v>0</v>
      </c>
      <c r="W93" s="366">
        <f t="shared" si="21"/>
        <v>0</v>
      </c>
      <c r="X93" s="366">
        <f t="shared" si="21"/>
        <v>0</v>
      </c>
      <c r="Y93" s="366">
        <f t="shared" si="21"/>
        <v>0</v>
      </c>
      <c r="Z93" s="366">
        <f t="shared" si="21"/>
        <v>0</v>
      </c>
      <c r="AA93" s="366">
        <f t="shared" si="21"/>
        <v>0</v>
      </c>
      <c r="AB93" s="366">
        <f t="shared" si="21"/>
        <v>0</v>
      </c>
      <c r="AC93" s="366">
        <f t="shared" si="21"/>
        <v>0</v>
      </c>
      <c r="AD93" s="366">
        <f t="shared" si="21"/>
        <v>0</v>
      </c>
      <c r="AE93" s="366">
        <f t="shared" si="21"/>
        <v>0</v>
      </c>
      <c r="AF93" s="366">
        <f t="shared" si="21"/>
        <v>0</v>
      </c>
      <c r="AG93" s="366">
        <f t="shared" si="21"/>
        <v>0</v>
      </c>
      <c r="AH93" s="366">
        <f t="shared" si="21"/>
        <v>0</v>
      </c>
      <c r="AI93" s="366">
        <f t="shared" si="21"/>
        <v>0</v>
      </c>
      <c r="AJ93" s="366">
        <f t="shared" si="21"/>
        <v>0</v>
      </c>
      <c r="AK93" s="366">
        <f t="shared" si="21"/>
        <v>0</v>
      </c>
      <c r="AL93" s="366">
        <f t="shared" si="21"/>
        <v>0</v>
      </c>
      <c r="AM93" s="582"/>
    </row>
    <row r="94" spans="1:39" ht="12.75" customHeight="1">
      <c r="A94" s="599">
        <v>12</v>
      </c>
      <c r="B94" s="588" t="s">
        <v>199</v>
      </c>
      <c r="C94" s="591">
        <v>60016</v>
      </c>
      <c r="D94" s="594" t="s">
        <v>188</v>
      </c>
      <c r="E94" s="597">
        <v>2011</v>
      </c>
      <c r="F94" s="350" t="s">
        <v>113</v>
      </c>
      <c r="G94" s="351" t="s">
        <v>200</v>
      </c>
      <c r="H94" s="352"/>
      <c r="I94" s="369"/>
      <c r="J94" s="369"/>
      <c r="K94" s="369"/>
      <c r="L94" s="369"/>
      <c r="M94" s="369"/>
      <c r="N94" s="369"/>
      <c r="O94" s="369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580">
        <f>SUM(J100:AL101)</f>
        <v>2550000</v>
      </c>
    </row>
    <row r="95" spans="1:39" ht="12.75">
      <c r="A95" s="600"/>
      <c r="B95" s="589"/>
      <c r="C95" s="592"/>
      <c r="D95" s="595"/>
      <c r="E95" s="586"/>
      <c r="F95" s="583">
        <f>SUM(H100:AL100)</f>
        <v>0</v>
      </c>
      <c r="G95" s="355" t="s">
        <v>201</v>
      </c>
      <c r="H95" s="356">
        <f>1415000</f>
        <v>1415000</v>
      </c>
      <c r="I95" s="357">
        <f>1400000-550000</f>
        <v>850000</v>
      </c>
      <c r="J95" s="357">
        <v>1000000</v>
      </c>
      <c r="K95" s="357">
        <v>1000000</v>
      </c>
      <c r="L95" s="357">
        <v>550000</v>
      </c>
      <c r="M95" s="357"/>
      <c r="N95" s="357"/>
      <c r="O95" s="357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358"/>
      <c r="AC95" s="358"/>
      <c r="AD95" s="358"/>
      <c r="AE95" s="358"/>
      <c r="AF95" s="358"/>
      <c r="AG95" s="358"/>
      <c r="AH95" s="358"/>
      <c r="AI95" s="358"/>
      <c r="AJ95" s="358"/>
      <c r="AK95" s="358"/>
      <c r="AL95" s="358"/>
      <c r="AM95" s="581"/>
    </row>
    <row r="96" spans="1:39" ht="12.75">
      <c r="A96" s="600"/>
      <c r="B96" s="589"/>
      <c r="C96" s="592"/>
      <c r="D96" s="595"/>
      <c r="E96" s="586"/>
      <c r="F96" s="584"/>
      <c r="G96" s="355" t="s">
        <v>116</v>
      </c>
      <c r="H96" s="356"/>
      <c r="I96" s="357"/>
      <c r="J96" s="357"/>
      <c r="K96" s="357"/>
      <c r="L96" s="357"/>
      <c r="M96" s="357"/>
      <c r="N96" s="357"/>
      <c r="O96" s="357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8"/>
      <c r="AI96" s="358"/>
      <c r="AJ96" s="358"/>
      <c r="AK96" s="358"/>
      <c r="AL96" s="358"/>
      <c r="AM96" s="581"/>
    </row>
    <row r="97" spans="1:39" ht="12.75">
      <c r="A97" s="600"/>
      <c r="B97" s="589"/>
      <c r="C97" s="592"/>
      <c r="D97" s="595"/>
      <c r="E97" s="598"/>
      <c r="F97" s="359" t="s">
        <v>117</v>
      </c>
      <c r="G97" s="355" t="s">
        <v>118</v>
      </c>
      <c r="H97" s="356"/>
      <c r="I97" s="357"/>
      <c r="J97" s="357"/>
      <c r="K97" s="357"/>
      <c r="L97" s="357"/>
      <c r="M97" s="357"/>
      <c r="N97" s="357"/>
      <c r="O97" s="357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8"/>
      <c r="AD97" s="358"/>
      <c r="AE97" s="358"/>
      <c r="AF97" s="358"/>
      <c r="AG97" s="358"/>
      <c r="AH97" s="358"/>
      <c r="AI97" s="358"/>
      <c r="AJ97" s="358"/>
      <c r="AK97" s="358"/>
      <c r="AL97" s="358"/>
      <c r="AM97" s="581"/>
    </row>
    <row r="98" spans="1:39" ht="12.75">
      <c r="A98" s="600"/>
      <c r="B98" s="589"/>
      <c r="C98" s="592"/>
      <c r="D98" s="595"/>
      <c r="E98" s="585">
        <v>2014</v>
      </c>
      <c r="F98" s="583">
        <f>SUM(H101:AL101)</f>
        <v>4815000</v>
      </c>
      <c r="G98" s="355" t="s">
        <v>122</v>
      </c>
      <c r="H98" s="356"/>
      <c r="I98" s="357"/>
      <c r="J98" s="357"/>
      <c r="K98" s="357"/>
      <c r="L98" s="357"/>
      <c r="M98" s="357"/>
      <c r="N98" s="357"/>
      <c r="O98" s="357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  <c r="AA98" s="358"/>
      <c r="AB98" s="358"/>
      <c r="AC98" s="358"/>
      <c r="AD98" s="358"/>
      <c r="AE98" s="358"/>
      <c r="AF98" s="358"/>
      <c r="AG98" s="358"/>
      <c r="AH98" s="358"/>
      <c r="AI98" s="358"/>
      <c r="AJ98" s="358"/>
      <c r="AK98" s="358"/>
      <c r="AL98" s="358"/>
      <c r="AM98" s="581"/>
    </row>
    <row r="99" spans="1:39" ht="12.75">
      <c r="A99" s="600"/>
      <c r="B99" s="589"/>
      <c r="C99" s="592"/>
      <c r="D99" s="595"/>
      <c r="E99" s="586"/>
      <c r="F99" s="584"/>
      <c r="G99" s="355" t="s">
        <v>123</v>
      </c>
      <c r="H99" s="356"/>
      <c r="I99" s="357"/>
      <c r="J99" s="357"/>
      <c r="K99" s="357"/>
      <c r="L99" s="357"/>
      <c r="M99" s="357"/>
      <c r="N99" s="357"/>
      <c r="O99" s="357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  <c r="AJ99" s="358"/>
      <c r="AK99" s="358"/>
      <c r="AL99" s="358"/>
      <c r="AM99" s="581"/>
    </row>
    <row r="100" spans="1:39" ht="12.75">
      <c r="A100" s="600"/>
      <c r="B100" s="589"/>
      <c r="C100" s="592"/>
      <c r="D100" s="595"/>
      <c r="E100" s="586"/>
      <c r="F100" s="359" t="s">
        <v>121</v>
      </c>
      <c r="G100" s="355" t="s">
        <v>124</v>
      </c>
      <c r="H100" s="360">
        <f aca="true" t="shared" si="22" ref="H100:AL100">H94+H96+H98</f>
        <v>0</v>
      </c>
      <c r="I100" s="361">
        <f t="shared" si="22"/>
        <v>0</v>
      </c>
      <c r="J100" s="361">
        <f t="shared" si="22"/>
        <v>0</v>
      </c>
      <c r="K100" s="361">
        <f t="shared" si="22"/>
        <v>0</v>
      </c>
      <c r="L100" s="361">
        <f t="shared" si="22"/>
        <v>0</v>
      </c>
      <c r="M100" s="361">
        <f t="shared" si="22"/>
        <v>0</v>
      </c>
      <c r="N100" s="361">
        <f t="shared" si="22"/>
        <v>0</v>
      </c>
      <c r="O100" s="361">
        <f t="shared" si="22"/>
        <v>0</v>
      </c>
      <c r="P100" s="361">
        <f t="shared" si="22"/>
        <v>0</v>
      </c>
      <c r="Q100" s="361">
        <f t="shared" si="22"/>
        <v>0</v>
      </c>
      <c r="R100" s="361">
        <f t="shared" si="22"/>
        <v>0</v>
      </c>
      <c r="S100" s="361">
        <f t="shared" si="22"/>
        <v>0</v>
      </c>
      <c r="T100" s="361">
        <f t="shared" si="22"/>
        <v>0</v>
      </c>
      <c r="U100" s="361">
        <f t="shared" si="22"/>
        <v>0</v>
      </c>
      <c r="V100" s="361">
        <f t="shared" si="22"/>
        <v>0</v>
      </c>
      <c r="W100" s="361">
        <f t="shared" si="22"/>
        <v>0</v>
      </c>
      <c r="X100" s="361">
        <f t="shared" si="22"/>
        <v>0</v>
      </c>
      <c r="Y100" s="361">
        <f t="shared" si="22"/>
        <v>0</v>
      </c>
      <c r="Z100" s="361">
        <f t="shared" si="22"/>
        <v>0</v>
      </c>
      <c r="AA100" s="361">
        <f t="shared" si="22"/>
        <v>0</v>
      </c>
      <c r="AB100" s="361">
        <f t="shared" si="22"/>
        <v>0</v>
      </c>
      <c r="AC100" s="361">
        <f t="shared" si="22"/>
        <v>0</v>
      </c>
      <c r="AD100" s="361">
        <f t="shared" si="22"/>
        <v>0</v>
      </c>
      <c r="AE100" s="361">
        <f t="shared" si="22"/>
        <v>0</v>
      </c>
      <c r="AF100" s="361">
        <f t="shared" si="22"/>
        <v>0</v>
      </c>
      <c r="AG100" s="361">
        <f t="shared" si="22"/>
        <v>0</v>
      </c>
      <c r="AH100" s="361">
        <f t="shared" si="22"/>
        <v>0</v>
      </c>
      <c r="AI100" s="361">
        <f t="shared" si="22"/>
        <v>0</v>
      </c>
      <c r="AJ100" s="361">
        <f t="shared" si="22"/>
        <v>0</v>
      </c>
      <c r="AK100" s="361">
        <f t="shared" si="22"/>
        <v>0</v>
      </c>
      <c r="AL100" s="361">
        <f t="shared" si="22"/>
        <v>0</v>
      </c>
      <c r="AM100" s="581"/>
    </row>
    <row r="101" spans="1:39" ht="13.5" thickBot="1">
      <c r="A101" s="601"/>
      <c r="B101" s="589"/>
      <c r="C101" s="592"/>
      <c r="D101" s="595"/>
      <c r="E101" s="586"/>
      <c r="F101" s="363">
        <f>F95+F98</f>
        <v>4815000</v>
      </c>
      <c r="G101" s="372" t="s">
        <v>125</v>
      </c>
      <c r="H101" s="365">
        <f aca="true" t="shared" si="23" ref="H101:AL101">H95+H97+H99</f>
        <v>1415000</v>
      </c>
      <c r="I101" s="373">
        <f t="shared" si="23"/>
        <v>850000</v>
      </c>
      <c r="J101" s="366">
        <f t="shared" si="23"/>
        <v>1000000</v>
      </c>
      <c r="K101" s="366">
        <f t="shared" si="23"/>
        <v>1000000</v>
      </c>
      <c r="L101" s="366">
        <f t="shared" si="23"/>
        <v>550000</v>
      </c>
      <c r="M101" s="371">
        <f t="shared" si="23"/>
        <v>0</v>
      </c>
      <c r="N101" s="371">
        <f t="shared" si="23"/>
        <v>0</v>
      </c>
      <c r="O101" s="371">
        <f t="shared" si="23"/>
        <v>0</v>
      </c>
      <c r="P101" s="371">
        <f t="shared" si="23"/>
        <v>0</v>
      </c>
      <c r="Q101" s="371">
        <f t="shared" si="23"/>
        <v>0</v>
      </c>
      <c r="R101" s="371">
        <f t="shared" si="23"/>
        <v>0</v>
      </c>
      <c r="S101" s="371">
        <f t="shared" si="23"/>
        <v>0</v>
      </c>
      <c r="T101" s="371">
        <f t="shared" si="23"/>
        <v>0</v>
      </c>
      <c r="U101" s="371">
        <f t="shared" si="23"/>
        <v>0</v>
      </c>
      <c r="V101" s="371">
        <f t="shared" si="23"/>
        <v>0</v>
      </c>
      <c r="W101" s="371">
        <f t="shared" si="23"/>
        <v>0</v>
      </c>
      <c r="X101" s="371">
        <f t="shared" si="23"/>
        <v>0</v>
      </c>
      <c r="Y101" s="371">
        <f t="shared" si="23"/>
        <v>0</v>
      </c>
      <c r="Z101" s="371">
        <f t="shared" si="23"/>
        <v>0</v>
      </c>
      <c r="AA101" s="371">
        <f t="shared" si="23"/>
        <v>0</v>
      </c>
      <c r="AB101" s="371">
        <f t="shared" si="23"/>
        <v>0</v>
      </c>
      <c r="AC101" s="371">
        <f t="shared" si="23"/>
        <v>0</v>
      </c>
      <c r="AD101" s="371">
        <f t="shared" si="23"/>
        <v>0</v>
      </c>
      <c r="AE101" s="371">
        <f t="shared" si="23"/>
        <v>0</v>
      </c>
      <c r="AF101" s="371">
        <f t="shared" si="23"/>
        <v>0</v>
      </c>
      <c r="AG101" s="371">
        <f t="shared" si="23"/>
        <v>0</v>
      </c>
      <c r="AH101" s="371">
        <f t="shared" si="23"/>
        <v>0</v>
      </c>
      <c r="AI101" s="371">
        <f t="shared" si="23"/>
        <v>0</v>
      </c>
      <c r="AJ101" s="371">
        <f t="shared" si="23"/>
        <v>0</v>
      </c>
      <c r="AK101" s="371">
        <f t="shared" si="23"/>
        <v>0</v>
      </c>
      <c r="AL101" s="371">
        <f t="shared" si="23"/>
        <v>0</v>
      </c>
      <c r="AM101" s="582"/>
    </row>
    <row r="102" spans="1:39" ht="12.75" customHeight="1">
      <c r="A102" s="599">
        <v>13</v>
      </c>
      <c r="B102" s="588" t="s">
        <v>195</v>
      </c>
      <c r="C102" s="591">
        <v>60016</v>
      </c>
      <c r="D102" s="594" t="s">
        <v>188</v>
      </c>
      <c r="E102" s="597">
        <v>2011</v>
      </c>
      <c r="F102" s="350" t="s">
        <v>113</v>
      </c>
      <c r="G102" s="351" t="s">
        <v>200</v>
      </c>
      <c r="H102" s="352"/>
      <c r="I102" s="369"/>
      <c r="J102" s="369"/>
      <c r="K102" s="369"/>
      <c r="L102" s="369"/>
      <c r="M102" s="369"/>
      <c r="N102" s="369"/>
      <c r="O102" s="369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  <c r="AH102" s="370"/>
      <c r="AI102" s="370"/>
      <c r="AJ102" s="370"/>
      <c r="AK102" s="370"/>
      <c r="AL102" s="370"/>
      <c r="AM102" s="580">
        <f>SUM(J108:AL109)</f>
        <v>2000000</v>
      </c>
    </row>
    <row r="103" spans="1:39" ht="12.75">
      <c r="A103" s="600"/>
      <c r="B103" s="589"/>
      <c r="C103" s="592"/>
      <c r="D103" s="595"/>
      <c r="E103" s="586"/>
      <c r="F103" s="583">
        <f>SUM(H108:AL108)</f>
        <v>0</v>
      </c>
      <c r="G103" s="355" t="s">
        <v>201</v>
      </c>
      <c r="H103" s="356">
        <v>2000000</v>
      </c>
      <c r="I103" s="357">
        <v>2500000</v>
      </c>
      <c r="J103" s="357">
        <v>1000000</v>
      </c>
      <c r="K103" s="357">
        <v>1000000</v>
      </c>
      <c r="L103" s="357"/>
      <c r="M103" s="357"/>
      <c r="N103" s="357"/>
      <c r="O103" s="357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581"/>
    </row>
    <row r="104" spans="1:39" ht="12.75">
      <c r="A104" s="600"/>
      <c r="B104" s="589"/>
      <c r="C104" s="592"/>
      <c r="D104" s="595"/>
      <c r="E104" s="586"/>
      <c r="F104" s="584"/>
      <c r="G104" s="355" t="s">
        <v>116</v>
      </c>
      <c r="H104" s="356"/>
      <c r="I104" s="357"/>
      <c r="J104" s="357"/>
      <c r="K104" s="357"/>
      <c r="L104" s="357"/>
      <c r="M104" s="357"/>
      <c r="N104" s="357"/>
      <c r="O104" s="357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  <c r="AA104" s="358"/>
      <c r="AB104" s="358"/>
      <c r="AC104" s="358"/>
      <c r="AD104" s="358"/>
      <c r="AE104" s="358"/>
      <c r="AF104" s="358"/>
      <c r="AG104" s="358"/>
      <c r="AH104" s="358"/>
      <c r="AI104" s="358"/>
      <c r="AJ104" s="358"/>
      <c r="AK104" s="358"/>
      <c r="AL104" s="358"/>
      <c r="AM104" s="581"/>
    </row>
    <row r="105" spans="1:39" ht="12.75">
      <c r="A105" s="600"/>
      <c r="B105" s="589"/>
      <c r="C105" s="592"/>
      <c r="D105" s="595"/>
      <c r="E105" s="598"/>
      <c r="F105" s="359" t="s">
        <v>117</v>
      </c>
      <c r="G105" s="355" t="s">
        <v>118</v>
      </c>
      <c r="H105" s="356"/>
      <c r="I105" s="357"/>
      <c r="J105" s="357"/>
      <c r="K105" s="357"/>
      <c r="L105" s="357"/>
      <c r="M105" s="357"/>
      <c r="N105" s="357"/>
      <c r="O105" s="357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581"/>
    </row>
    <row r="106" spans="1:39" ht="12.75">
      <c r="A106" s="600"/>
      <c r="B106" s="589"/>
      <c r="C106" s="592"/>
      <c r="D106" s="595"/>
      <c r="E106" s="585">
        <v>2014</v>
      </c>
      <c r="F106" s="583">
        <f>SUM(H109:AL109)</f>
        <v>6500000</v>
      </c>
      <c r="G106" s="355" t="s">
        <v>122</v>
      </c>
      <c r="H106" s="356"/>
      <c r="I106" s="357"/>
      <c r="J106" s="357"/>
      <c r="K106" s="357"/>
      <c r="L106" s="357"/>
      <c r="M106" s="357"/>
      <c r="N106" s="357"/>
      <c r="O106" s="357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58"/>
      <c r="AF106" s="358"/>
      <c r="AG106" s="358"/>
      <c r="AH106" s="358"/>
      <c r="AI106" s="358"/>
      <c r="AJ106" s="358"/>
      <c r="AK106" s="358"/>
      <c r="AL106" s="358"/>
      <c r="AM106" s="581"/>
    </row>
    <row r="107" spans="1:39" ht="12.75">
      <c r="A107" s="600"/>
      <c r="B107" s="589"/>
      <c r="C107" s="592"/>
      <c r="D107" s="595"/>
      <c r="E107" s="586"/>
      <c r="F107" s="584"/>
      <c r="G107" s="355" t="s">
        <v>123</v>
      </c>
      <c r="H107" s="356"/>
      <c r="I107" s="357"/>
      <c r="J107" s="357"/>
      <c r="K107" s="357"/>
      <c r="L107" s="357"/>
      <c r="M107" s="357"/>
      <c r="N107" s="357"/>
      <c r="O107" s="357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58"/>
      <c r="AF107" s="358"/>
      <c r="AG107" s="358"/>
      <c r="AH107" s="358"/>
      <c r="AI107" s="358"/>
      <c r="AJ107" s="358"/>
      <c r="AK107" s="358"/>
      <c r="AL107" s="358"/>
      <c r="AM107" s="581"/>
    </row>
    <row r="108" spans="1:39" ht="12.75">
      <c r="A108" s="600"/>
      <c r="B108" s="589"/>
      <c r="C108" s="592"/>
      <c r="D108" s="595"/>
      <c r="E108" s="586"/>
      <c r="F108" s="359" t="s">
        <v>121</v>
      </c>
      <c r="G108" s="355" t="s">
        <v>124</v>
      </c>
      <c r="H108" s="360">
        <f aca="true" t="shared" si="24" ref="H108:AL108">H102+H104+H106</f>
        <v>0</v>
      </c>
      <c r="I108" s="361">
        <f t="shared" si="24"/>
        <v>0</v>
      </c>
      <c r="J108" s="361">
        <f t="shared" si="24"/>
        <v>0</v>
      </c>
      <c r="K108" s="361">
        <f t="shared" si="24"/>
        <v>0</v>
      </c>
      <c r="L108" s="361">
        <f t="shared" si="24"/>
        <v>0</v>
      </c>
      <c r="M108" s="361">
        <f t="shared" si="24"/>
        <v>0</v>
      </c>
      <c r="N108" s="361">
        <f t="shared" si="24"/>
        <v>0</v>
      </c>
      <c r="O108" s="361">
        <f t="shared" si="24"/>
        <v>0</v>
      </c>
      <c r="P108" s="361">
        <f t="shared" si="24"/>
        <v>0</v>
      </c>
      <c r="Q108" s="361">
        <f t="shared" si="24"/>
        <v>0</v>
      </c>
      <c r="R108" s="361">
        <f t="shared" si="24"/>
        <v>0</v>
      </c>
      <c r="S108" s="361">
        <f t="shared" si="24"/>
        <v>0</v>
      </c>
      <c r="T108" s="361">
        <f t="shared" si="24"/>
        <v>0</v>
      </c>
      <c r="U108" s="361">
        <f t="shared" si="24"/>
        <v>0</v>
      </c>
      <c r="V108" s="361">
        <f t="shared" si="24"/>
        <v>0</v>
      </c>
      <c r="W108" s="361">
        <f t="shared" si="24"/>
        <v>0</v>
      </c>
      <c r="X108" s="361">
        <f t="shared" si="24"/>
        <v>0</v>
      </c>
      <c r="Y108" s="361">
        <f t="shared" si="24"/>
        <v>0</v>
      </c>
      <c r="Z108" s="361">
        <f t="shared" si="24"/>
        <v>0</v>
      </c>
      <c r="AA108" s="361">
        <f t="shared" si="24"/>
        <v>0</v>
      </c>
      <c r="AB108" s="361">
        <f t="shared" si="24"/>
        <v>0</v>
      </c>
      <c r="AC108" s="361">
        <f t="shared" si="24"/>
        <v>0</v>
      </c>
      <c r="AD108" s="361">
        <f t="shared" si="24"/>
        <v>0</v>
      </c>
      <c r="AE108" s="361">
        <f t="shared" si="24"/>
        <v>0</v>
      </c>
      <c r="AF108" s="361">
        <f t="shared" si="24"/>
        <v>0</v>
      </c>
      <c r="AG108" s="361">
        <f t="shared" si="24"/>
        <v>0</v>
      </c>
      <c r="AH108" s="361">
        <f t="shared" si="24"/>
        <v>0</v>
      </c>
      <c r="AI108" s="361">
        <f t="shared" si="24"/>
        <v>0</v>
      </c>
      <c r="AJ108" s="361">
        <f t="shared" si="24"/>
        <v>0</v>
      </c>
      <c r="AK108" s="361">
        <f t="shared" si="24"/>
        <v>0</v>
      </c>
      <c r="AL108" s="361">
        <f t="shared" si="24"/>
        <v>0</v>
      </c>
      <c r="AM108" s="581"/>
    </row>
    <row r="109" spans="1:39" ht="13.5" thickBot="1">
      <c r="A109" s="601"/>
      <c r="B109" s="590"/>
      <c r="C109" s="592"/>
      <c r="D109" s="595"/>
      <c r="E109" s="586"/>
      <c r="F109" s="363">
        <f>F103+F106</f>
        <v>6500000</v>
      </c>
      <c r="G109" s="372" t="s">
        <v>125</v>
      </c>
      <c r="H109" s="365">
        <f aca="true" t="shared" si="25" ref="H109:AL109">H103+H105+H107</f>
        <v>2000000</v>
      </c>
      <c r="I109" s="371">
        <f t="shared" si="25"/>
        <v>2500000</v>
      </c>
      <c r="J109" s="371">
        <f t="shared" si="25"/>
        <v>1000000</v>
      </c>
      <c r="K109" s="371">
        <f t="shared" si="25"/>
        <v>1000000</v>
      </c>
      <c r="L109" s="371">
        <f t="shared" si="25"/>
        <v>0</v>
      </c>
      <c r="M109" s="371">
        <f t="shared" si="25"/>
        <v>0</v>
      </c>
      <c r="N109" s="371">
        <f t="shared" si="25"/>
        <v>0</v>
      </c>
      <c r="O109" s="371">
        <f t="shared" si="25"/>
        <v>0</v>
      </c>
      <c r="P109" s="371">
        <f t="shared" si="25"/>
        <v>0</v>
      </c>
      <c r="Q109" s="371">
        <f t="shared" si="25"/>
        <v>0</v>
      </c>
      <c r="R109" s="371">
        <f t="shared" si="25"/>
        <v>0</v>
      </c>
      <c r="S109" s="371">
        <f t="shared" si="25"/>
        <v>0</v>
      </c>
      <c r="T109" s="371">
        <f t="shared" si="25"/>
        <v>0</v>
      </c>
      <c r="U109" s="371">
        <f t="shared" si="25"/>
        <v>0</v>
      </c>
      <c r="V109" s="371">
        <f t="shared" si="25"/>
        <v>0</v>
      </c>
      <c r="W109" s="371">
        <f t="shared" si="25"/>
        <v>0</v>
      </c>
      <c r="X109" s="371">
        <f t="shared" si="25"/>
        <v>0</v>
      </c>
      <c r="Y109" s="371">
        <f t="shared" si="25"/>
        <v>0</v>
      </c>
      <c r="Z109" s="371">
        <f t="shared" si="25"/>
        <v>0</v>
      </c>
      <c r="AA109" s="371">
        <f t="shared" si="25"/>
        <v>0</v>
      </c>
      <c r="AB109" s="371">
        <f t="shared" si="25"/>
        <v>0</v>
      </c>
      <c r="AC109" s="371">
        <f t="shared" si="25"/>
        <v>0</v>
      </c>
      <c r="AD109" s="371">
        <f t="shared" si="25"/>
        <v>0</v>
      </c>
      <c r="AE109" s="371">
        <f t="shared" si="25"/>
        <v>0</v>
      </c>
      <c r="AF109" s="371">
        <f t="shared" si="25"/>
        <v>0</v>
      </c>
      <c r="AG109" s="371">
        <f t="shared" si="25"/>
        <v>0</v>
      </c>
      <c r="AH109" s="371">
        <f t="shared" si="25"/>
        <v>0</v>
      </c>
      <c r="AI109" s="371">
        <f t="shared" si="25"/>
        <v>0</v>
      </c>
      <c r="AJ109" s="371">
        <f t="shared" si="25"/>
        <v>0</v>
      </c>
      <c r="AK109" s="371">
        <f t="shared" si="25"/>
        <v>0</v>
      </c>
      <c r="AL109" s="371">
        <f t="shared" si="25"/>
        <v>0</v>
      </c>
      <c r="AM109" s="582"/>
    </row>
    <row r="110" spans="1:39" ht="12.75" customHeight="1">
      <c r="A110" s="599">
        <v>14</v>
      </c>
      <c r="B110" s="588" t="s">
        <v>202</v>
      </c>
      <c r="C110" s="591">
        <v>60095</v>
      </c>
      <c r="D110" s="594" t="s">
        <v>188</v>
      </c>
      <c r="E110" s="597">
        <v>2011</v>
      </c>
      <c r="F110" s="350" t="s">
        <v>113</v>
      </c>
      <c r="G110" s="351" t="s">
        <v>114</v>
      </c>
      <c r="H110" s="352"/>
      <c r="I110" s="353"/>
      <c r="J110" s="353"/>
      <c r="K110" s="353"/>
      <c r="L110" s="353"/>
      <c r="M110" s="353"/>
      <c r="N110" s="353"/>
      <c r="O110" s="353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4"/>
      <c r="AH110" s="354"/>
      <c r="AI110" s="354"/>
      <c r="AJ110" s="354"/>
      <c r="AK110" s="354"/>
      <c r="AL110" s="354"/>
      <c r="AM110" s="580">
        <f>SUM(J116:AL117)</f>
        <v>8480000</v>
      </c>
    </row>
    <row r="111" spans="1:39" ht="12.75">
      <c r="A111" s="600"/>
      <c r="B111" s="589"/>
      <c r="C111" s="592"/>
      <c r="D111" s="595"/>
      <c r="E111" s="586"/>
      <c r="F111" s="583">
        <f>SUM(H116:AL116)</f>
        <v>0</v>
      </c>
      <c r="G111" s="355" t="s">
        <v>115</v>
      </c>
      <c r="H111" s="356">
        <f>25970000</f>
        <v>25970000</v>
      </c>
      <c r="I111" s="357">
        <f>20809000+8000000</f>
        <v>28809000</v>
      </c>
      <c r="J111" s="357">
        <v>8480000</v>
      </c>
      <c r="K111" s="357"/>
      <c r="L111" s="357"/>
      <c r="M111" s="357"/>
      <c r="N111" s="357"/>
      <c r="O111" s="357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8"/>
      <c r="AD111" s="358"/>
      <c r="AE111" s="358"/>
      <c r="AF111" s="358"/>
      <c r="AG111" s="358"/>
      <c r="AH111" s="358"/>
      <c r="AI111" s="358"/>
      <c r="AJ111" s="358"/>
      <c r="AK111" s="358"/>
      <c r="AL111" s="358"/>
      <c r="AM111" s="581"/>
    </row>
    <row r="112" spans="1:39" ht="11.25" customHeight="1">
      <c r="A112" s="600"/>
      <c r="B112" s="589"/>
      <c r="C112" s="592"/>
      <c r="D112" s="595"/>
      <c r="E112" s="586"/>
      <c r="F112" s="584"/>
      <c r="G112" s="355" t="s">
        <v>116</v>
      </c>
      <c r="H112" s="356"/>
      <c r="I112" s="357"/>
      <c r="J112" s="357"/>
      <c r="K112" s="357"/>
      <c r="L112" s="357"/>
      <c r="M112" s="357"/>
      <c r="N112" s="357"/>
      <c r="O112" s="357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  <c r="AJ112" s="358"/>
      <c r="AK112" s="358"/>
      <c r="AL112" s="358"/>
      <c r="AM112" s="581"/>
    </row>
    <row r="113" spans="1:39" ht="12.75">
      <c r="A113" s="600"/>
      <c r="B113" s="589"/>
      <c r="C113" s="592"/>
      <c r="D113" s="595"/>
      <c r="E113" s="598"/>
      <c r="F113" s="359" t="s">
        <v>117</v>
      </c>
      <c r="G113" s="355" t="s">
        <v>118</v>
      </c>
      <c r="H113" s="356"/>
      <c r="I113" s="357"/>
      <c r="J113" s="357"/>
      <c r="K113" s="357"/>
      <c r="L113" s="357"/>
      <c r="M113" s="357"/>
      <c r="N113" s="357"/>
      <c r="O113" s="357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8"/>
      <c r="AD113" s="358"/>
      <c r="AE113" s="358"/>
      <c r="AF113" s="358"/>
      <c r="AG113" s="358"/>
      <c r="AH113" s="358"/>
      <c r="AI113" s="358"/>
      <c r="AJ113" s="358"/>
      <c r="AK113" s="358"/>
      <c r="AL113" s="358"/>
      <c r="AM113" s="581"/>
    </row>
    <row r="114" spans="1:39" ht="12.75">
      <c r="A114" s="600"/>
      <c r="B114" s="589"/>
      <c r="C114" s="592"/>
      <c r="D114" s="595"/>
      <c r="E114" s="585">
        <v>2013</v>
      </c>
      <c r="F114" s="583">
        <f>SUM(H117:AL117)</f>
        <v>63259000</v>
      </c>
      <c r="G114" s="355" t="s">
        <v>122</v>
      </c>
      <c r="H114" s="356"/>
      <c r="I114" s="357"/>
      <c r="J114" s="357"/>
      <c r="K114" s="357"/>
      <c r="L114" s="357"/>
      <c r="M114" s="357"/>
      <c r="N114" s="357"/>
      <c r="O114" s="357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8"/>
      <c r="AM114" s="581"/>
    </row>
    <row r="115" spans="1:39" ht="12.75">
      <c r="A115" s="600"/>
      <c r="B115" s="589"/>
      <c r="C115" s="592"/>
      <c r="D115" s="595"/>
      <c r="E115" s="586"/>
      <c r="F115" s="584"/>
      <c r="G115" s="355" t="s">
        <v>123</v>
      </c>
      <c r="H115" s="356"/>
      <c r="I115" s="357"/>
      <c r="J115" s="357"/>
      <c r="K115" s="357"/>
      <c r="L115" s="357"/>
      <c r="M115" s="357"/>
      <c r="N115" s="357"/>
      <c r="O115" s="357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58"/>
      <c r="AL115" s="358"/>
      <c r="AM115" s="581"/>
    </row>
    <row r="116" spans="1:39" ht="12.75">
      <c r="A116" s="600"/>
      <c r="B116" s="589"/>
      <c r="C116" s="592"/>
      <c r="D116" s="595"/>
      <c r="E116" s="586"/>
      <c r="F116" s="359" t="s">
        <v>121</v>
      </c>
      <c r="G116" s="355" t="s">
        <v>124</v>
      </c>
      <c r="H116" s="360">
        <f aca="true" t="shared" si="26" ref="H116:AL116">H110+H112+H114</f>
        <v>0</v>
      </c>
      <c r="I116" s="361">
        <f t="shared" si="26"/>
        <v>0</v>
      </c>
      <c r="J116" s="361">
        <f t="shared" si="26"/>
        <v>0</v>
      </c>
      <c r="K116" s="361">
        <f t="shared" si="26"/>
        <v>0</v>
      </c>
      <c r="L116" s="361">
        <f t="shared" si="26"/>
        <v>0</v>
      </c>
      <c r="M116" s="361">
        <f t="shared" si="26"/>
        <v>0</v>
      </c>
      <c r="N116" s="361">
        <f t="shared" si="26"/>
        <v>0</v>
      </c>
      <c r="O116" s="361">
        <f t="shared" si="26"/>
        <v>0</v>
      </c>
      <c r="P116" s="361">
        <f t="shared" si="26"/>
        <v>0</v>
      </c>
      <c r="Q116" s="361">
        <f t="shared" si="26"/>
        <v>0</v>
      </c>
      <c r="R116" s="361">
        <f t="shared" si="26"/>
        <v>0</v>
      </c>
      <c r="S116" s="361">
        <f t="shared" si="26"/>
        <v>0</v>
      </c>
      <c r="T116" s="361">
        <f t="shared" si="26"/>
        <v>0</v>
      </c>
      <c r="U116" s="361">
        <f t="shared" si="26"/>
        <v>0</v>
      </c>
      <c r="V116" s="361">
        <f t="shared" si="26"/>
        <v>0</v>
      </c>
      <c r="W116" s="361">
        <f t="shared" si="26"/>
        <v>0</v>
      </c>
      <c r="X116" s="361">
        <f t="shared" si="26"/>
        <v>0</v>
      </c>
      <c r="Y116" s="361">
        <f t="shared" si="26"/>
        <v>0</v>
      </c>
      <c r="Z116" s="361">
        <f t="shared" si="26"/>
        <v>0</v>
      </c>
      <c r="AA116" s="361">
        <f t="shared" si="26"/>
        <v>0</v>
      </c>
      <c r="AB116" s="361">
        <f t="shared" si="26"/>
        <v>0</v>
      </c>
      <c r="AC116" s="361">
        <f t="shared" si="26"/>
        <v>0</v>
      </c>
      <c r="AD116" s="361">
        <f t="shared" si="26"/>
        <v>0</v>
      </c>
      <c r="AE116" s="361">
        <f t="shared" si="26"/>
        <v>0</v>
      </c>
      <c r="AF116" s="361">
        <f t="shared" si="26"/>
        <v>0</v>
      </c>
      <c r="AG116" s="361">
        <f t="shared" si="26"/>
        <v>0</v>
      </c>
      <c r="AH116" s="361">
        <f t="shared" si="26"/>
        <v>0</v>
      </c>
      <c r="AI116" s="361">
        <f t="shared" si="26"/>
        <v>0</v>
      </c>
      <c r="AJ116" s="361">
        <f t="shared" si="26"/>
        <v>0</v>
      </c>
      <c r="AK116" s="361">
        <f t="shared" si="26"/>
        <v>0</v>
      </c>
      <c r="AL116" s="361">
        <f t="shared" si="26"/>
        <v>0</v>
      </c>
      <c r="AM116" s="581"/>
    </row>
    <row r="117" spans="1:39" ht="13.5" thickBot="1">
      <c r="A117" s="601"/>
      <c r="B117" s="590"/>
      <c r="C117" s="593"/>
      <c r="D117" s="596"/>
      <c r="E117" s="587"/>
      <c r="F117" s="363">
        <f>F111+F114</f>
        <v>63259000</v>
      </c>
      <c r="G117" s="364" t="s">
        <v>125</v>
      </c>
      <c r="H117" s="365">
        <f aca="true" t="shared" si="27" ref="H117:AL117">H111+H113+H115</f>
        <v>25970000</v>
      </c>
      <c r="I117" s="366">
        <f t="shared" si="27"/>
        <v>28809000</v>
      </c>
      <c r="J117" s="366">
        <f t="shared" si="27"/>
        <v>8480000</v>
      </c>
      <c r="K117" s="366">
        <f t="shared" si="27"/>
        <v>0</v>
      </c>
      <c r="L117" s="366">
        <f t="shared" si="27"/>
        <v>0</v>
      </c>
      <c r="M117" s="366">
        <f t="shared" si="27"/>
        <v>0</v>
      </c>
      <c r="N117" s="366">
        <f t="shared" si="27"/>
        <v>0</v>
      </c>
      <c r="O117" s="366">
        <f t="shared" si="27"/>
        <v>0</v>
      </c>
      <c r="P117" s="366">
        <f t="shared" si="27"/>
        <v>0</v>
      </c>
      <c r="Q117" s="366">
        <f t="shared" si="27"/>
        <v>0</v>
      </c>
      <c r="R117" s="366">
        <f t="shared" si="27"/>
        <v>0</v>
      </c>
      <c r="S117" s="366">
        <f t="shared" si="27"/>
        <v>0</v>
      </c>
      <c r="T117" s="366">
        <f t="shared" si="27"/>
        <v>0</v>
      </c>
      <c r="U117" s="366">
        <f t="shared" si="27"/>
        <v>0</v>
      </c>
      <c r="V117" s="366">
        <f t="shared" si="27"/>
        <v>0</v>
      </c>
      <c r="W117" s="366">
        <f t="shared" si="27"/>
        <v>0</v>
      </c>
      <c r="X117" s="366">
        <f t="shared" si="27"/>
        <v>0</v>
      </c>
      <c r="Y117" s="366">
        <f t="shared" si="27"/>
        <v>0</v>
      </c>
      <c r="Z117" s="366">
        <f t="shared" si="27"/>
        <v>0</v>
      </c>
      <c r="AA117" s="366">
        <f t="shared" si="27"/>
        <v>0</v>
      </c>
      <c r="AB117" s="366">
        <f t="shared" si="27"/>
        <v>0</v>
      </c>
      <c r="AC117" s="366">
        <f t="shared" si="27"/>
        <v>0</v>
      </c>
      <c r="AD117" s="366">
        <f t="shared" si="27"/>
        <v>0</v>
      </c>
      <c r="AE117" s="366">
        <f t="shared" si="27"/>
        <v>0</v>
      </c>
      <c r="AF117" s="366">
        <f t="shared" si="27"/>
        <v>0</v>
      </c>
      <c r="AG117" s="366">
        <f t="shared" si="27"/>
        <v>0</v>
      </c>
      <c r="AH117" s="366">
        <f t="shared" si="27"/>
        <v>0</v>
      </c>
      <c r="AI117" s="366">
        <f t="shared" si="27"/>
        <v>0</v>
      </c>
      <c r="AJ117" s="366">
        <f t="shared" si="27"/>
        <v>0</v>
      </c>
      <c r="AK117" s="366">
        <f t="shared" si="27"/>
        <v>0</v>
      </c>
      <c r="AL117" s="366">
        <f t="shared" si="27"/>
        <v>0</v>
      </c>
      <c r="AM117" s="582"/>
    </row>
    <row r="118" spans="1:39" ht="12.75" customHeight="1">
      <c r="A118" s="599">
        <v>15</v>
      </c>
      <c r="B118" s="588" t="s">
        <v>203</v>
      </c>
      <c r="C118" s="591">
        <v>71035</v>
      </c>
      <c r="D118" s="594" t="s">
        <v>188</v>
      </c>
      <c r="E118" s="597">
        <v>2011</v>
      </c>
      <c r="F118" s="350" t="s">
        <v>113</v>
      </c>
      <c r="G118" s="351" t="s">
        <v>114</v>
      </c>
      <c r="H118" s="352"/>
      <c r="I118" s="353"/>
      <c r="J118" s="353"/>
      <c r="K118" s="353"/>
      <c r="L118" s="353"/>
      <c r="M118" s="353"/>
      <c r="N118" s="353"/>
      <c r="O118" s="353"/>
      <c r="P118" s="354"/>
      <c r="Q118" s="354"/>
      <c r="R118" s="354"/>
      <c r="S118" s="354"/>
      <c r="T118" s="354"/>
      <c r="U118" s="354"/>
      <c r="V118" s="354"/>
      <c r="W118" s="354"/>
      <c r="X118" s="354"/>
      <c r="Y118" s="354"/>
      <c r="Z118" s="354"/>
      <c r="AA118" s="354"/>
      <c r="AB118" s="354"/>
      <c r="AC118" s="354"/>
      <c r="AD118" s="354"/>
      <c r="AE118" s="354"/>
      <c r="AF118" s="354"/>
      <c r="AG118" s="354"/>
      <c r="AH118" s="354"/>
      <c r="AI118" s="354"/>
      <c r="AJ118" s="354"/>
      <c r="AK118" s="354"/>
      <c r="AL118" s="354"/>
      <c r="AM118" s="580">
        <f>SUM(J124:AL125)</f>
        <v>15000000</v>
      </c>
    </row>
    <row r="119" spans="1:39" ht="12.75">
      <c r="A119" s="600"/>
      <c r="B119" s="589"/>
      <c r="C119" s="592"/>
      <c r="D119" s="595"/>
      <c r="E119" s="586"/>
      <c r="F119" s="583">
        <f>SUM(H124:AL124)</f>
        <v>0</v>
      </c>
      <c r="G119" s="355" t="s">
        <v>115</v>
      </c>
      <c r="H119" s="356">
        <f>2540000</f>
        <v>2540000</v>
      </c>
      <c r="I119" s="357">
        <v>7000000</v>
      </c>
      <c r="J119" s="357">
        <v>7000000</v>
      </c>
      <c r="K119" s="357">
        <v>8000000</v>
      </c>
      <c r="L119" s="357"/>
      <c r="M119" s="357"/>
      <c r="N119" s="357"/>
      <c r="O119" s="357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58"/>
      <c r="AC119" s="358"/>
      <c r="AD119" s="358"/>
      <c r="AE119" s="358"/>
      <c r="AF119" s="358"/>
      <c r="AG119" s="358"/>
      <c r="AH119" s="358"/>
      <c r="AI119" s="358"/>
      <c r="AJ119" s="358"/>
      <c r="AK119" s="358"/>
      <c r="AL119" s="358"/>
      <c r="AM119" s="581"/>
    </row>
    <row r="120" spans="1:39" ht="12.75">
      <c r="A120" s="600"/>
      <c r="B120" s="589"/>
      <c r="C120" s="592"/>
      <c r="D120" s="595"/>
      <c r="E120" s="586"/>
      <c r="F120" s="584"/>
      <c r="G120" s="355" t="s">
        <v>116</v>
      </c>
      <c r="H120" s="356"/>
      <c r="I120" s="357"/>
      <c r="J120" s="357"/>
      <c r="K120" s="357"/>
      <c r="L120" s="357"/>
      <c r="M120" s="357"/>
      <c r="N120" s="357"/>
      <c r="O120" s="357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8"/>
      <c r="AC120" s="358"/>
      <c r="AD120" s="358"/>
      <c r="AE120" s="358"/>
      <c r="AF120" s="358"/>
      <c r="AG120" s="358"/>
      <c r="AH120" s="358"/>
      <c r="AI120" s="358"/>
      <c r="AJ120" s="358"/>
      <c r="AK120" s="358"/>
      <c r="AL120" s="358"/>
      <c r="AM120" s="581"/>
    </row>
    <row r="121" spans="1:39" ht="12.75">
      <c r="A121" s="600"/>
      <c r="B121" s="589"/>
      <c r="C121" s="592"/>
      <c r="D121" s="595"/>
      <c r="E121" s="598"/>
      <c r="F121" s="359" t="s">
        <v>117</v>
      </c>
      <c r="G121" s="355" t="s">
        <v>118</v>
      </c>
      <c r="H121" s="356"/>
      <c r="I121" s="357"/>
      <c r="J121" s="357"/>
      <c r="K121" s="357"/>
      <c r="L121" s="357"/>
      <c r="M121" s="357"/>
      <c r="N121" s="357"/>
      <c r="O121" s="357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  <c r="AJ121" s="358"/>
      <c r="AK121" s="358"/>
      <c r="AL121" s="358"/>
      <c r="AM121" s="581"/>
    </row>
    <row r="122" spans="1:39" ht="12.75">
      <c r="A122" s="600"/>
      <c r="B122" s="589"/>
      <c r="C122" s="592"/>
      <c r="D122" s="595"/>
      <c r="E122" s="585">
        <v>2014</v>
      </c>
      <c r="F122" s="583">
        <f>SUM(H125:AL125)</f>
        <v>24540000</v>
      </c>
      <c r="G122" s="355" t="s">
        <v>122</v>
      </c>
      <c r="H122" s="356"/>
      <c r="I122" s="357"/>
      <c r="J122" s="357"/>
      <c r="K122" s="357"/>
      <c r="L122" s="357"/>
      <c r="M122" s="357"/>
      <c r="N122" s="357"/>
      <c r="O122" s="357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8"/>
      <c r="AD122" s="358"/>
      <c r="AE122" s="358"/>
      <c r="AF122" s="358"/>
      <c r="AG122" s="358"/>
      <c r="AH122" s="358"/>
      <c r="AI122" s="358"/>
      <c r="AJ122" s="358"/>
      <c r="AK122" s="358"/>
      <c r="AL122" s="358"/>
      <c r="AM122" s="581"/>
    </row>
    <row r="123" spans="1:39" ht="12.75">
      <c r="A123" s="600"/>
      <c r="B123" s="589"/>
      <c r="C123" s="592"/>
      <c r="D123" s="595"/>
      <c r="E123" s="586"/>
      <c r="F123" s="584"/>
      <c r="G123" s="355" t="s">
        <v>123</v>
      </c>
      <c r="H123" s="356"/>
      <c r="I123" s="357"/>
      <c r="J123" s="357"/>
      <c r="K123" s="357"/>
      <c r="L123" s="357"/>
      <c r="M123" s="357"/>
      <c r="N123" s="357"/>
      <c r="O123" s="357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8"/>
      <c r="AM123" s="581"/>
    </row>
    <row r="124" spans="1:39" ht="12.75">
      <c r="A124" s="600"/>
      <c r="B124" s="589"/>
      <c r="C124" s="592"/>
      <c r="D124" s="595"/>
      <c r="E124" s="586"/>
      <c r="F124" s="359" t="s">
        <v>121</v>
      </c>
      <c r="G124" s="355" t="s">
        <v>124</v>
      </c>
      <c r="H124" s="360">
        <f aca="true" t="shared" si="28" ref="H124:AL124">H118+H120+H122</f>
        <v>0</v>
      </c>
      <c r="I124" s="361">
        <f t="shared" si="28"/>
        <v>0</v>
      </c>
      <c r="J124" s="361">
        <f t="shared" si="28"/>
        <v>0</v>
      </c>
      <c r="K124" s="361">
        <f t="shared" si="28"/>
        <v>0</v>
      </c>
      <c r="L124" s="361">
        <f t="shared" si="28"/>
        <v>0</v>
      </c>
      <c r="M124" s="361">
        <f t="shared" si="28"/>
        <v>0</v>
      </c>
      <c r="N124" s="361">
        <f t="shared" si="28"/>
        <v>0</v>
      </c>
      <c r="O124" s="361">
        <f t="shared" si="28"/>
        <v>0</v>
      </c>
      <c r="P124" s="361">
        <f t="shared" si="28"/>
        <v>0</v>
      </c>
      <c r="Q124" s="361">
        <f t="shared" si="28"/>
        <v>0</v>
      </c>
      <c r="R124" s="361">
        <f t="shared" si="28"/>
        <v>0</v>
      </c>
      <c r="S124" s="361">
        <f t="shared" si="28"/>
        <v>0</v>
      </c>
      <c r="T124" s="361">
        <f t="shared" si="28"/>
        <v>0</v>
      </c>
      <c r="U124" s="361">
        <f t="shared" si="28"/>
        <v>0</v>
      </c>
      <c r="V124" s="361">
        <f t="shared" si="28"/>
        <v>0</v>
      </c>
      <c r="W124" s="361">
        <f t="shared" si="28"/>
        <v>0</v>
      </c>
      <c r="X124" s="361">
        <f t="shared" si="28"/>
        <v>0</v>
      </c>
      <c r="Y124" s="361">
        <f t="shared" si="28"/>
        <v>0</v>
      </c>
      <c r="Z124" s="361">
        <f t="shared" si="28"/>
        <v>0</v>
      </c>
      <c r="AA124" s="361">
        <f t="shared" si="28"/>
        <v>0</v>
      </c>
      <c r="AB124" s="361">
        <f t="shared" si="28"/>
        <v>0</v>
      </c>
      <c r="AC124" s="361">
        <f t="shared" si="28"/>
        <v>0</v>
      </c>
      <c r="AD124" s="361">
        <f t="shared" si="28"/>
        <v>0</v>
      </c>
      <c r="AE124" s="361">
        <f t="shared" si="28"/>
        <v>0</v>
      </c>
      <c r="AF124" s="361">
        <f t="shared" si="28"/>
        <v>0</v>
      </c>
      <c r="AG124" s="361">
        <f t="shared" si="28"/>
        <v>0</v>
      </c>
      <c r="AH124" s="361">
        <f t="shared" si="28"/>
        <v>0</v>
      </c>
      <c r="AI124" s="361">
        <f t="shared" si="28"/>
        <v>0</v>
      </c>
      <c r="AJ124" s="361">
        <f t="shared" si="28"/>
        <v>0</v>
      </c>
      <c r="AK124" s="361">
        <f t="shared" si="28"/>
        <v>0</v>
      </c>
      <c r="AL124" s="361">
        <f t="shared" si="28"/>
        <v>0</v>
      </c>
      <c r="AM124" s="581"/>
    </row>
    <row r="125" spans="1:39" ht="13.5" thickBot="1">
      <c r="A125" s="601"/>
      <c r="B125" s="590"/>
      <c r="C125" s="593"/>
      <c r="D125" s="596"/>
      <c r="E125" s="587"/>
      <c r="F125" s="363">
        <f>F119+F122</f>
        <v>24540000</v>
      </c>
      <c r="G125" s="364" t="s">
        <v>125</v>
      </c>
      <c r="H125" s="365">
        <f aca="true" t="shared" si="29" ref="H125:AL125">H119+H121+H123</f>
        <v>2540000</v>
      </c>
      <c r="I125" s="366">
        <f t="shared" si="29"/>
        <v>7000000</v>
      </c>
      <c r="J125" s="366">
        <f t="shared" si="29"/>
        <v>7000000</v>
      </c>
      <c r="K125" s="366">
        <f t="shared" si="29"/>
        <v>8000000</v>
      </c>
      <c r="L125" s="366">
        <f t="shared" si="29"/>
        <v>0</v>
      </c>
      <c r="M125" s="366">
        <f t="shared" si="29"/>
        <v>0</v>
      </c>
      <c r="N125" s="366">
        <f t="shared" si="29"/>
        <v>0</v>
      </c>
      <c r="O125" s="366">
        <f t="shared" si="29"/>
        <v>0</v>
      </c>
      <c r="P125" s="366">
        <f t="shared" si="29"/>
        <v>0</v>
      </c>
      <c r="Q125" s="366">
        <f t="shared" si="29"/>
        <v>0</v>
      </c>
      <c r="R125" s="366">
        <f t="shared" si="29"/>
        <v>0</v>
      </c>
      <c r="S125" s="366">
        <f t="shared" si="29"/>
        <v>0</v>
      </c>
      <c r="T125" s="366">
        <f t="shared" si="29"/>
        <v>0</v>
      </c>
      <c r="U125" s="366">
        <f t="shared" si="29"/>
        <v>0</v>
      </c>
      <c r="V125" s="366">
        <f t="shared" si="29"/>
        <v>0</v>
      </c>
      <c r="W125" s="366">
        <f t="shared" si="29"/>
        <v>0</v>
      </c>
      <c r="X125" s="366">
        <f t="shared" si="29"/>
        <v>0</v>
      </c>
      <c r="Y125" s="366">
        <f t="shared" si="29"/>
        <v>0</v>
      </c>
      <c r="Z125" s="366">
        <f t="shared" si="29"/>
        <v>0</v>
      </c>
      <c r="AA125" s="366">
        <f t="shared" si="29"/>
        <v>0</v>
      </c>
      <c r="AB125" s="366">
        <f t="shared" si="29"/>
        <v>0</v>
      </c>
      <c r="AC125" s="366">
        <f t="shared" si="29"/>
        <v>0</v>
      </c>
      <c r="AD125" s="366">
        <f t="shared" si="29"/>
        <v>0</v>
      </c>
      <c r="AE125" s="366">
        <f t="shared" si="29"/>
        <v>0</v>
      </c>
      <c r="AF125" s="366">
        <f t="shared" si="29"/>
        <v>0</v>
      </c>
      <c r="AG125" s="366">
        <f t="shared" si="29"/>
        <v>0</v>
      </c>
      <c r="AH125" s="366">
        <f t="shared" si="29"/>
        <v>0</v>
      </c>
      <c r="AI125" s="366">
        <f t="shared" si="29"/>
        <v>0</v>
      </c>
      <c r="AJ125" s="366">
        <f t="shared" si="29"/>
        <v>0</v>
      </c>
      <c r="AK125" s="366">
        <f t="shared" si="29"/>
        <v>0</v>
      </c>
      <c r="AL125" s="366">
        <f t="shared" si="29"/>
        <v>0</v>
      </c>
      <c r="AM125" s="582"/>
    </row>
    <row r="126" spans="1:39" ht="12.75" customHeight="1">
      <c r="A126" s="599">
        <v>16</v>
      </c>
      <c r="B126" s="589" t="s">
        <v>199</v>
      </c>
      <c r="C126" s="592">
        <v>71035</v>
      </c>
      <c r="D126" s="594" t="s">
        <v>188</v>
      </c>
      <c r="E126" s="586">
        <v>2011</v>
      </c>
      <c r="F126" s="350" t="s">
        <v>113</v>
      </c>
      <c r="G126" s="368" t="s">
        <v>114</v>
      </c>
      <c r="H126" s="352"/>
      <c r="I126" s="369"/>
      <c r="J126" s="369"/>
      <c r="K126" s="369"/>
      <c r="L126" s="369"/>
      <c r="M126" s="369"/>
      <c r="N126" s="369"/>
      <c r="O126" s="369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0"/>
      <c r="AD126" s="370"/>
      <c r="AE126" s="370"/>
      <c r="AF126" s="370"/>
      <c r="AG126" s="370"/>
      <c r="AH126" s="370"/>
      <c r="AI126" s="370"/>
      <c r="AJ126" s="370"/>
      <c r="AK126" s="370"/>
      <c r="AL126" s="370"/>
      <c r="AM126" s="580">
        <f>SUM(J132:AL133)</f>
        <v>500000</v>
      </c>
    </row>
    <row r="127" spans="1:39" ht="12.75">
      <c r="A127" s="600"/>
      <c r="B127" s="589"/>
      <c r="C127" s="592"/>
      <c r="D127" s="595"/>
      <c r="E127" s="586"/>
      <c r="F127" s="583">
        <f>SUM(H132:AL132)</f>
        <v>0</v>
      </c>
      <c r="G127" s="355" t="s">
        <v>115</v>
      </c>
      <c r="H127" s="356">
        <f>280000</f>
        <v>280000</v>
      </c>
      <c r="I127" s="357">
        <v>350000</v>
      </c>
      <c r="J127" s="357">
        <v>300000</v>
      </c>
      <c r="K127" s="357">
        <v>200000</v>
      </c>
      <c r="L127" s="357"/>
      <c r="M127" s="357"/>
      <c r="N127" s="357"/>
      <c r="O127" s="357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  <c r="AC127" s="358"/>
      <c r="AD127" s="358"/>
      <c r="AE127" s="358"/>
      <c r="AF127" s="358"/>
      <c r="AG127" s="358"/>
      <c r="AH127" s="358"/>
      <c r="AI127" s="358"/>
      <c r="AJ127" s="358"/>
      <c r="AK127" s="358"/>
      <c r="AL127" s="358"/>
      <c r="AM127" s="581"/>
    </row>
    <row r="128" spans="1:39" ht="12.75">
      <c r="A128" s="600"/>
      <c r="B128" s="589"/>
      <c r="C128" s="592"/>
      <c r="D128" s="595"/>
      <c r="E128" s="586"/>
      <c r="F128" s="584"/>
      <c r="G128" s="355" t="s">
        <v>116</v>
      </c>
      <c r="H128" s="356"/>
      <c r="I128" s="357"/>
      <c r="J128" s="357"/>
      <c r="K128" s="357"/>
      <c r="L128" s="357"/>
      <c r="M128" s="357"/>
      <c r="N128" s="357"/>
      <c r="O128" s="357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58"/>
      <c r="AI128" s="358"/>
      <c r="AJ128" s="358"/>
      <c r="AK128" s="358"/>
      <c r="AL128" s="358"/>
      <c r="AM128" s="581"/>
    </row>
    <row r="129" spans="1:39" ht="12.75">
      <c r="A129" s="600"/>
      <c r="B129" s="589"/>
      <c r="C129" s="592"/>
      <c r="D129" s="595"/>
      <c r="E129" s="598"/>
      <c r="F129" s="359" t="s">
        <v>117</v>
      </c>
      <c r="G129" s="355" t="s">
        <v>118</v>
      </c>
      <c r="H129" s="356"/>
      <c r="I129" s="357"/>
      <c r="J129" s="357"/>
      <c r="K129" s="357"/>
      <c r="L129" s="357"/>
      <c r="M129" s="357"/>
      <c r="N129" s="357"/>
      <c r="O129" s="357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58"/>
      <c r="AL129" s="358"/>
      <c r="AM129" s="581"/>
    </row>
    <row r="130" spans="1:39" ht="12.75">
      <c r="A130" s="600"/>
      <c r="B130" s="589"/>
      <c r="C130" s="592"/>
      <c r="D130" s="595"/>
      <c r="E130" s="585">
        <v>2014</v>
      </c>
      <c r="F130" s="583">
        <f>SUM(H133:AL133)</f>
        <v>1130000</v>
      </c>
      <c r="G130" s="355" t="s">
        <v>122</v>
      </c>
      <c r="H130" s="356"/>
      <c r="I130" s="357"/>
      <c r="J130" s="357"/>
      <c r="K130" s="357"/>
      <c r="L130" s="357"/>
      <c r="M130" s="357"/>
      <c r="N130" s="357"/>
      <c r="O130" s="357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  <c r="AC130" s="358"/>
      <c r="AD130" s="358"/>
      <c r="AE130" s="358"/>
      <c r="AF130" s="358"/>
      <c r="AG130" s="358"/>
      <c r="AH130" s="358"/>
      <c r="AI130" s="358"/>
      <c r="AJ130" s="358"/>
      <c r="AK130" s="358"/>
      <c r="AL130" s="358"/>
      <c r="AM130" s="581"/>
    </row>
    <row r="131" spans="1:39" ht="12.75">
      <c r="A131" s="600"/>
      <c r="B131" s="589"/>
      <c r="C131" s="592"/>
      <c r="D131" s="595"/>
      <c r="E131" s="586"/>
      <c r="F131" s="584"/>
      <c r="G131" s="355" t="s">
        <v>123</v>
      </c>
      <c r="H131" s="356"/>
      <c r="I131" s="357"/>
      <c r="J131" s="357"/>
      <c r="K131" s="357"/>
      <c r="L131" s="357"/>
      <c r="M131" s="357"/>
      <c r="N131" s="357"/>
      <c r="O131" s="357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I131" s="358"/>
      <c r="AJ131" s="358"/>
      <c r="AK131" s="358"/>
      <c r="AL131" s="358"/>
      <c r="AM131" s="581"/>
    </row>
    <row r="132" spans="1:39" ht="12.75">
      <c r="A132" s="600"/>
      <c r="B132" s="589"/>
      <c r="C132" s="592"/>
      <c r="D132" s="595"/>
      <c r="E132" s="586"/>
      <c r="F132" s="359" t="s">
        <v>121</v>
      </c>
      <c r="G132" s="355" t="s">
        <v>124</v>
      </c>
      <c r="H132" s="360">
        <f aca="true" t="shared" si="30" ref="H132:AL132">H126+H128+H130</f>
        <v>0</v>
      </c>
      <c r="I132" s="361">
        <f t="shared" si="30"/>
        <v>0</v>
      </c>
      <c r="J132" s="361">
        <f t="shared" si="30"/>
        <v>0</v>
      </c>
      <c r="K132" s="361">
        <f t="shared" si="30"/>
        <v>0</v>
      </c>
      <c r="L132" s="361">
        <f t="shared" si="30"/>
        <v>0</v>
      </c>
      <c r="M132" s="361">
        <f t="shared" si="30"/>
        <v>0</v>
      </c>
      <c r="N132" s="361">
        <f t="shared" si="30"/>
        <v>0</v>
      </c>
      <c r="O132" s="361">
        <f t="shared" si="30"/>
        <v>0</v>
      </c>
      <c r="P132" s="361">
        <f t="shared" si="30"/>
        <v>0</v>
      </c>
      <c r="Q132" s="361">
        <f t="shared" si="30"/>
        <v>0</v>
      </c>
      <c r="R132" s="361">
        <f t="shared" si="30"/>
        <v>0</v>
      </c>
      <c r="S132" s="361">
        <f t="shared" si="30"/>
        <v>0</v>
      </c>
      <c r="T132" s="361">
        <f t="shared" si="30"/>
        <v>0</v>
      </c>
      <c r="U132" s="361">
        <f t="shared" si="30"/>
        <v>0</v>
      </c>
      <c r="V132" s="361">
        <f t="shared" si="30"/>
        <v>0</v>
      </c>
      <c r="W132" s="361">
        <f t="shared" si="30"/>
        <v>0</v>
      </c>
      <c r="X132" s="361">
        <f t="shared" si="30"/>
        <v>0</v>
      </c>
      <c r="Y132" s="361">
        <f t="shared" si="30"/>
        <v>0</v>
      </c>
      <c r="Z132" s="361">
        <f t="shared" si="30"/>
        <v>0</v>
      </c>
      <c r="AA132" s="361">
        <f t="shared" si="30"/>
        <v>0</v>
      </c>
      <c r="AB132" s="361">
        <f t="shared" si="30"/>
        <v>0</v>
      </c>
      <c r="AC132" s="361">
        <f t="shared" si="30"/>
        <v>0</v>
      </c>
      <c r="AD132" s="361">
        <f t="shared" si="30"/>
        <v>0</v>
      </c>
      <c r="AE132" s="361">
        <f t="shared" si="30"/>
        <v>0</v>
      </c>
      <c r="AF132" s="361">
        <f t="shared" si="30"/>
        <v>0</v>
      </c>
      <c r="AG132" s="361">
        <f t="shared" si="30"/>
        <v>0</v>
      </c>
      <c r="AH132" s="361">
        <f t="shared" si="30"/>
        <v>0</v>
      </c>
      <c r="AI132" s="361">
        <f t="shared" si="30"/>
        <v>0</v>
      </c>
      <c r="AJ132" s="361">
        <f t="shared" si="30"/>
        <v>0</v>
      </c>
      <c r="AK132" s="361">
        <f t="shared" si="30"/>
        <v>0</v>
      </c>
      <c r="AL132" s="361">
        <f t="shared" si="30"/>
        <v>0</v>
      </c>
      <c r="AM132" s="581"/>
    </row>
    <row r="133" spans="1:39" ht="13.5" thickBot="1">
      <c r="A133" s="601"/>
      <c r="B133" s="589"/>
      <c r="C133" s="592"/>
      <c r="D133" s="595"/>
      <c r="E133" s="586"/>
      <c r="F133" s="363">
        <f>F127+F130</f>
        <v>1130000</v>
      </c>
      <c r="G133" s="372" t="s">
        <v>125</v>
      </c>
      <c r="H133" s="365">
        <f aca="true" t="shared" si="31" ref="H133:AL133">H127+H129+H131</f>
        <v>280000</v>
      </c>
      <c r="I133" s="371">
        <f t="shared" si="31"/>
        <v>350000</v>
      </c>
      <c r="J133" s="371">
        <f t="shared" si="31"/>
        <v>300000</v>
      </c>
      <c r="K133" s="371">
        <f t="shared" si="31"/>
        <v>200000</v>
      </c>
      <c r="L133" s="371">
        <f t="shared" si="31"/>
        <v>0</v>
      </c>
      <c r="M133" s="371">
        <f t="shared" si="31"/>
        <v>0</v>
      </c>
      <c r="N133" s="371">
        <f t="shared" si="31"/>
        <v>0</v>
      </c>
      <c r="O133" s="371">
        <f t="shared" si="31"/>
        <v>0</v>
      </c>
      <c r="P133" s="371">
        <f t="shared" si="31"/>
        <v>0</v>
      </c>
      <c r="Q133" s="371">
        <f t="shared" si="31"/>
        <v>0</v>
      </c>
      <c r="R133" s="371">
        <f t="shared" si="31"/>
        <v>0</v>
      </c>
      <c r="S133" s="371">
        <f t="shared" si="31"/>
        <v>0</v>
      </c>
      <c r="T133" s="371">
        <f t="shared" si="31"/>
        <v>0</v>
      </c>
      <c r="U133" s="371">
        <f t="shared" si="31"/>
        <v>0</v>
      </c>
      <c r="V133" s="371">
        <f t="shared" si="31"/>
        <v>0</v>
      </c>
      <c r="W133" s="371">
        <f t="shared" si="31"/>
        <v>0</v>
      </c>
      <c r="X133" s="371">
        <f t="shared" si="31"/>
        <v>0</v>
      </c>
      <c r="Y133" s="371">
        <f t="shared" si="31"/>
        <v>0</v>
      </c>
      <c r="Z133" s="371">
        <f t="shared" si="31"/>
        <v>0</v>
      </c>
      <c r="AA133" s="371">
        <f t="shared" si="31"/>
        <v>0</v>
      </c>
      <c r="AB133" s="371">
        <f t="shared" si="31"/>
        <v>0</v>
      </c>
      <c r="AC133" s="371">
        <f t="shared" si="31"/>
        <v>0</v>
      </c>
      <c r="AD133" s="371">
        <f t="shared" si="31"/>
        <v>0</v>
      </c>
      <c r="AE133" s="371">
        <f t="shared" si="31"/>
        <v>0</v>
      </c>
      <c r="AF133" s="371">
        <f t="shared" si="31"/>
        <v>0</v>
      </c>
      <c r="AG133" s="371">
        <f t="shared" si="31"/>
        <v>0</v>
      </c>
      <c r="AH133" s="371">
        <f t="shared" si="31"/>
        <v>0</v>
      </c>
      <c r="AI133" s="371">
        <f t="shared" si="31"/>
        <v>0</v>
      </c>
      <c r="AJ133" s="371">
        <f t="shared" si="31"/>
        <v>0</v>
      </c>
      <c r="AK133" s="371">
        <f t="shared" si="31"/>
        <v>0</v>
      </c>
      <c r="AL133" s="371">
        <f t="shared" si="31"/>
        <v>0</v>
      </c>
      <c r="AM133" s="582"/>
    </row>
    <row r="134" spans="1:39" ht="12.75" customHeight="1">
      <c r="A134" s="599">
        <v>17</v>
      </c>
      <c r="B134" s="588" t="s">
        <v>204</v>
      </c>
      <c r="C134" s="591">
        <v>71095</v>
      </c>
      <c r="D134" s="594" t="s">
        <v>188</v>
      </c>
      <c r="E134" s="597">
        <v>2013</v>
      </c>
      <c r="F134" s="350" t="s">
        <v>113</v>
      </c>
      <c r="G134" s="351" t="s">
        <v>114</v>
      </c>
      <c r="H134" s="352"/>
      <c r="I134" s="353"/>
      <c r="J134" s="353"/>
      <c r="K134" s="353"/>
      <c r="L134" s="353"/>
      <c r="M134" s="353"/>
      <c r="N134" s="353"/>
      <c r="O134" s="353"/>
      <c r="P134" s="354"/>
      <c r="Q134" s="354"/>
      <c r="R134" s="354"/>
      <c r="S134" s="354"/>
      <c r="T134" s="354"/>
      <c r="U134" s="354"/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  <c r="AG134" s="354"/>
      <c r="AH134" s="354"/>
      <c r="AI134" s="354"/>
      <c r="AJ134" s="354"/>
      <c r="AK134" s="354"/>
      <c r="AL134" s="354"/>
      <c r="AM134" s="580">
        <f>SUM(J140:AL141)</f>
        <v>3000000</v>
      </c>
    </row>
    <row r="135" spans="1:39" ht="12.75">
      <c r="A135" s="600"/>
      <c r="B135" s="589"/>
      <c r="C135" s="592"/>
      <c r="D135" s="595"/>
      <c r="E135" s="586"/>
      <c r="F135" s="583">
        <f>SUM(H140:AL140)</f>
        <v>0</v>
      </c>
      <c r="G135" s="355" t="s">
        <v>115</v>
      </c>
      <c r="H135" s="356"/>
      <c r="I135" s="357"/>
      <c r="J135" s="357">
        <v>2000000</v>
      </c>
      <c r="K135" s="357">
        <v>1000000</v>
      </c>
      <c r="L135" s="357"/>
      <c r="M135" s="357"/>
      <c r="N135" s="357"/>
      <c r="O135" s="357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8"/>
      <c r="AM135" s="581"/>
    </row>
    <row r="136" spans="1:39" ht="12.75">
      <c r="A136" s="600"/>
      <c r="B136" s="589"/>
      <c r="C136" s="592"/>
      <c r="D136" s="595"/>
      <c r="E136" s="586"/>
      <c r="F136" s="584"/>
      <c r="G136" s="355" t="s">
        <v>116</v>
      </c>
      <c r="H136" s="356"/>
      <c r="I136" s="357"/>
      <c r="J136" s="357"/>
      <c r="K136" s="357"/>
      <c r="L136" s="357"/>
      <c r="M136" s="357"/>
      <c r="N136" s="357"/>
      <c r="O136" s="357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  <c r="AC136" s="358"/>
      <c r="AD136" s="358"/>
      <c r="AE136" s="358"/>
      <c r="AF136" s="358"/>
      <c r="AG136" s="358"/>
      <c r="AH136" s="358"/>
      <c r="AI136" s="358"/>
      <c r="AJ136" s="358"/>
      <c r="AK136" s="358"/>
      <c r="AL136" s="358"/>
      <c r="AM136" s="581"/>
    </row>
    <row r="137" spans="1:39" ht="12.75">
      <c r="A137" s="600"/>
      <c r="B137" s="589"/>
      <c r="C137" s="592"/>
      <c r="D137" s="595"/>
      <c r="E137" s="598"/>
      <c r="F137" s="359" t="s">
        <v>117</v>
      </c>
      <c r="G137" s="355" t="s">
        <v>118</v>
      </c>
      <c r="H137" s="356"/>
      <c r="I137" s="357"/>
      <c r="J137" s="357"/>
      <c r="K137" s="357"/>
      <c r="L137" s="357"/>
      <c r="M137" s="357"/>
      <c r="N137" s="357"/>
      <c r="O137" s="357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  <c r="AI137" s="358"/>
      <c r="AJ137" s="358"/>
      <c r="AK137" s="358"/>
      <c r="AL137" s="358"/>
      <c r="AM137" s="581"/>
    </row>
    <row r="138" spans="1:39" ht="12.75">
      <c r="A138" s="600"/>
      <c r="B138" s="589"/>
      <c r="C138" s="592"/>
      <c r="D138" s="595"/>
      <c r="E138" s="585">
        <v>2014</v>
      </c>
      <c r="F138" s="583">
        <f>SUM(H141:AL141)</f>
        <v>3000000</v>
      </c>
      <c r="G138" s="355" t="s">
        <v>122</v>
      </c>
      <c r="H138" s="356"/>
      <c r="I138" s="357"/>
      <c r="J138" s="357"/>
      <c r="K138" s="357"/>
      <c r="L138" s="357"/>
      <c r="M138" s="357"/>
      <c r="N138" s="357"/>
      <c r="O138" s="357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  <c r="AI138" s="358"/>
      <c r="AJ138" s="358"/>
      <c r="AK138" s="358"/>
      <c r="AL138" s="358"/>
      <c r="AM138" s="581"/>
    </row>
    <row r="139" spans="1:39" ht="11.25" customHeight="1">
      <c r="A139" s="600"/>
      <c r="B139" s="589"/>
      <c r="C139" s="592"/>
      <c r="D139" s="595"/>
      <c r="E139" s="586"/>
      <c r="F139" s="584"/>
      <c r="G139" s="355" t="s">
        <v>123</v>
      </c>
      <c r="H139" s="356"/>
      <c r="I139" s="357"/>
      <c r="J139" s="357"/>
      <c r="K139" s="357"/>
      <c r="L139" s="357"/>
      <c r="M139" s="357"/>
      <c r="N139" s="357"/>
      <c r="O139" s="357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  <c r="AI139" s="358"/>
      <c r="AJ139" s="358"/>
      <c r="AK139" s="358"/>
      <c r="AL139" s="358"/>
      <c r="AM139" s="581"/>
    </row>
    <row r="140" spans="1:39" ht="12.75">
      <c r="A140" s="600"/>
      <c r="B140" s="589"/>
      <c r="C140" s="592"/>
      <c r="D140" s="595"/>
      <c r="E140" s="586"/>
      <c r="F140" s="359" t="s">
        <v>121</v>
      </c>
      <c r="G140" s="355" t="s">
        <v>124</v>
      </c>
      <c r="H140" s="360">
        <f aca="true" t="shared" si="32" ref="H140:AL140">H134+H136+H138</f>
        <v>0</v>
      </c>
      <c r="I140" s="361">
        <f t="shared" si="32"/>
        <v>0</v>
      </c>
      <c r="J140" s="361">
        <f t="shared" si="32"/>
        <v>0</v>
      </c>
      <c r="K140" s="361">
        <f t="shared" si="32"/>
        <v>0</v>
      </c>
      <c r="L140" s="361">
        <f t="shared" si="32"/>
        <v>0</v>
      </c>
      <c r="M140" s="361">
        <f t="shared" si="32"/>
        <v>0</v>
      </c>
      <c r="N140" s="361">
        <f t="shared" si="32"/>
        <v>0</v>
      </c>
      <c r="O140" s="361">
        <f t="shared" si="32"/>
        <v>0</v>
      </c>
      <c r="P140" s="361">
        <f t="shared" si="32"/>
        <v>0</v>
      </c>
      <c r="Q140" s="361">
        <f t="shared" si="32"/>
        <v>0</v>
      </c>
      <c r="R140" s="361">
        <f t="shared" si="32"/>
        <v>0</v>
      </c>
      <c r="S140" s="361">
        <f t="shared" si="32"/>
        <v>0</v>
      </c>
      <c r="T140" s="361">
        <f t="shared" si="32"/>
        <v>0</v>
      </c>
      <c r="U140" s="361">
        <f t="shared" si="32"/>
        <v>0</v>
      </c>
      <c r="V140" s="361">
        <f t="shared" si="32"/>
        <v>0</v>
      </c>
      <c r="W140" s="361">
        <f t="shared" si="32"/>
        <v>0</v>
      </c>
      <c r="X140" s="361">
        <f t="shared" si="32"/>
        <v>0</v>
      </c>
      <c r="Y140" s="361">
        <f t="shared" si="32"/>
        <v>0</v>
      </c>
      <c r="Z140" s="361">
        <f t="shared" si="32"/>
        <v>0</v>
      </c>
      <c r="AA140" s="361">
        <f t="shared" si="32"/>
        <v>0</v>
      </c>
      <c r="AB140" s="361">
        <f t="shared" si="32"/>
        <v>0</v>
      </c>
      <c r="AC140" s="361">
        <f t="shared" si="32"/>
        <v>0</v>
      </c>
      <c r="AD140" s="361">
        <f t="shared" si="32"/>
        <v>0</v>
      </c>
      <c r="AE140" s="361">
        <f t="shared" si="32"/>
        <v>0</v>
      </c>
      <c r="AF140" s="361">
        <f t="shared" si="32"/>
        <v>0</v>
      </c>
      <c r="AG140" s="361">
        <f t="shared" si="32"/>
        <v>0</v>
      </c>
      <c r="AH140" s="361">
        <f t="shared" si="32"/>
        <v>0</v>
      </c>
      <c r="AI140" s="361">
        <f t="shared" si="32"/>
        <v>0</v>
      </c>
      <c r="AJ140" s="361">
        <f t="shared" si="32"/>
        <v>0</v>
      </c>
      <c r="AK140" s="361">
        <f t="shared" si="32"/>
        <v>0</v>
      </c>
      <c r="AL140" s="361">
        <f t="shared" si="32"/>
        <v>0</v>
      </c>
      <c r="AM140" s="581"/>
    </row>
    <row r="141" spans="1:39" ht="13.5" thickBot="1">
      <c r="A141" s="601"/>
      <c r="B141" s="590"/>
      <c r="C141" s="593"/>
      <c r="D141" s="596"/>
      <c r="E141" s="587"/>
      <c r="F141" s="363">
        <f>F135+F138</f>
        <v>3000000</v>
      </c>
      <c r="G141" s="364" t="s">
        <v>125</v>
      </c>
      <c r="H141" s="365">
        <f aca="true" t="shared" si="33" ref="H141:AL141">H135+H137+H139</f>
        <v>0</v>
      </c>
      <c r="I141" s="366">
        <f t="shared" si="33"/>
        <v>0</v>
      </c>
      <c r="J141" s="366">
        <f t="shared" si="33"/>
        <v>2000000</v>
      </c>
      <c r="K141" s="366">
        <f t="shared" si="33"/>
        <v>1000000</v>
      </c>
      <c r="L141" s="366">
        <f t="shared" si="33"/>
        <v>0</v>
      </c>
      <c r="M141" s="366">
        <f t="shared" si="33"/>
        <v>0</v>
      </c>
      <c r="N141" s="366">
        <f t="shared" si="33"/>
        <v>0</v>
      </c>
      <c r="O141" s="366">
        <f t="shared" si="33"/>
        <v>0</v>
      </c>
      <c r="P141" s="366">
        <f t="shared" si="33"/>
        <v>0</v>
      </c>
      <c r="Q141" s="366">
        <f t="shared" si="33"/>
        <v>0</v>
      </c>
      <c r="R141" s="366">
        <f t="shared" si="33"/>
        <v>0</v>
      </c>
      <c r="S141" s="366">
        <f t="shared" si="33"/>
        <v>0</v>
      </c>
      <c r="T141" s="366">
        <f t="shared" si="33"/>
        <v>0</v>
      </c>
      <c r="U141" s="366">
        <f t="shared" si="33"/>
        <v>0</v>
      </c>
      <c r="V141" s="366">
        <f t="shared" si="33"/>
        <v>0</v>
      </c>
      <c r="W141" s="366">
        <f t="shared" si="33"/>
        <v>0</v>
      </c>
      <c r="X141" s="366">
        <f t="shared" si="33"/>
        <v>0</v>
      </c>
      <c r="Y141" s="366">
        <f t="shared" si="33"/>
        <v>0</v>
      </c>
      <c r="Z141" s="366">
        <f t="shared" si="33"/>
        <v>0</v>
      </c>
      <c r="AA141" s="366">
        <f t="shared" si="33"/>
        <v>0</v>
      </c>
      <c r="AB141" s="366">
        <f t="shared" si="33"/>
        <v>0</v>
      </c>
      <c r="AC141" s="366">
        <f t="shared" si="33"/>
        <v>0</v>
      </c>
      <c r="AD141" s="366">
        <f t="shared" si="33"/>
        <v>0</v>
      </c>
      <c r="AE141" s="366">
        <f t="shared" si="33"/>
        <v>0</v>
      </c>
      <c r="AF141" s="366">
        <f t="shared" si="33"/>
        <v>0</v>
      </c>
      <c r="AG141" s="366">
        <f t="shared" si="33"/>
        <v>0</v>
      </c>
      <c r="AH141" s="366">
        <f t="shared" si="33"/>
        <v>0</v>
      </c>
      <c r="AI141" s="366">
        <f t="shared" si="33"/>
        <v>0</v>
      </c>
      <c r="AJ141" s="366">
        <f t="shared" si="33"/>
        <v>0</v>
      </c>
      <c r="AK141" s="366">
        <f t="shared" si="33"/>
        <v>0</v>
      </c>
      <c r="AL141" s="366">
        <f t="shared" si="33"/>
        <v>0</v>
      </c>
      <c r="AM141" s="582"/>
    </row>
    <row r="142" spans="1:39" ht="12.75" customHeight="1">
      <c r="A142" s="599">
        <v>18</v>
      </c>
      <c r="B142" s="588" t="s">
        <v>199</v>
      </c>
      <c r="C142" s="591">
        <v>75023</v>
      </c>
      <c r="D142" s="594" t="s">
        <v>188</v>
      </c>
      <c r="E142" s="597">
        <v>2008</v>
      </c>
      <c r="F142" s="350" t="s">
        <v>113</v>
      </c>
      <c r="G142" s="351" t="s">
        <v>114</v>
      </c>
      <c r="H142" s="352"/>
      <c r="I142" s="353"/>
      <c r="J142" s="353"/>
      <c r="K142" s="353"/>
      <c r="L142" s="353"/>
      <c r="M142" s="353"/>
      <c r="N142" s="353"/>
      <c r="O142" s="353"/>
      <c r="P142" s="354"/>
      <c r="Q142" s="354"/>
      <c r="R142" s="354"/>
      <c r="S142" s="354"/>
      <c r="T142" s="354"/>
      <c r="U142" s="354"/>
      <c r="V142" s="354"/>
      <c r="W142" s="354"/>
      <c r="X142" s="354"/>
      <c r="Y142" s="354"/>
      <c r="Z142" s="354"/>
      <c r="AA142" s="354"/>
      <c r="AB142" s="354"/>
      <c r="AC142" s="354"/>
      <c r="AD142" s="354"/>
      <c r="AE142" s="354"/>
      <c r="AF142" s="354"/>
      <c r="AG142" s="354"/>
      <c r="AH142" s="354"/>
      <c r="AI142" s="354"/>
      <c r="AJ142" s="354"/>
      <c r="AK142" s="354"/>
      <c r="AL142" s="354"/>
      <c r="AM142" s="580">
        <f>SUM(J148:AL149)</f>
        <v>0</v>
      </c>
    </row>
    <row r="143" spans="1:39" ht="12.75">
      <c r="A143" s="600"/>
      <c r="B143" s="589"/>
      <c r="C143" s="592"/>
      <c r="D143" s="595"/>
      <c r="E143" s="586"/>
      <c r="F143" s="583">
        <f>SUM(H148:AL148)</f>
        <v>0</v>
      </c>
      <c r="G143" s="355" t="s">
        <v>115</v>
      </c>
      <c r="H143" s="356">
        <f>2650545+2110000</f>
        <v>4760545</v>
      </c>
      <c r="I143" s="357">
        <f>90000+345000</f>
        <v>435000</v>
      </c>
      <c r="J143" s="357"/>
      <c r="K143" s="357"/>
      <c r="L143" s="357"/>
      <c r="M143" s="357"/>
      <c r="N143" s="357"/>
      <c r="O143" s="357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  <c r="AA143" s="358"/>
      <c r="AB143" s="358"/>
      <c r="AC143" s="358"/>
      <c r="AD143" s="358"/>
      <c r="AE143" s="358"/>
      <c r="AF143" s="358"/>
      <c r="AG143" s="358"/>
      <c r="AH143" s="358"/>
      <c r="AI143" s="358"/>
      <c r="AJ143" s="358"/>
      <c r="AK143" s="358"/>
      <c r="AL143" s="358"/>
      <c r="AM143" s="581"/>
    </row>
    <row r="144" spans="1:39" ht="12.75">
      <c r="A144" s="600"/>
      <c r="B144" s="589"/>
      <c r="C144" s="592"/>
      <c r="D144" s="595"/>
      <c r="E144" s="586"/>
      <c r="F144" s="584"/>
      <c r="G144" s="355" t="s">
        <v>116</v>
      </c>
      <c r="H144" s="356"/>
      <c r="I144" s="357"/>
      <c r="J144" s="357"/>
      <c r="K144" s="357"/>
      <c r="L144" s="357"/>
      <c r="M144" s="357"/>
      <c r="N144" s="357"/>
      <c r="O144" s="357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  <c r="AA144" s="358"/>
      <c r="AB144" s="358"/>
      <c r="AC144" s="358"/>
      <c r="AD144" s="358"/>
      <c r="AE144" s="358"/>
      <c r="AF144" s="358"/>
      <c r="AG144" s="358"/>
      <c r="AH144" s="358"/>
      <c r="AI144" s="358"/>
      <c r="AJ144" s="358"/>
      <c r="AK144" s="358"/>
      <c r="AL144" s="358"/>
      <c r="AM144" s="581"/>
    </row>
    <row r="145" spans="1:39" ht="12.75">
      <c r="A145" s="600"/>
      <c r="B145" s="589"/>
      <c r="C145" s="592"/>
      <c r="D145" s="595"/>
      <c r="E145" s="598"/>
      <c r="F145" s="359" t="s">
        <v>117</v>
      </c>
      <c r="G145" s="355" t="s">
        <v>118</v>
      </c>
      <c r="H145" s="356"/>
      <c r="I145" s="357"/>
      <c r="J145" s="357"/>
      <c r="K145" s="357"/>
      <c r="L145" s="357"/>
      <c r="M145" s="357"/>
      <c r="N145" s="357"/>
      <c r="O145" s="357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  <c r="AA145" s="358"/>
      <c r="AB145" s="358"/>
      <c r="AC145" s="358"/>
      <c r="AD145" s="358"/>
      <c r="AE145" s="358"/>
      <c r="AF145" s="358"/>
      <c r="AG145" s="358"/>
      <c r="AH145" s="358"/>
      <c r="AI145" s="358"/>
      <c r="AJ145" s="358"/>
      <c r="AK145" s="358"/>
      <c r="AL145" s="358"/>
      <c r="AM145" s="581"/>
    </row>
    <row r="146" spans="1:39" ht="12.75">
      <c r="A146" s="600"/>
      <c r="B146" s="589"/>
      <c r="C146" s="592"/>
      <c r="D146" s="595"/>
      <c r="E146" s="585">
        <v>2012</v>
      </c>
      <c r="F146" s="583">
        <f>SUM(H149:AL149)</f>
        <v>5195545</v>
      </c>
      <c r="G146" s="355" t="s">
        <v>122</v>
      </c>
      <c r="H146" s="356"/>
      <c r="I146" s="357"/>
      <c r="J146" s="357"/>
      <c r="K146" s="357"/>
      <c r="L146" s="357"/>
      <c r="M146" s="357"/>
      <c r="N146" s="357"/>
      <c r="O146" s="357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  <c r="AA146" s="358"/>
      <c r="AB146" s="358"/>
      <c r="AC146" s="358"/>
      <c r="AD146" s="358"/>
      <c r="AE146" s="358"/>
      <c r="AF146" s="358"/>
      <c r="AG146" s="358"/>
      <c r="AH146" s="358"/>
      <c r="AI146" s="358"/>
      <c r="AJ146" s="358"/>
      <c r="AK146" s="358"/>
      <c r="AL146" s="358"/>
      <c r="AM146" s="581"/>
    </row>
    <row r="147" spans="1:39" ht="12.75">
      <c r="A147" s="600"/>
      <c r="B147" s="589"/>
      <c r="C147" s="592"/>
      <c r="D147" s="595"/>
      <c r="E147" s="586"/>
      <c r="F147" s="584"/>
      <c r="G147" s="355" t="s">
        <v>123</v>
      </c>
      <c r="H147" s="356"/>
      <c r="I147" s="357"/>
      <c r="J147" s="357"/>
      <c r="K147" s="357"/>
      <c r="L147" s="357"/>
      <c r="M147" s="357"/>
      <c r="N147" s="357"/>
      <c r="O147" s="357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  <c r="AA147" s="358"/>
      <c r="AB147" s="358"/>
      <c r="AC147" s="358"/>
      <c r="AD147" s="358"/>
      <c r="AE147" s="358"/>
      <c r="AF147" s="358"/>
      <c r="AG147" s="358"/>
      <c r="AH147" s="358"/>
      <c r="AI147" s="358"/>
      <c r="AJ147" s="358"/>
      <c r="AK147" s="358"/>
      <c r="AL147" s="358"/>
      <c r="AM147" s="581"/>
    </row>
    <row r="148" spans="1:39" ht="12.75">
      <c r="A148" s="600"/>
      <c r="B148" s="589"/>
      <c r="C148" s="592"/>
      <c r="D148" s="595"/>
      <c r="E148" s="586"/>
      <c r="F148" s="359" t="s">
        <v>121</v>
      </c>
      <c r="G148" s="355" t="s">
        <v>124</v>
      </c>
      <c r="H148" s="360">
        <f aca="true" t="shared" si="34" ref="H148:AL148">H142+H144+H146</f>
        <v>0</v>
      </c>
      <c r="I148" s="361">
        <f t="shared" si="34"/>
        <v>0</v>
      </c>
      <c r="J148" s="361">
        <f t="shared" si="34"/>
        <v>0</v>
      </c>
      <c r="K148" s="361">
        <f t="shared" si="34"/>
        <v>0</v>
      </c>
      <c r="L148" s="361">
        <f t="shared" si="34"/>
        <v>0</v>
      </c>
      <c r="M148" s="361">
        <f t="shared" si="34"/>
        <v>0</v>
      </c>
      <c r="N148" s="361">
        <f t="shared" si="34"/>
        <v>0</v>
      </c>
      <c r="O148" s="361">
        <f t="shared" si="34"/>
        <v>0</v>
      </c>
      <c r="P148" s="361">
        <f t="shared" si="34"/>
        <v>0</v>
      </c>
      <c r="Q148" s="361">
        <f t="shared" si="34"/>
        <v>0</v>
      </c>
      <c r="R148" s="361">
        <f t="shared" si="34"/>
        <v>0</v>
      </c>
      <c r="S148" s="361">
        <f t="shared" si="34"/>
        <v>0</v>
      </c>
      <c r="T148" s="361">
        <f t="shared" si="34"/>
        <v>0</v>
      </c>
      <c r="U148" s="361">
        <f t="shared" si="34"/>
        <v>0</v>
      </c>
      <c r="V148" s="361">
        <f t="shared" si="34"/>
        <v>0</v>
      </c>
      <c r="W148" s="361">
        <f t="shared" si="34"/>
        <v>0</v>
      </c>
      <c r="X148" s="361">
        <f t="shared" si="34"/>
        <v>0</v>
      </c>
      <c r="Y148" s="361">
        <f t="shared" si="34"/>
        <v>0</v>
      </c>
      <c r="Z148" s="361">
        <f t="shared" si="34"/>
        <v>0</v>
      </c>
      <c r="AA148" s="361">
        <f t="shared" si="34"/>
        <v>0</v>
      </c>
      <c r="AB148" s="361">
        <f t="shared" si="34"/>
        <v>0</v>
      </c>
      <c r="AC148" s="361">
        <f t="shared" si="34"/>
        <v>0</v>
      </c>
      <c r="AD148" s="361">
        <f t="shared" si="34"/>
        <v>0</v>
      </c>
      <c r="AE148" s="361">
        <f t="shared" si="34"/>
        <v>0</v>
      </c>
      <c r="AF148" s="361">
        <f t="shared" si="34"/>
        <v>0</v>
      </c>
      <c r="AG148" s="361">
        <f t="shared" si="34"/>
        <v>0</v>
      </c>
      <c r="AH148" s="361">
        <f t="shared" si="34"/>
        <v>0</v>
      </c>
      <c r="AI148" s="361">
        <f t="shared" si="34"/>
        <v>0</v>
      </c>
      <c r="AJ148" s="361">
        <f t="shared" si="34"/>
        <v>0</v>
      </c>
      <c r="AK148" s="361">
        <f t="shared" si="34"/>
        <v>0</v>
      </c>
      <c r="AL148" s="361">
        <f t="shared" si="34"/>
        <v>0</v>
      </c>
      <c r="AM148" s="581"/>
    </row>
    <row r="149" spans="1:39" ht="13.5" thickBot="1">
      <c r="A149" s="601"/>
      <c r="B149" s="590"/>
      <c r="C149" s="593"/>
      <c r="D149" s="596"/>
      <c r="E149" s="587"/>
      <c r="F149" s="363">
        <f>F143+F146</f>
        <v>5195545</v>
      </c>
      <c r="G149" s="364" t="s">
        <v>125</v>
      </c>
      <c r="H149" s="365">
        <f aca="true" t="shared" si="35" ref="H149:AL149">H143+H145+H147</f>
        <v>4760545</v>
      </c>
      <c r="I149" s="366">
        <f t="shared" si="35"/>
        <v>435000</v>
      </c>
      <c r="J149" s="366">
        <f t="shared" si="35"/>
        <v>0</v>
      </c>
      <c r="K149" s="366">
        <f t="shared" si="35"/>
        <v>0</v>
      </c>
      <c r="L149" s="366">
        <f t="shared" si="35"/>
        <v>0</v>
      </c>
      <c r="M149" s="366">
        <f t="shared" si="35"/>
        <v>0</v>
      </c>
      <c r="N149" s="366">
        <f t="shared" si="35"/>
        <v>0</v>
      </c>
      <c r="O149" s="366">
        <f t="shared" si="35"/>
        <v>0</v>
      </c>
      <c r="P149" s="366">
        <f t="shared" si="35"/>
        <v>0</v>
      </c>
      <c r="Q149" s="366">
        <f t="shared" si="35"/>
        <v>0</v>
      </c>
      <c r="R149" s="366">
        <f t="shared" si="35"/>
        <v>0</v>
      </c>
      <c r="S149" s="366">
        <f t="shared" si="35"/>
        <v>0</v>
      </c>
      <c r="T149" s="366">
        <f t="shared" si="35"/>
        <v>0</v>
      </c>
      <c r="U149" s="366">
        <f t="shared" si="35"/>
        <v>0</v>
      </c>
      <c r="V149" s="366">
        <f t="shared" si="35"/>
        <v>0</v>
      </c>
      <c r="W149" s="366">
        <f t="shared" si="35"/>
        <v>0</v>
      </c>
      <c r="X149" s="366">
        <f t="shared" si="35"/>
        <v>0</v>
      </c>
      <c r="Y149" s="366">
        <f t="shared" si="35"/>
        <v>0</v>
      </c>
      <c r="Z149" s="366">
        <f t="shared" si="35"/>
        <v>0</v>
      </c>
      <c r="AA149" s="366">
        <f t="shared" si="35"/>
        <v>0</v>
      </c>
      <c r="AB149" s="366">
        <f t="shared" si="35"/>
        <v>0</v>
      </c>
      <c r="AC149" s="366">
        <f t="shared" si="35"/>
        <v>0</v>
      </c>
      <c r="AD149" s="366">
        <f t="shared" si="35"/>
        <v>0</v>
      </c>
      <c r="AE149" s="366">
        <f t="shared" si="35"/>
        <v>0</v>
      </c>
      <c r="AF149" s="366">
        <f t="shared" si="35"/>
        <v>0</v>
      </c>
      <c r="AG149" s="366">
        <f t="shared" si="35"/>
        <v>0</v>
      </c>
      <c r="AH149" s="366">
        <f t="shared" si="35"/>
        <v>0</v>
      </c>
      <c r="AI149" s="366">
        <f t="shared" si="35"/>
        <v>0</v>
      </c>
      <c r="AJ149" s="366">
        <f t="shared" si="35"/>
        <v>0</v>
      </c>
      <c r="AK149" s="366">
        <f t="shared" si="35"/>
        <v>0</v>
      </c>
      <c r="AL149" s="366">
        <f t="shared" si="35"/>
        <v>0</v>
      </c>
      <c r="AM149" s="582"/>
    </row>
    <row r="150" spans="1:39" ht="12.75" customHeight="1">
      <c r="A150" s="599">
        <v>19</v>
      </c>
      <c r="B150" s="588" t="s">
        <v>205</v>
      </c>
      <c r="C150" s="591">
        <v>80101</v>
      </c>
      <c r="D150" s="594" t="s">
        <v>188</v>
      </c>
      <c r="E150" s="597">
        <v>2011</v>
      </c>
      <c r="F150" s="350" t="s">
        <v>113</v>
      </c>
      <c r="G150" s="351" t="s">
        <v>114</v>
      </c>
      <c r="H150" s="352"/>
      <c r="I150" s="353"/>
      <c r="J150" s="353"/>
      <c r="K150" s="353"/>
      <c r="L150" s="353"/>
      <c r="M150" s="353"/>
      <c r="N150" s="353"/>
      <c r="O150" s="353"/>
      <c r="P150" s="354"/>
      <c r="Q150" s="354"/>
      <c r="R150" s="354"/>
      <c r="S150" s="354"/>
      <c r="T150" s="354"/>
      <c r="U150" s="354"/>
      <c r="V150" s="354"/>
      <c r="W150" s="354"/>
      <c r="X150" s="354"/>
      <c r="Y150" s="354"/>
      <c r="Z150" s="354"/>
      <c r="AA150" s="354"/>
      <c r="AB150" s="354"/>
      <c r="AC150" s="354"/>
      <c r="AD150" s="354"/>
      <c r="AE150" s="354"/>
      <c r="AF150" s="354"/>
      <c r="AG150" s="354"/>
      <c r="AH150" s="354"/>
      <c r="AI150" s="354"/>
      <c r="AJ150" s="354"/>
      <c r="AK150" s="354"/>
      <c r="AL150" s="354"/>
      <c r="AM150" s="580">
        <f>SUM(J156:AL157)</f>
        <v>16500000</v>
      </c>
    </row>
    <row r="151" spans="1:39" ht="12.75">
      <c r="A151" s="600"/>
      <c r="B151" s="589"/>
      <c r="C151" s="592"/>
      <c r="D151" s="595"/>
      <c r="E151" s="586"/>
      <c r="F151" s="583">
        <f>SUM(H156:AL156)</f>
        <v>0</v>
      </c>
      <c r="G151" s="355" t="s">
        <v>115</v>
      </c>
      <c r="H151" s="356">
        <f>500000</f>
        <v>500000</v>
      </c>
      <c r="I151" s="357">
        <v>10500000</v>
      </c>
      <c r="J151" s="357">
        <v>10000000</v>
      </c>
      <c r="K151" s="357">
        <v>6500000</v>
      </c>
      <c r="L151" s="357"/>
      <c r="M151" s="357"/>
      <c r="N151" s="357"/>
      <c r="O151" s="357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8"/>
      <c r="AC151" s="358"/>
      <c r="AD151" s="358"/>
      <c r="AE151" s="358"/>
      <c r="AF151" s="358"/>
      <c r="AG151" s="358"/>
      <c r="AH151" s="358"/>
      <c r="AI151" s="358"/>
      <c r="AJ151" s="358"/>
      <c r="AK151" s="358"/>
      <c r="AL151" s="358"/>
      <c r="AM151" s="581"/>
    </row>
    <row r="152" spans="1:39" ht="12.75">
      <c r="A152" s="600"/>
      <c r="B152" s="589"/>
      <c r="C152" s="592"/>
      <c r="D152" s="595"/>
      <c r="E152" s="586"/>
      <c r="F152" s="584"/>
      <c r="G152" s="355" t="s">
        <v>116</v>
      </c>
      <c r="H152" s="356"/>
      <c r="I152" s="357"/>
      <c r="J152" s="357"/>
      <c r="K152" s="357"/>
      <c r="L152" s="357"/>
      <c r="M152" s="357"/>
      <c r="N152" s="357"/>
      <c r="O152" s="357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  <c r="AA152" s="358"/>
      <c r="AB152" s="358"/>
      <c r="AC152" s="358"/>
      <c r="AD152" s="358"/>
      <c r="AE152" s="358"/>
      <c r="AF152" s="358"/>
      <c r="AG152" s="358"/>
      <c r="AH152" s="358"/>
      <c r="AI152" s="358"/>
      <c r="AJ152" s="358"/>
      <c r="AK152" s="358"/>
      <c r="AL152" s="358"/>
      <c r="AM152" s="581"/>
    </row>
    <row r="153" spans="1:39" ht="12.75">
      <c r="A153" s="600"/>
      <c r="B153" s="589"/>
      <c r="C153" s="592"/>
      <c r="D153" s="595"/>
      <c r="E153" s="598"/>
      <c r="F153" s="359" t="s">
        <v>117</v>
      </c>
      <c r="G153" s="355" t="s">
        <v>118</v>
      </c>
      <c r="H153" s="356"/>
      <c r="I153" s="357"/>
      <c r="J153" s="357"/>
      <c r="K153" s="357"/>
      <c r="L153" s="357"/>
      <c r="M153" s="357"/>
      <c r="N153" s="357"/>
      <c r="O153" s="357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8"/>
      <c r="AC153" s="358"/>
      <c r="AD153" s="358"/>
      <c r="AE153" s="358"/>
      <c r="AF153" s="358"/>
      <c r="AG153" s="358"/>
      <c r="AH153" s="358"/>
      <c r="AI153" s="358"/>
      <c r="AJ153" s="358"/>
      <c r="AK153" s="358"/>
      <c r="AL153" s="358"/>
      <c r="AM153" s="581"/>
    </row>
    <row r="154" spans="1:39" ht="12.75">
      <c r="A154" s="600"/>
      <c r="B154" s="589"/>
      <c r="C154" s="592"/>
      <c r="D154" s="595"/>
      <c r="E154" s="585">
        <v>2014</v>
      </c>
      <c r="F154" s="583">
        <f>SUM(H157:AL157)</f>
        <v>27500000</v>
      </c>
      <c r="G154" s="355" t="s">
        <v>122</v>
      </c>
      <c r="H154" s="356"/>
      <c r="I154" s="357"/>
      <c r="J154" s="357"/>
      <c r="K154" s="357"/>
      <c r="L154" s="357"/>
      <c r="M154" s="357"/>
      <c r="N154" s="357"/>
      <c r="O154" s="357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  <c r="AA154" s="358"/>
      <c r="AB154" s="358"/>
      <c r="AC154" s="358"/>
      <c r="AD154" s="358"/>
      <c r="AE154" s="358"/>
      <c r="AF154" s="358"/>
      <c r="AG154" s="358"/>
      <c r="AH154" s="358"/>
      <c r="AI154" s="358"/>
      <c r="AJ154" s="358"/>
      <c r="AK154" s="358"/>
      <c r="AL154" s="358"/>
      <c r="AM154" s="581"/>
    </row>
    <row r="155" spans="1:39" ht="12.75">
      <c r="A155" s="600"/>
      <c r="B155" s="589"/>
      <c r="C155" s="592"/>
      <c r="D155" s="595"/>
      <c r="E155" s="586"/>
      <c r="F155" s="584"/>
      <c r="G155" s="355" t="s">
        <v>123</v>
      </c>
      <c r="H155" s="356"/>
      <c r="I155" s="357"/>
      <c r="J155" s="357"/>
      <c r="K155" s="357"/>
      <c r="L155" s="357"/>
      <c r="M155" s="357"/>
      <c r="N155" s="357"/>
      <c r="O155" s="357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  <c r="AA155" s="358"/>
      <c r="AB155" s="358"/>
      <c r="AC155" s="358"/>
      <c r="AD155" s="358"/>
      <c r="AE155" s="358"/>
      <c r="AF155" s="358"/>
      <c r="AG155" s="358"/>
      <c r="AH155" s="358"/>
      <c r="AI155" s="358"/>
      <c r="AJ155" s="358"/>
      <c r="AK155" s="358"/>
      <c r="AL155" s="358"/>
      <c r="AM155" s="581"/>
    </row>
    <row r="156" spans="1:39" ht="12.75">
      <c r="A156" s="600"/>
      <c r="B156" s="589"/>
      <c r="C156" s="592"/>
      <c r="D156" s="595"/>
      <c r="E156" s="586"/>
      <c r="F156" s="359" t="s">
        <v>121</v>
      </c>
      <c r="G156" s="355" t="s">
        <v>124</v>
      </c>
      <c r="H156" s="360">
        <f aca="true" t="shared" si="36" ref="H156:AL156">H150+H152+H154</f>
        <v>0</v>
      </c>
      <c r="I156" s="361">
        <f t="shared" si="36"/>
        <v>0</v>
      </c>
      <c r="J156" s="361">
        <f t="shared" si="36"/>
        <v>0</v>
      </c>
      <c r="K156" s="361">
        <f t="shared" si="36"/>
        <v>0</v>
      </c>
      <c r="L156" s="361">
        <f t="shared" si="36"/>
        <v>0</v>
      </c>
      <c r="M156" s="361">
        <f t="shared" si="36"/>
        <v>0</v>
      </c>
      <c r="N156" s="361">
        <f t="shared" si="36"/>
        <v>0</v>
      </c>
      <c r="O156" s="361">
        <f t="shared" si="36"/>
        <v>0</v>
      </c>
      <c r="P156" s="361">
        <f t="shared" si="36"/>
        <v>0</v>
      </c>
      <c r="Q156" s="361">
        <f t="shared" si="36"/>
        <v>0</v>
      </c>
      <c r="R156" s="361">
        <f t="shared" si="36"/>
        <v>0</v>
      </c>
      <c r="S156" s="361">
        <f t="shared" si="36"/>
        <v>0</v>
      </c>
      <c r="T156" s="361">
        <f t="shared" si="36"/>
        <v>0</v>
      </c>
      <c r="U156" s="361">
        <f t="shared" si="36"/>
        <v>0</v>
      </c>
      <c r="V156" s="361">
        <f t="shared" si="36"/>
        <v>0</v>
      </c>
      <c r="W156" s="361">
        <f t="shared" si="36"/>
        <v>0</v>
      </c>
      <c r="X156" s="361">
        <f t="shared" si="36"/>
        <v>0</v>
      </c>
      <c r="Y156" s="361">
        <f t="shared" si="36"/>
        <v>0</v>
      </c>
      <c r="Z156" s="361">
        <f t="shared" si="36"/>
        <v>0</v>
      </c>
      <c r="AA156" s="361">
        <f t="shared" si="36"/>
        <v>0</v>
      </c>
      <c r="AB156" s="361">
        <f t="shared" si="36"/>
        <v>0</v>
      </c>
      <c r="AC156" s="361">
        <f t="shared" si="36"/>
        <v>0</v>
      </c>
      <c r="AD156" s="361">
        <f t="shared" si="36"/>
        <v>0</v>
      </c>
      <c r="AE156" s="361">
        <f t="shared" si="36"/>
        <v>0</v>
      </c>
      <c r="AF156" s="361">
        <f t="shared" si="36"/>
        <v>0</v>
      </c>
      <c r="AG156" s="361">
        <f t="shared" si="36"/>
        <v>0</v>
      </c>
      <c r="AH156" s="361">
        <f t="shared" si="36"/>
        <v>0</v>
      </c>
      <c r="AI156" s="361">
        <f t="shared" si="36"/>
        <v>0</v>
      </c>
      <c r="AJ156" s="361">
        <f t="shared" si="36"/>
        <v>0</v>
      </c>
      <c r="AK156" s="361">
        <f t="shared" si="36"/>
        <v>0</v>
      </c>
      <c r="AL156" s="361">
        <f t="shared" si="36"/>
        <v>0</v>
      </c>
      <c r="AM156" s="581"/>
    </row>
    <row r="157" spans="1:39" ht="13.5" thickBot="1">
      <c r="A157" s="601"/>
      <c r="B157" s="590"/>
      <c r="C157" s="593"/>
      <c r="D157" s="596"/>
      <c r="E157" s="587"/>
      <c r="F157" s="363">
        <f>F151+F154</f>
        <v>27500000</v>
      </c>
      <c r="G157" s="364" t="s">
        <v>125</v>
      </c>
      <c r="H157" s="365">
        <f aca="true" t="shared" si="37" ref="H157:AL157">H151+H153+H155</f>
        <v>500000</v>
      </c>
      <c r="I157" s="366">
        <f t="shared" si="37"/>
        <v>10500000</v>
      </c>
      <c r="J157" s="366">
        <f t="shared" si="37"/>
        <v>10000000</v>
      </c>
      <c r="K157" s="366">
        <f t="shared" si="37"/>
        <v>6500000</v>
      </c>
      <c r="L157" s="366">
        <f t="shared" si="37"/>
        <v>0</v>
      </c>
      <c r="M157" s="366">
        <f t="shared" si="37"/>
        <v>0</v>
      </c>
      <c r="N157" s="366">
        <f t="shared" si="37"/>
        <v>0</v>
      </c>
      <c r="O157" s="366">
        <f t="shared" si="37"/>
        <v>0</v>
      </c>
      <c r="P157" s="366">
        <f t="shared" si="37"/>
        <v>0</v>
      </c>
      <c r="Q157" s="366">
        <f t="shared" si="37"/>
        <v>0</v>
      </c>
      <c r="R157" s="366">
        <f t="shared" si="37"/>
        <v>0</v>
      </c>
      <c r="S157" s="366">
        <f t="shared" si="37"/>
        <v>0</v>
      </c>
      <c r="T157" s="366">
        <f t="shared" si="37"/>
        <v>0</v>
      </c>
      <c r="U157" s="366">
        <f t="shared" si="37"/>
        <v>0</v>
      </c>
      <c r="V157" s="366">
        <f t="shared" si="37"/>
        <v>0</v>
      </c>
      <c r="W157" s="366">
        <f t="shared" si="37"/>
        <v>0</v>
      </c>
      <c r="X157" s="366">
        <f t="shared" si="37"/>
        <v>0</v>
      </c>
      <c r="Y157" s="366">
        <f t="shared" si="37"/>
        <v>0</v>
      </c>
      <c r="Z157" s="366">
        <f t="shared" si="37"/>
        <v>0</v>
      </c>
      <c r="AA157" s="366">
        <f t="shared" si="37"/>
        <v>0</v>
      </c>
      <c r="AB157" s="366">
        <f t="shared" si="37"/>
        <v>0</v>
      </c>
      <c r="AC157" s="366">
        <f t="shared" si="37"/>
        <v>0</v>
      </c>
      <c r="AD157" s="366">
        <f t="shared" si="37"/>
        <v>0</v>
      </c>
      <c r="AE157" s="366">
        <f t="shared" si="37"/>
        <v>0</v>
      </c>
      <c r="AF157" s="366">
        <f t="shared" si="37"/>
        <v>0</v>
      </c>
      <c r="AG157" s="366">
        <f t="shared" si="37"/>
        <v>0</v>
      </c>
      <c r="AH157" s="366">
        <f t="shared" si="37"/>
        <v>0</v>
      </c>
      <c r="AI157" s="366">
        <f t="shared" si="37"/>
        <v>0</v>
      </c>
      <c r="AJ157" s="366">
        <f t="shared" si="37"/>
        <v>0</v>
      </c>
      <c r="AK157" s="366">
        <f t="shared" si="37"/>
        <v>0</v>
      </c>
      <c r="AL157" s="366">
        <f t="shared" si="37"/>
        <v>0</v>
      </c>
      <c r="AM157" s="582"/>
    </row>
    <row r="158" spans="1:39" ht="12.75" customHeight="1">
      <c r="A158" s="599">
        <v>20</v>
      </c>
      <c r="B158" s="588" t="s">
        <v>199</v>
      </c>
      <c r="C158" s="591">
        <v>80101</v>
      </c>
      <c r="D158" s="594" t="s">
        <v>188</v>
      </c>
      <c r="E158" s="597">
        <v>2011</v>
      </c>
      <c r="F158" s="350" t="s">
        <v>113</v>
      </c>
      <c r="G158" s="351" t="s">
        <v>114</v>
      </c>
      <c r="H158" s="352"/>
      <c r="I158" s="353"/>
      <c r="J158" s="353"/>
      <c r="K158" s="353"/>
      <c r="L158" s="353"/>
      <c r="M158" s="353"/>
      <c r="N158" s="353"/>
      <c r="O158" s="353"/>
      <c r="P158" s="354"/>
      <c r="Q158" s="354"/>
      <c r="R158" s="354"/>
      <c r="S158" s="354"/>
      <c r="T158" s="354"/>
      <c r="U158" s="354"/>
      <c r="V158" s="354"/>
      <c r="W158" s="354"/>
      <c r="X158" s="354"/>
      <c r="Y158" s="354"/>
      <c r="Z158" s="354"/>
      <c r="AA158" s="354"/>
      <c r="AB158" s="354"/>
      <c r="AC158" s="354"/>
      <c r="AD158" s="354"/>
      <c r="AE158" s="354"/>
      <c r="AF158" s="354"/>
      <c r="AG158" s="354"/>
      <c r="AH158" s="354"/>
      <c r="AI158" s="354"/>
      <c r="AJ158" s="354"/>
      <c r="AK158" s="354"/>
      <c r="AL158" s="354"/>
      <c r="AM158" s="580">
        <f>SUM(J164:AL165)</f>
        <v>400000</v>
      </c>
    </row>
    <row r="159" spans="1:39" ht="12.75">
      <c r="A159" s="600"/>
      <c r="B159" s="589"/>
      <c r="C159" s="592"/>
      <c r="D159" s="595"/>
      <c r="E159" s="586"/>
      <c r="F159" s="583">
        <f>SUM(H164:AL164)</f>
        <v>0</v>
      </c>
      <c r="G159" s="355" t="s">
        <v>115</v>
      </c>
      <c r="H159" s="356">
        <f>600000</f>
        <v>600000</v>
      </c>
      <c r="I159" s="357">
        <v>400000</v>
      </c>
      <c r="J159" s="357">
        <v>200000</v>
      </c>
      <c r="K159" s="357">
        <v>200000</v>
      </c>
      <c r="L159" s="357"/>
      <c r="M159" s="357"/>
      <c r="N159" s="357"/>
      <c r="O159" s="357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  <c r="AA159" s="358"/>
      <c r="AB159" s="358"/>
      <c r="AC159" s="358"/>
      <c r="AD159" s="358"/>
      <c r="AE159" s="358"/>
      <c r="AF159" s="358"/>
      <c r="AG159" s="358"/>
      <c r="AH159" s="358"/>
      <c r="AI159" s="358"/>
      <c r="AJ159" s="358"/>
      <c r="AK159" s="358"/>
      <c r="AL159" s="358"/>
      <c r="AM159" s="581"/>
    </row>
    <row r="160" spans="1:39" ht="12.75">
      <c r="A160" s="600"/>
      <c r="B160" s="589"/>
      <c r="C160" s="592"/>
      <c r="D160" s="595"/>
      <c r="E160" s="586"/>
      <c r="F160" s="584"/>
      <c r="G160" s="355" t="s">
        <v>116</v>
      </c>
      <c r="H160" s="356"/>
      <c r="I160" s="357"/>
      <c r="J160" s="357"/>
      <c r="K160" s="357"/>
      <c r="L160" s="357"/>
      <c r="M160" s="357"/>
      <c r="N160" s="357"/>
      <c r="O160" s="357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  <c r="AA160" s="358"/>
      <c r="AB160" s="358"/>
      <c r="AC160" s="358"/>
      <c r="AD160" s="358"/>
      <c r="AE160" s="358"/>
      <c r="AF160" s="358"/>
      <c r="AG160" s="358"/>
      <c r="AH160" s="358"/>
      <c r="AI160" s="358"/>
      <c r="AJ160" s="358"/>
      <c r="AK160" s="358"/>
      <c r="AL160" s="358"/>
      <c r="AM160" s="581"/>
    </row>
    <row r="161" spans="1:39" ht="9.75" customHeight="1">
      <c r="A161" s="600"/>
      <c r="B161" s="589"/>
      <c r="C161" s="592"/>
      <c r="D161" s="595"/>
      <c r="E161" s="598"/>
      <c r="F161" s="359" t="s">
        <v>117</v>
      </c>
      <c r="G161" s="355" t="s">
        <v>118</v>
      </c>
      <c r="H161" s="356"/>
      <c r="I161" s="357"/>
      <c r="J161" s="357"/>
      <c r="K161" s="357"/>
      <c r="L161" s="357"/>
      <c r="M161" s="357"/>
      <c r="N161" s="357"/>
      <c r="O161" s="357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  <c r="AA161" s="358"/>
      <c r="AB161" s="358"/>
      <c r="AC161" s="358"/>
      <c r="AD161" s="358"/>
      <c r="AE161" s="358"/>
      <c r="AF161" s="358"/>
      <c r="AG161" s="358"/>
      <c r="AH161" s="358"/>
      <c r="AI161" s="358"/>
      <c r="AJ161" s="358"/>
      <c r="AK161" s="358"/>
      <c r="AL161" s="358"/>
      <c r="AM161" s="581"/>
    </row>
    <row r="162" spans="1:39" ht="12.75">
      <c r="A162" s="600"/>
      <c r="B162" s="589"/>
      <c r="C162" s="592"/>
      <c r="D162" s="595"/>
      <c r="E162" s="585">
        <v>2014</v>
      </c>
      <c r="F162" s="583">
        <f>SUM(H165:AL165)</f>
        <v>1400000</v>
      </c>
      <c r="G162" s="355" t="s">
        <v>122</v>
      </c>
      <c r="H162" s="356"/>
      <c r="I162" s="357"/>
      <c r="J162" s="357"/>
      <c r="K162" s="357"/>
      <c r="L162" s="357"/>
      <c r="M162" s="357"/>
      <c r="N162" s="357"/>
      <c r="O162" s="357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  <c r="AA162" s="358"/>
      <c r="AB162" s="358"/>
      <c r="AC162" s="358"/>
      <c r="AD162" s="358"/>
      <c r="AE162" s="358"/>
      <c r="AF162" s="358"/>
      <c r="AG162" s="358"/>
      <c r="AH162" s="358"/>
      <c r="AI162" s="358"/>
      <c r="AJ162" s="358"/>
      <c r="AK162" s="358"/>
      <c r="AL162" s="358"/>
      <c r="AM162" s="581"/>
    </row>
    <row r="163" spans="1:39" ht="12.75">
      <c r="A163" s="600"/>
      <c r="B163" s="589"/>
      <c r="C163" s="592"/>
      <c r="D163" s="595"/>
      <c r="E163" s="586"/>
      <c r="F163" s="584"/>
      <c r="G163" s="355" t="s">
        <v>123</v>
      </c>
      <c r="H163" s="356"/>
      <c r="I163" s="357"/>
      <c r="J163" s="357"/>
      <c r="K163" s="357"/>
      <c r="L163" s="357"/>
      <c r="M163" s="357"/>
      <c r="N163" s="357"/>
      <c r="O163" s="357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8"/>
      <c r="AH163" s="358"/>
      <c r="AI163" s="358"/>
      <c r="AJ163" s="358"/>
      <c r="AK163" s="358"/>
      <c r="AL163" s="358"/>
      <c r="AM163" s="581"/>
    </row>
    <row r="164" spans="1:39" ht="12.75">
      <c r="A164" s="600"/>
      <c r="B164" s="589"/>
      <c r="C164" s="592"/>
      <c r="D164" s="595"/>
      <c r="E164" s="586"/>
      <c r="F164" s="359" t="s">
        <v>121</v>
      </c>
      <c r="G164" s="355" t="s">
        <v>124</v>
      </c>
      <c r="H164" s="360">
        <f aca="true" t="shared" si="38" ref="H164:AL164">H158+H160+H162</f>
        <v>0</v>
      </c>
      <c r="I164" s="361">
        <f t="shared" si="38"/>
        <v>0</v>
      </c>
      <c r="J164" s="361">
        <f t="shared" si="38"/>
        <v>0</v>
      </c>
      <c r="K164" s="361">
        <f t="shared" si="38"/>
        <v>0</v>
      </c>
      <c r="L164" s="361">
        <f t="shared" si="38"/>
        <v>0</v>
      </c>
      <c r="M164" s="361">
        <f t="shared" si="38"/>
        <v>0</v>
      </c>
      <c r="N164" s="361">
        <f t="shared" si="38"/>
        <v>0</v>
      </c>
      <c r="O164" s="361">
        <f t="shared" si="38"/>
        <v>0</v>
      </c>
      <c r="P164" s="361">
        <f t="shared" si="38"/>
        <v>0</v>
      </c>
      <c r="Q164" s="361">
        <f t="shared" si="38"/>
        <v>0</v>
      </c>
      <c r="R164" s="361">
        <f t="shared" si="38"/>
        <v>0</v>
      </c>
      <c r="S164" s="361">
        <f t="shared" si="38"/>
        <v>0</v>
      </c>
      <c r="T164" s="361">
        <f t="shared" si="38"/>
        <v>0</v>
      </c>
      <c r="U164" s="361">
        <f t="shared" si="38"/>
        <v>0</v>
      </c>
      <c r="V164" s="361">
        <f t="shared" si="38"/>
        <v>0</v>
      </c>
      <c r="W164" s="361">
        <f t="shared" si="38"/>
        <v>0</v>
      </c>
      <c r="X164" s="361">
        <f t="shared" si="38"/>
        <v>0</v>
      </c>
      <c r="Y164" s="361">
        <f t="shared" si="38"/>
        <v>0</v>
      </c>
      <c r="Z164" s="361">
        <f t="shared" si="38"/>
        <v>0</v>
      </c>
      <c r="AA164" s="361">
        <f t="shared" si="38"/>
        <v>0</v>
      </c>
      <c r="AB164" s="361">
        <f t="shared" si="38"/>
        <v>0</v>
      </c>
      <c r="AC164" s="361">
        <f t="shared" si="38"/>
        <v>0</v>
      </c>
      <c r="AD164" s="361">
        <f t="shared" si="38"/>
        <v>0</v>
      </c>
      <c r="AE164" s="361">
        <f t="shared" si="38"/>
        <v>0</v>
      </c>
      <c r="AF164" s="361">
        <f t="shared" si="38"/>
        <v>0</v>
      </c>
      <c r="AG164" s="361">
        <f t="shared" si="38"/>
        <v>0</v>
      </c>
      <c r="AH164" s="361">
        <f t="shared" si="38"/>
        <v>0</v>
      </c>
      <c r="AI164" s="361">
        <f t="shared" si="38"/>
        <v>0</v>
      </c>
      <c r="AJ164" s="361">
        <f t="shared" si="38"/>
        <v>0</v>
      </c>
      <c r="AK164" s="361">
        <f t="shared" si="38"/>
        <v>0</v>
      </c>
      <c r="AL164" s="361">
        <f t="shared" si="38"/>
        <v>0</v>
      </c>
      <c r="AM164" s="581"/>
    </row>
    <row r="165" spans="1:39" ht="13.5" thickBot="1">
      <c r="A165" s="601"/>
      <c r="B165" s="590"/>
      <c r="C165" s="593"/>
      <c r="D165" s="596"/>
      <c r="E165" s="587"/>
      <c r="F165" s="363">
        <f>F159+F162</f>
        <v>1400000</v>
      </c>
      <c r="G165" s="364" t="s">
        <v>125</v>
      </c>
      <c r="H165" s="365">
        <f aca="true" t="shared" si="39" ref="H165:AL165">H159+H161+H163</f>
        <v>600000</v>
      </c>
      <c r="I165" s="366">
        <f t="shared" si="39"/>
        <v>400000</v>
      </c>
      <c r="J165" s="366">
        <f t="shared" si="39"/>
        <v>200000</v>
      </c>
      <c r="K165" s="366">
        <f t="shared" si="39"/>
        <v>200000</v>
      </c>
      <c r="L165" s="366">
        <f t="shared" si="39"/>
        <v>0</v>
      </c>
      <c r="M165" s="366">
        <f t="shared" si="39"/>
        <v>0</v>
      </c>
      <c r="N165" s="366">
        <f t="shared" si="39"/>
        <v>0</v>
      </c>
      <c r="O165" s="366">
        <f t="shared" si="39"/>
        <v>0</v>
      </c>
      <c r="P165" s="366">
        <f t="shared" si="39"/>
        <v>0</v>
      </c>
      <c r="Q165" s="366">
        <f t="shared" si="39"/>
        <v>0</v>
      </c>
      <c r="R165" s="366">
        <f t="shared" si="39"/>
        <v>0</v>
      </c>
      <c r="S165" s="366">
        <f t="shared" si="39"/>
        <v>0</v>
      </c>
      <c r="T165" s="366">
        <f t="shared" si="39"/>
        <v>0</v>
      </c>
      <c r="U165" s="366">
        <f t="shared" si="39"/>
        <v>0</v>
      </c>
      <c r="V165" s="366">
        <f t="shared" si="39"/>
        <v>0</v>
      </c>
      <c r="W165" s="366">
        <f t="shared" si="39"/>
        <v>0</v>
      </c>
      <c r="X165" s="366">
        <f t="shared" si="39"/>
        <v>0</v>
      </c>
      <c r="Y165" s="366">
        <f t="shared" si="39"/>
        <v>0</v>
      </c>
      <c r="Z165" s="366">
        <f t="shared" si="39"/>
        <v>0</v>
      </c>
      <c r="AA165" s="366">
        <f t="shared" si="39"/>
        <v>0</v>
      </c>
      <c r="AB165" s="366">
        <f t="shared" si="39"/>
        <v>0</v>
      </c>
      <c r="AC165" s="366">
        <f t="shared" si="39"/>
        <v>0</v>
      </c>
      <c r="AD165" s="366">
        <f t="shared" si="39"/>
        <v>0</v>
      </c>
      <c r="AE165" s="366">
        <f t="shared" si="39"/>
        <v>0</v>
      </c>
      <c r="AF165" s="366">
        <f t="shared" si="39"/>
        <v>0</v>
      </c>
      <c r="AG165" s="366">
        <f t="shared" si="39"/>
        <v>0</v>
      </c>
      <c r="AH165" s="366">
        <f t="shared" si="39"/>
        <v>0</v>
      </c>
      <c r="AI165" s="366">
        <f t="shared" si="39"/>
        <v>0</v>
      </c>
      <c r="AJ165" s="366">
        <f t="shared" si="39"/>
        <v>0</v>
      </c>
      <c r="AK165" s="366">
        <f t="shared" si="39"/>
        <v>0</v>
      </c>
      <c r="AL165" s="366">
        <f t="shared" si="39"/>
        <v>0</v>
      </c>
      <c r="AM165" s="582"/>
    </row>
    <row r="166" spans="1:39" ht="12.75" customHeight="1">
      <c r="A166" s="599">
        <v>21</v>
      </c>
      <c r="B166" s="588" t="s">
        <v>206</v>
      </c>
      <c r="C166" s="591">
        <v>80104</v>
      </c>
      <c r="D166" s="594" t="s">
        <v>188</v>
      </c>
      <c r="E166" s="597">
        <v>2012</v>
      </c>
      <c r="F166" s="350" t="s">
        <v>113</v>
      </c>
      <c r="G166" s="351" t="s">
        <v>114</v>
      </c>
      <c r="H166" s="352"/>
      <c r="I166" s="353"/>
      <c r="J166" s="353"/>
      <c r="K166" s="353"/>
      <c r="L166" s="353"/>
      <c r="M166" s="353"/>
      <c r="N166" s="353"/>
      <c r="O166" s="353"/>
      <c r="P166" s="354"/>
      <c r="Q166" s="354"/>
      <c r="R166" s="354"/>
      <c r="S166" s="354"/>
      <c r="T166" s="354"/>
      <c r="U166" s="354"/>
      <c r="V166" s="354"/>
      <c r="W166" s="354"/>
      <c r="X166" s="354"/>
      <c r="Y166" s="354"/>
      <c r="Z166" s="354"/>
      <c r="AA166" s="354"/>
      <c r="AB166" s="354"/>
      <c r="AC166" s="354"/>
      <c r="AD166" s="354"/>
      <c r="AE166" s="354"/>
      <c r="AF166" s="354"/>
      <c r="AG166" s="354"/>
      <c r="AH166" s="354"/>
      <c r="AI166" s="354"/>
      <c r="AJ166" s="354"/>
      <c r="AK166" s="354"/>
      <c r="AL166" s="354"/>
      <c r="AM166" s="580">
        <f>SUM(J172:AL173)</f>
        <v>7000000</v>
      </c>
    </row>
    <row r="167" spans="1:39" ht="12.75" customHeight="1">
      <c r="A167" s="600"/>
      <c r="B167" s="589"/>
      <c r="C167" s="592"/>
      <c r="D167" s="595"/>
      <c r="E167" s="586"/>
      <c r="F167" s="583">
        <f>SUM(H172:AL172)</f>
        <v>0</v>
      </c>
      <c r="G167" s="355" t="s">
        <v>115</v>
      </c>
      <c r="H167" s="356"/>
      <c r="I167" s="357">
        <f>1000000-1000000</f>
        <v>0</v>
      </c>
      <c r="J167" s="357">
        <v>7000000</v>
      </c>
      <c r="K167" s="357"/>
      <c r="L167" s="357"/>
      <c r="M167" s="357"/>
      <c r="N167" s="357"/>
      <c r="O167" s="357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  <c r="AA167" s="358"/>
      <c r="AB167" s="358"/>
      <c r="AC167" s="358"/>
      <c r="AD167" s="358"/>
      <c r="AE167" s="358"/>
      <c r="AF167" s="358"/>
      <c r="AG167" s="358"/>
      <c r="AH167" s="358"/>
      <c r="AI167" s="358"/>
      <c r="AJ167" s="358"/>
      <c r="AK167" s="358"/>
      <c r="AL167" s="358"/>
      <c r="AM167" s="581"/>
    </row>
    <row r="168" spans="1:39" ht="12.75">
      <c r="A168" s="600"/>
      <c r="B168" s="589"/>
      <c r="C168" s="592"/>
      <c r="D168" s="595"/>
      <c r="E168" s="586"/>
      <c r="F168" s="584"/>
      <c r="G168" s="355" t="s">
        <v>116</v>
      </c>
      <c r="H168" s="356"/>
      <c r="I168" s="357"/>
      <c r="J168" s="357"/>
      <c r="K168" s="357"/>
      <c r="L168" s="357"/>
      <c r="M168" s="357"/>
      <c r="N168" s="357"/>
      <c r="O168" s="357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58"/>
      <c r="AC168" s="358"/>
      <c r="AD168" s="358"/>
      <c r="AE168" s="358"/>
      <c r="AF168" s="358"/>
      <c r="AG168" s="358"/>
      <c r="AH168" s="358"/>
      <c r="AI168" s="358"/>
      <c r="AJ168" s="358"/>
      <c r="AK168" s="358"/>
      <c r="AL168" s="358"/>
      <c r="AM168" s="581"/>
    </row>
    <row r="169" spans="1:39" ht="10.5" customHeight="1">
      <c r="A169" s="600"/>
      <c r="B169" s="589"/>
      <c r="C169" s="592"/>
      <c r="D169" s="595"/>
      <c r="E169" s="598"/>
      <c r="F169" s="359" t="s">
        <v>117</v>
      </c>
      <c r="G169" s="355" t="s">
        <v>118</v>
      </c>
      <c r="H169" s="356"/>
      <c r="I169" s="357"/>
      <c r="J169" s="357"/>
      <c r="K169" s="357"/>
      <c r="L169" s="357"/>
      <c r="M169" s="357"/>
      <c r="N169" s="357"/>
      <c r="O169" s="357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58"/>
      <c r="AC169" s="358"/>
      <c r="AD169" s="358"/>
      <c r="AE169" s="358"/>
      <c r="AF169" s="358"/>
      <c r="AG169" s="358"/>
      <c r="AH169" s="358"/>
      <c r="AI169" s="358"/>
      <c r="AJ169" s="358"/>
      <c r="AK169" s="358"/>
      <c r="AL169" s="358"/>
      <c r="AM169" s="581"/>
    </row>
    <row r="170" spans="1:39" ht="12.75">
      <c r="A170" s="600"/>
      <c r="B170" s="589"/>
      <c r="C170" s="592"/>
      <c r="D170" s="595"/>
      <c r="E170" s="585">
        <v>2013</v>
      </c>
      <c r="F170" s="583">
        <f>SUM(H173:AL173)</f>
        <v>7000000</v>
      </c>
      <c r="G170" s="355" t="s">
        <v>122</v>
      </c>
      <c r="H170" s="356"/>
      <c r="I170" s="357"/>
      <c r="J170" s="357"/>
      <c r="K170" s="357"/>
      <c r="L170" s="357"/>
      <c r="M170" s="357"/>
      <c r="N170" s="357"/>
      <c r="O170" s="357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  <c r="AA170" s="358"/>
      <c r="AB170" s="358"/>
      <c r="AC170" s="358"/>
      <c r="AD170" s="358"/>
      <c r="AE170" s="358"/>
      <c r="AF170" s="358"/>
      <c r="AG170" s="358"/>
      <c r="AH170" s="358"/>
      <c r="AI170" s="358"/>
      <c r="AJ170" s="358"/>
      <c r="AK170" s="358"/>
      <c r="AL170" s="358"/>
      <c r="AM170" s="581"/>
    </row>
    <row r="171" spans="1:39" ht="12.75">
      <c r="A171" s="600"/>
      <c r="B171" s="589"/>
      <c r="C171" s="592"/>
      <c r="D171" s="595"/>
      <c r="E171" s="586"/>
      <c r="F171" s="584"/>
      <c r="G171" s="355" t="s">
        <v>123</v>
      </c>
      <c r="H171" s="356"/>
      <c r="I171" s="357"/>
      <c r="J171" s="357"/>
      <c r="K171" s="357"/>
      <c r="L171" s="357"/>
      <c r="M171" s="357"/>
      <c r="N171" s="357"/>
      <c r="O171" s="357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  <c r="AA171" s="358"/>
      <c r="AB171" s="358"/>
      <c r="AC171" s="358"/>
      <c r="AD171" s="358"/>
      <c r="AE171" s="358"/>
      <c r="AF171" s="358"/>
      <c r="AG171" s="358"/>
      <c r="AH171" s="358"/>
      <c r="AI171" s="358"/>
      <c r="AJ171" s="358"/>
      <c r="AK171" s="358"/>
      <c r="AL171" s="358"/>
      <c r="AM171" s="581"/>
    </row>
    <row r="172" spans="1:39" ht="12.75">
      <c r="A172" s="600"/>
      <c r="B172" s="589"/>
      <c r="C172" s="592"/>
      <c r="D172" s="595"/>
      <c r="E172" s="586"/>
      <c r="F172" s="359" t="s">
        <v>121</v>
      </c>
      <c r="G172" s="355" t="s">
        <v>124</v>
      </c>
      <c r="H172" s="360">
        <f aca="true" t="shared" si="40" ref="H172:AL172">H166+H168+H170</f>
        <v>0</v>
      </c>
      <c r="I172" s="361">
        <f t="shared" si="40"/>
        <v>0</v>
      </c>
      <c r="J172" s="361">
        <f t="shared" si="40"/>
        <v>0</v>
      </c>
      <c r="K172" s="361">
        <f t="shared" si="40"/>
        <v>0</v>
      </c>
      <c r="L172" s="361">
        <f t="shared" si="40"/>
        <v>0</v>
      </c>
      <c r="M172" s="361">
        <f t="shared" si="40"/>
        <v>0</v>
      </c>
      <c r="N172" s="361">
        <f t="shared" si="40"/>
        <v>0</v>
      </c>
      <c r="O172" s="361">
        <f t="shared" si="40"/>
        <v>0</v>
      </c>
      <c r="P172" s="361">
        <f t="shared" si="40"/>
        <v>0</v>
      </c>
      <c r="Q172" s="361">
        <f t="shared" si="40"/>
        <v>0</v>
      </c>
      <c r="R172" s="361">
        <f t="shared" si="40"/>
        <v>0</v>
      </c>
      <c r="S172" s="361">
        <f t="shared" si="40"/>
        <v>0</v>
      </c>
      <c r="T172" s="361">
        <f t="shared" si="40"/>
        <v>0</v>
      </c>
      <c r="U172" s="361">
        <f t="shared" si="40"/>
        <v>0</v>
      </c>
      <c r="V172" s="361">
        <f t="shared" si="40"/>
        <v>0</v>
      </c>
      <c r="W172" s="361">
        <f t="shared" si="40"/>
        <v>0</v>
      </c>
      <c r="X172" s="361">
        <f t="shared" si="40"/>
        <v>0</v>
      </c>
      <c r="Y172" s="361">
        <f t="shared" si="40"/>
        <v>0</v>
      </c>
      <c r="Z172" s="361">
        <f t="shared" si="40"/>
        <v>0</v>
      </c>
      <c r="AA172" s="361">
        <f t="shared" si="40"/>
        <v>0</v>
      </c>
      <c r="AB172" s="361">
        <f t="shared" si="40"/>
        <v>0</v>
      </c>
      <c r="AC172" s="361">
        <f t="shared" si="40"/>
        <v>0</v>
      </c>
      <c r="AD172" s="361">
        <f t="shared" si="40"/>
        <v>0</v>
      </c>
      <c r="AE172" s="361">
        <f t="shared" si="40"/>
        <v>0</v>
      </c>
      <c r="AF172" s="361">
        <f t="shared" si="40"/>
        <v>0</v>
      </c>
      <c r="AG172" s="361">
        <f t="shared" si="40"/>
        <v>0</v>
      </c>
      <c r="AH172" s="361">
        <f t="shared" si="40"/>
        <v>0</v>
      </c>
      <c r="AI172" s="361">
        <f t="shared" si="40"/>
        <v>0</v>
      </c>
      <c r="AJ172" s="361">
        <f t="shared" si="40"/>
        <v>0</v>
      </c>
      <c r="AK172" s="361">
        <f t="shared" si="40"/>
        <v>0</v>
      </c>
      <c r="AL172" s="361">
        <f t="shared" si="40"/>
        <v>0</v>
      </c>
      <c r="AM172" s="581"/>
    </row>
    <row r="173" spans="1:39" ht="13.5" thickBot="1">
      <c r="A173" s="601"/>
      <c r="B173" s="590"/>
      <c r="C173" s="593"/>
      <c r="D173" s="596"/>
      <c r="E173" s="587"/>
      <c r="F173" s="363">
        <f>F167+F170</f>
        <v>7000000</v>
      </c>
      <c r="G173" s="364" t="s">
        <v>125</v>
      </c>
      <c r="H173" s="365">
        <f aca="true" t="shared" si="41" ref="H173:AL173">H167+H169+H171</f>
        <v>0</v>
      </c>
      <c r="I173" s="366">
        <f t="shared" si="41"/>
        <v>0</v>
      </c>
      <c r="J173" s="366">
        <f t="shared" si="41"/>
        <v>7000000</v>
      </c>
      <c r="K173" s="366">
        <f t="shared" si="41"/>
        <v>0</v>
      </c>
      <c r="L173" s="366">
        <f t="shared" si="41"/>
        <v>0</v>
      </c>
      <c r="M173" s="366">
        <f t="shared" si="41"/>
        <v>0</v>
      </c>
      <c r="N173" s="366">
        <f t="shared" si="41"/>
        <v>0</v>
      </c>
      <c r="O173" s="366">
        <f t="shared" si="41"/>
        <v>0</v>
      </c>
      <c r="P173" s="366">
        <f t="shared" si="41"/>
        <v>0</v>
      </c>
      <c r="Q173" s="366">
        <f t="shared" si="41"/>
        <v>0</v>
      </c>
      <c r="R173" s="366">
        <f t="shared" si="41"/>
        <v>0</v>
      </c>
      <c r="S173" s="366">
        <f t="shared" si="41"/>
        <v>0</v>
      </c>
      <c r="T173" s="366">
        <f t="shared" si="41"/>
        <v>0</v>
      </c>
      <c r="U173" s="366">
        <f t="shared" si="41"/>
        <v>0</v>
      </c>
      <c r="V173" s="366">
        <f t="shared" si="41"/>
        <v>0</v>
      </c>
      <c r="W173" s="366">
        <f t="shared" si="41"/>
        <v>0</v>
      </c>
      <c r="X173" s="366">
        <f t="shared" si="41"/>
        <v>0</v>
      </c>
      <c r="Y173" s="366">
        <f t="shared" si="41"/>
        <v>0</v>
      </c>
      <c r="Z173" s="366">
        <f t="shared" si="41"/>
        <v>0</v>
      </c>
      <c r="AA173" s="366">
        <f t="shared" si="41"/>
        <v>0</v>
      </c>
      <c r="AB173" s="366">
        <f t="shared" si="41"/>
        <v>0</v>
      </c>
      <c r="AC173" s="366">
        <f t="shared" si="41"/>
        <v>0</v>
      </c>
      <c r="AD173" s="366">
        <f t="shared" si="41"/>
        <v>0</v>
      </c>
      <c r="AE173" s="366">
        <f t="shared" si="41"/>
        <v>0</v>
      </c>
      <c r="AF173" s="366">
        <f t="shared" si="41"/>
        <v>0</v>
      </c>
      <c r="AG173" s="366">
        <f t="shared" si="41"/>
        <v>0</v>
      </c>
      <c r="AH173" s="366">
        <f t="shared" si="41"/>
        <v>0</v>
      </c>
      <c r="AI173" s="366">
        <f t="shared" si="41"/>
        <v>0</v>
      </c>
      <c r="AJ173" s="366">
        <f t="shared" si="41"/>
        <v>0</v>
      </c>
      <c r="AK173" s="366">
        <f t="shared" si="41"/>
        <v>0</v>
      </c>
      <c r="AL173" s="366">
        <f t="shared" si="41"/>
        <v>0</v>
      </c>
      <c r="AM173" s="582"/>
    </row>
    <row r="174" spans="1:39" ht="12.75" customHeight="1">
      <c r="A174" s="599">
        <v>22</v>
      </c>
      <c r="B174" s="588" t="s">
        <v>207</v>
      </c>
      <c r="C174" s="591">
        <v>80120</v>
      </c>
      <c r="D174" s="594" t="s">
        <v>188</v>
      </c>
      <c r="E174" s="597">
        <v>2011</v>
      </c>
      <c r="F174" s="350" t="s">
        <v>113</v>
      </c>
      <c r="G174" s="351" t="s">
        <v>114</v>
      </c>
      <c r="H174" s="352"/>
      <c r="I174" s="353"/>
      <c r="J174" s="353"/>
      <c r="K174" s="353"/>
      <c r="L174" s="353"/>
      <c r="M174" s="353"/>
      <c r="N174" s="353"/>
      <c r="O174" s="353"/>
      <c r="P174" s="354"/>
      <c r="Q174" s="354"/>
      <c r="R174" s="354"/>
      <c r="S174" s="354"/>
      <c r="T174" s="354"/>
      <c r="U174" s="354"/>
      <c r="V174" s="354"/>
      <c r="W174" s="354"/>
      <c r="X174" s="354"/>
      <c r="Y174" s="354"/>
      <c r="Z174" s="354"/>
      <c r="AA174" s="354"/>
      <c r="AB174" s="354"/>
      <c r="AC174" s="354"/>
      <c r="AD174" s="354"/>
      <c r="AE174" s="354"/>
      <c r="AF174" s="354"/>
      <c r="AG174" s="354"/>
      <c r="AH174" s="354"/>
      <c r="AI174" s="354"/>
      <c r="AJ174" s="354"/>
      <c r="AK174" s="354"/>
      <c r="AL174" s="354"/>
      <c r="AM174" s="580">
        <f>SUM(J180:AL181)</f>
        <v>10700000</v>
      </c>
    </row>
    <row r="175" spans="1:39" ht="12.75">
      <c r="A175" s="600"/>
      <c r="B175" s="589"/>
      <c r="C175" s="592"/>
      <c r="D175" s="595"/>
      <c r="E175" s="586"/>
      <c r="F175" s="583">
        <f>SUM(H180:AL180)</f>
        <v>0</v>
      </c>
      <c r="G175" s="355" t="s">
        <v>115</v>
      </c>
      <c r="H175" s="356">
        <f>2300000</f>
        <v>2300000</v>
      </c>
      <c r="I175" s="357">
        <v>300000</v>
      </c>
      <c r="J175" s="357">
        <v>2000000</v>
      </c>
      <c r="K175" s="357">
        <v>8700000</v>
      </c>
      <c r="L175" s="357"/>
      <c r="M175" s="357"/>
      <c r="N175" s="357"/>
      <c r="O175" s="357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8"/>
      <c r="AD175" s="358"/>
      <c r="AE175" s="358"/>
      <c r="AF175" s="358"/>
      <c r="AG175" s="358"/>
      <c r="AH175" s="358"/>
      <c r="AI175" s="358"/>
      <c r="AJ175" s="358"/>
      <c r="AK175" s="358"/>
      <c r="AL175" s="358"/>
      <c r="AM175" s="581"/>
    </row>
    <row r="176" spans="1:39" ht="12.75">
      <c r="A176" s="600"/>
      <c r="B176" s="589"/>
      <c r="C176" s="592"/>
      <c r="D176" s="595"/>
      <c r="E176" s="586"/>
      <c r="F176" s="584"/>
      <c r="G176" s="355" t="s">
        <v>116</v>
      </c>
      <c r="H176" s="356"/>
      <c r="I176" s="357"/>
      <c r="J176" s="357"/>
      <c r="K176" s="357"/>
      <c r="L176" s="357"/>
      <c r="M176" s="357"/>
      <c r="N176" s="357"/>
      <c r="O176" s="357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  <c r="AA176" s="358"/>
      <c r="AB176" s="358"/>
      <c r="AC176" s="358"/>
      <c r="AD176" s="358"/>
      <c r="AE176" s="358"/>
      <c r="AF176" s="358"/>
      <c r="AG176" s="358"/>
      <c r="AH176" s="358"/>
      <c r="AI176" s="358"/>
      <c r="AJ176" s="358"/>
      <c r="AK176" s="358"/>
      <c r="AL176" s="358"/>
      <c r="AM176" s="581"/>
    </row>
    <row r="177" spans="1:39" ht="12.75">
      <c r="A177" s="600"/>
      <c r="B177" s="589"/>
      <c r="C177" s="592"/>
      <c r="D177" s="595"/>
      <c r="E177" s="598"/>
      <c r="F177" s="359" t="s">
        <v>117</v>
      </c>
      <c r="G177" s="355" t="s">
        <v>118</v>
      </c>
      <c r="H177" s="356"/>
      <c r="I177" s="357"/>
      <c r="J177" s="357"/>
      <c r="K177" s="357"/>
      <c r="L177" s="357"/>
      <c r="M177" s="357"/>
      <c r="N177" s="357"/>
      <c r="O177" s="357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  <c r="AA177" s="358"/>
      <c r="AB177" s="358"/>
      <c r="AC177" s="358"/>
      <c r="AD177" s="358"/>
      <c r="AE177" s="358"/>
      <c r="AF177" s="358"/>
      <c r="AG177" s="358"/>
      <c r="AH177" s="358"/>
      <c r="AI177" s="358"/>
      <c r="AJ177" s="358"/>
      <c r="AK177" s="358"/>
      <c r="AL177" s="358"/>
      <c r="AM177" s="581"/>
    </row>
    <row r="178" spans="1:39" ht="12.75">
      <c r="A178" s="600"/>
      <c r="B178" s="589"/>
      <c r="C178" s="592"/>
      <c r="D178" s="595"/>
      <c r="E178" s="585">
        <v>2014</v>
      </c>
      <c r="F178" s="583">
        <f>SUM(H181:AL181)</f>
        <v>13300000</v>
      </c>
      <c r="G178" s="355" t="s">
        <v>122</v>
      </c>
      <c r="H178" s="356"/>
      <c r="I178" s="357"/>
      <c r="J178" s="357"/>
      <c r="K178" s="357"/>
      <c r="L178" s="357"/>
      <c r="M178" s="357"/>
      <c r="N178" s="357"/>
      <c r="O178" s="357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  <c r="AA178" s="358"/>
      <c r="AB178" s="358"/>
      <c r="AC178" s="358"/>
      <c r="AD178" s="358"/>
      <c r="AE178" s="358"/>
      <c r="AF178" s="358"/>
      <c r="AG178" s="358"/>
      <c r="AH178" s="358"/>
      <c r="AI178" s="358"/>
      <c r="AJ178" s="358"/>
      <c r="AK178" s="358"/>
      <c r="AL178" s="358"/>
      <c r="AM178" s="581"/>
    </row>
    <row r="179" spans="1:39" ht="12.75">
      <c r="A179" s="600"/>
      <c r="B179" s="589"/>
      <c r="C179" s="592"/>
      <c r="D179" s="595"/>
      <c r="E179" s="586"/>
      <c r="F179" s="584"/>
      <c r="G179" s="355" t="s">
        <v>123</v>
      </c>
      <c r="H179" s="356"/>
      <c r="I179" s="357"/>
      <c r="J179" s="357"/>
      <c r="K179" s="357"/>
      <c r="L179" s="357"/>
      <c r="M179" s="357"/>
      <c r="N179" s="357"/>
      <c r="O179" s="357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  <c r="AA179" s="358"/>
      <c r="AB179" s="358"/>
      <c r="AC179" s="358"/>
      <c r="AD179" s="358"/>
      <c r="AE179" s="358"/>
      <c r="AF179" s="358"/>
      <c r="AG179" s="358"/>
      <c r="AH179" s="358"/>
      <c r="AI179" s="358"/>
      <c r="AJ179" s="358"/>
      <c r="AK179" s="358"/>
      <c r="AL179" s="358"/>
      <c r="AM179" s="581"/>
    </row>
    <row r="180" spans="1:39" ht="12.75">
      <c r="A180" s="600"/>
      <c r="B180" s="589"/>
      <c r="C180" s="592"/>
      <c r="D180" s="595"/>
      <c r="E180" s="586"/>
      <c r="F180" s="359" t="s">
        <v>121</v>
      </c>
      <c r="G180" s="355" t="s">
        <v>124</v>
      </c>
      <c r="H180" s="360">
        <f aca="true" t="shared" si="42" ref="H180:AL180">H174+H176+H178</f>
        <v>0</v>
      </c>
      <c r="I180" s="361">
        <f t="shared" si="42"/>
        <v>0</v>
      </c>
      <c r="J180" s="361">
        <f t="shared" si="42"/>
        <v>0</v>
      </c>
      <c r="K180" s="361">
        <f t="shared" si="42"/>
        <v>0</v>
      </c>
      <c r="L180" s="361">
        <f t="shared" si="42"/>
        <v>0</v>
      </c>
      <c r="M180" s="361">
        <f t="shared" si="42"/>
        <v>0</v>
      </c>
      <c r="N180" s="361">
        <f t="shared" si="42"/>
        <v>0</v>
      </c>
      <c r="O180" s="361">
        <f t="shared" si="42"/>
        <v>0</v>
      </c>
      <c r="P180" s="361">
        <f t="shared" si="42"/>
        <v>0</v>
      </c>
      <c r="Q180" s="361">
        <f t="shared" si="42"/>
        <v>0</v>
      </c>
      <c r="R180" s="361">
        <f t="shared" si="42"/>
        <v>0</v>
      </c>
      <c r="S180" s="361">
        <f t="shared" si="42"/>
        <v>0</v>
      </c>
      <c r="T180" s="361">
        <f t="shared" si="42"/>
        <v>0</v>
      </c>
      <c r="U180" s="361">
        <f t="shared" si="42"/>
        <v>0</v>
      </c>
      <c r="V180" s="361">
        <f t="shared" si="42"/>
        <v>0</v>
      </c>
      <c r="W180" s="361">
        <f t="shared" si="42"/>
        <v>0</v>
      </c>
      <c r="X180" s="361">
        <f t="shared" si="42"/>
        <v>0</v>
      </c>
      <c r="Y180" s="361">
        <f t="shared" si="42"/>
        <v>0</v>
      </c>
      <c r="Z180" s="361">
        <f t="shared" si="42"/>
        <v>0</v>
      </c>
      <c r="AA180" s="361">
        <f t="shared" si="42"/>
        <v>0</v>
      </c>
      <c r="AB180" s="361">
        <f t="shared" si="42"/>
        <v>0</v>
      </c>
      <c r="AC180" s="361">
        <f t="shared" si="42"/>
        <v>0</v>
      </c>
      <c r="AD180" s="361">
        <f t="shared" si="42"/>
        <v>0</v>
      </c>
      <c r="AE180" s="361">
        <f t="shared" si="42"/>
        <v>0</v>
      </c>
      <c r="AF180" s="361">
        <f t="shared" si="42"/>
        <v>0</v>
      </c>
      <c r="AG180" s="361">
        <f t="shared" si="42"/>
        <v>0</v>
      </c>
      <c r="AH180" s="361">
        <f t="shared" si="42"/>
        <v>0</v>
      </c>
      <c r="AI180" s="361">
        <f t="shared" si="42"/>
        <v>0</v>
      </c>
      <c r="AJ180" s="361">
        <f t="shared" si="42"/>
        <v>0</v>
      </c>
      <c r="AK180" s="361">
        <f t="shared" si="42"/>
        <v>0</v>
      </c>
      <c r="AL180" s="361">
        <f t="shared" si="42"/>
        <v>0</v>
      </c>
      <c r="AM180" s="581"/>
    </row>
    <row r="181" spans="1:39" ht="13.5" thickBot="1">
      <c r="A181" s="601"/>
      <c r="B181" s="590"/>
      <c r="C181" s="593"/>
      <c r="D181" s="596"/>
      <c r="E181" s="587"/>
      <c r="F181" s="363">
        <f>F175+F178</f>
        <v>13300000</v>
      </c>
      <c r="G181" s="364" t="s">
        <v>125</v>
      </c>
      <c r="H181" s="365">
        <f aca="true" t="shared" si="43" ref="H181:AL181">H175+H177+H179</f>
        <v>2300000</v>
      </c>
      <c r="I181" s="366">
        <f t="shared" si="43"/>
        <v>300000</v>
      </c>
      <c r="J181" s="366">
        <f t="shared" si="43"/>
        <v>2000000</v>
      </c>
      <c r="K181" s="366">
        <f t="shared" si="43"/>
        <v>8700000</v>
      </c>
      <c r="L181" s="366">
        <f t="shared" si="43"/>
        <v>0</v>
      </c>
      <c r="M181" s="366">
        <f t="shared" si="43"/>
        <v>0</v>
      </c>
      <c r="N181" s="366">
        <f t="shared" si="43"/>
        <v>0</v>
      </c>
      <c r="O181" s="366">
        <f t="shared" si="43"/>
        <v>0</v>
      </c>
      <c r="P181" s="366">
        <f t="shared" si="43"/>
        <v>0</v>
      </c>
      <c r="Q181" s="366">
        <f t="shared" si="43"/>
        <v>0</v>
      </c>
      <c r="R181" s="366">
        <f t="shared" si="43"/>
        <v>0</v>
      </c>
      <c r="S181" s="366">
        <f t="shared" si="43"/>
        <v>0</v>
      </c>
      <c r="T181" s="366">
        <f t="shared" si="43"/>
        <v>0</v>
      </c>
      <c r="U181" s="366">
        <f t="shared" si="43"/>
        <v>0</v>
      </c>
      <c r="V181" s="366">
        <f t="shared" si="43"/>
        <v>0</v>
      </c>
      <c r="W181" s="366">
        <f t="shared" si="43"/>
        <v>0</v>
      </c>
      <c r="X181" s="366">
        <f t="shared" si="43"/>
        <v>0</v>
      </c>
      <c r="Y181" s="366">
        <f t="shared" si="43"/>
        <v>0</v>
      </c>
      <c r="Z181" s="366">
        <f t="shared" si="43"/>
        <v>0</v>
      </c>
      <c r="AA181" s="366">
        <f t="shared" si="43"/>
        <v>0</v>
      </c>
      <c r="AB181" s="366">
        <f t="shared" si="43"/>
        <v>0</v>
      </c>
      <c r="AC181" s="366">
        <f t="shared" si="43"/>
        <v>0</v>
      </c>
      <c r="AD181" s="366">
        <f t="shared" si="43"/>
        <v>0</v>
      </c>
      <c r="AE181" s="366">
        <f t="shared" si="43"/>
        <v>0</v>
      </c>
      <c r="AF181" s="366">
        <f t="shared" si="43"/>
        <v>0</v>
      </c>
      <c r="AG181" s="366">
        <f t="shared" si="43"/>
        <v>0</v>
      </c>
      <c r="AH181" s="366">
        <f t="shared" si="43"/>
        <v>0</v>
      </c>
      <c r="AI181" s="366">
        <f t="shared" si="43"/>
        <v>0</v>
      </c>
      <c r="AJ181" s="366">
        <f t="shared" si="43"/>
        <v>0</v>
      </c>
      <c r="AK181" s="366">
        <f t="shared" si="43"/>
        <v>0</v>
      </c>
      <c r="AL181" s="366">
        <f t="shared" si="43"/>
        <v>0</v>
      </c>
      <c r="AM181" s="582"/>
    </row>
    <row r="182" spans="1:39" ht="12.75" customHeight="1">
      <c r="A182" s="599">
        <v>23</v>
      </c>
      <c r="B182" s="588" t="s">
        <v>208</v>
      </c>
      <c r="C182" s="591">
        <v>80132</v>
      </c>
      <c r="D182" s="594" t="s">
        <v>188</v>
      </c>
      <c r="E182" s="597">
        <v>2013</v>
      </c>
      <c r="F182" s="350" t="s">
        <v>113</v>
      </c>
      <c r="G182" s="351" t="s">
        <v>114</v>
      </c>
      <c r="H182" s="352"/>
      <c r="I182" s="353"/>
      <c r="J182" s="353"/>
      <c r="K182" s="353"/>
      <c r="L182" s="353"/>
      <c r="M182" s="353"/>
      <c r="N182" s="353"/>
      <c r="O182" s="353"/>
      <c r="P182" s="354"/>
      <c r="Q182" s="354"/>
      <c r="R182" s="354"/>
      <c r="S182" s="354"/>
      <c r="T182" s="354"/>
      <c r="U182" s="354"/>
      <c r="V182" s="354"/>
      <c r="W182" s="354"/>
      <c r="X182" s="354"/>
      <c r="Y182" s="354"/>
      <c r="Z182" s="354"/>
      <c r="AA182" s="354"/>
      <c r="AB182" s="354"/>
      <c r="AC182" s="354"/>
      <c r="AD182" s="354"/>
      <c r="AE182" s="354"/>
      <c r="AF182" s="354"/>
      <c r="AG182" s="354"/>
      <c r="AH182" s="354"/>
      <c r="AI182" s="354"/>
      <c r="AJ182" s="354"/>
      <c r="AK182" s="354"/>
      <c r="AL182" s="354"/>
      <c r="AM182" s="580">
        <f>SUM(J188:AL189)</f>
        <v>5550000</v>
      </c>
    </row>
    <row r="183" spans="1:39" ht="12.75">
      <c r="A183" s="600"/>
      <c r="B183" s="589"/>
      <c r="C183" s="592"/>
      <c r="D183" s="595"/>
      <c r="E183" s="586"/>
      <c r="F183" s="583">
        <f>SUM(H188:AL188)</f>
        <v>0</v>
      </c>
      <c r="G183" s="355" t="s">
        <v>115</v>
      </c>
      <c r="H183" s="356"/>
      <c r="I183" s="357"/>
      <c r="J183" s="357">
        <v>2000000</v>
      </c>
      <c r="K183" s="357">
        <v>3550000</v>
      </c>
      <c r="L183" s="357"/>
      <c r="M183" s="357"/>
      <c r="N183" s="357"/>
      <c r="O183" s="357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  <c r="AA183" s="358"/>
      <c r="AB183" s="358"/>
      <c r="AC183" s="358"/>
      <c r="AD183" s="358"/>
      <c r="AE183" s="358"/>
      <c r="AF183" s="358"/>
      <c r="AG183" s="358"/>
      <c r="AH183" s="358"/>
      <c r="AI183" s="358"/>
      <c r="AJ183" s="358"/>
      <c r="AK183" s="358"/>
      <c r="AL183" s="358"/>
      <c r="AM183" s="581"/>
    </row>
    <row r="184" spans="1:39" ht="12.75">
      <c r="A184" s="600"/>
      <c r="B184" s="589"/>
      <c r="C184" s="592"/>
      <c r="D184" s="595"/>
      <c r="E184" s="586"/>
      <c r="F184" s="584"/>
      <c r="G184" s="355" t="s">
        <v>116</v>
      </c>
      <c r="H184" s="356"/>
      <c r="I184" s="357"/>
      <c r="J184" s="357"/>
      <c r="K184" s="357"/>
      <c r="L184" s="357"/>
      <c r="M184" s="357"/>
      <c r="N184" s="357"/>
      <c r="O184" s="357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  <c r="AA184" s="358"/>
      <c r="AB184" s="358"/>
      <c r="AC184" s="358"/>
      <c r="AD184" s="358"/>
      <c r="AE184" s="358"/>
      <c r="AF184" s="358"/>
      <c r="AG184" s="358"/>
      <c r="AH184" s="358"/>
      <c r="AI184" s="358"/>
      <c r="AJ184" s="358"/>
      <c r="AK184" s="358"/>
      <c r="AL184" s="358"/>
      <c r="AM184" s="581"/>
    </row>
    <row r="185" spans="1:39" ht="12.75">
      <c r="A185" s="600"/>
      <c r="B185" s="589"/>
      <c r="C185" s="592"/>
      <c r="D185" s="595"/>
      <c r="E185" s="598"/>
      <c r="F185" s="359" t="s">
        <v>117</v>
      </c>
      <c r="G185" s="355" t="s">
        <v>118</v>
      </c>
      <c r="H185" s="356"/>
      <c r="I185" s="357"/>
      <c r="J185" s="357"/>
      <c r="K185" s="357"/>
      <c r="L185" s="357"/>
      <c r="M185" s="357"/>
      <c r="N185" s="357"/>
      <c r="O185" s="357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  <c r="AA185" s="358"/>
      <c r="AB185" s="358"/>
      <c r="AC185" s="358"/>
      <c r="AD185" s="358"/>
      <c r="AE185" s="358"/>
      <c r="AF185" s="358"/>
      <c r="AG185" s="358"/>
      <c r="AH185" s="358"/>
      <c r="AI185" s="358"/>
      <c r="AJ185" s="358"/>
      <c r="AK185" s="358"/>
      <c r="AL185" s="358"/>
      <c r="AM185" s="581"/>
    </row>
    <row r="186" spans="1:39" ht="13.5" customHeight="1">
      <c r="A186" s="600"/>
      <c r="B186" s="589"/>
      <c r="C186" s="592"/>
      <c r="D186" s="595"/>
      <c r="E186" s="585">
        <v>2014</v>
      </c>
      <c r="F186" s="583">
        <f>SUM(H189:AL189)</f>
        <v>5550000</v>
      </c>
      <c r="G186" s="355" t="s">
        <v>122</v>
      </c>
      <c r="H186" s="356"/>
      <c r="I186" s="357"/>
      <c r="J186" s="357"/>
      <c r="K186" s="357"/>
      <c r="L186" s="357"/>
      <c r="M186" s="357"/>
      <c r="N186" s="357"/>
      <c r="O186" s="357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  <c r="AA186" s="358"/>
      <c r="AB186" s="358"/>
      <c r="AC186" s="358"/>
      <c r="AD186" s="358"/>
      <c r="AE186" s="358"/>
      <c r="AF186" s="358"/>
      <c r="AG186" s="358"/>
      <c r="AH186" s="358"/>
      <c r="AI186" s="358"/>
      <c r="AJ186" s="358"/>
      <c r="AK186" s="358"/>
      <c r="AL186" s="358"/>
      <c r="AM186" s="581"/>
    </row>
    <row r="187" spans="1:39" ht="12.75">
      <c r="A187" s="600"/>
      <c r="B187" s="589"/>
      <c r="C187" s="592"/>
      <c r="D187" s="595"/>
      <c r="E187" s="586"/>
      <c r="F187" s="584"/>
      <c r="G187" s="355" t="s">
        <v>123</v>
      </c>
      <c r="H187" s="356"/>
      <c r="I187" s="357"/>
      <c r="J187" s="357"/>
      <c r="K187" s="357"/>
      <c r="L187" s="357"/>
      <c r="M187" s="357"/>
      <c r="N187" s="357"/>
      <c r="O187" s="357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  <c r="AA187" s="358"/>
      <c r="AB187" s="358"/>
      <c r="AC187" s="358"/>
      <c r="AD187" s="358"/>
      <c r="AE187" s="358"/>
      <c r="AF187" s="358"/>
      <c r="AG187" s="358"/>
      <c r="AH187" s="358"/>
      <c r="AI187" s="358"/>
      <c r="AJ187" s="358"/>
      <c r="AK187" s="358"/>
      <c r="AL187" s="358"/>
      <c r="AM187" s="581"/>
    </row>
    <row r="188" spans="1:39" ht="9.75" customHeight="1">
      <c r="A188" s="600"/>
      <c r="B188" s="589"/>
      <c r="C188" s="592"/>
      <c r="D188" s="595"/>
      <c r="E188" s="586"/>
      <c r="F188" s="359" t="s">
        <v>121</v>
      </c>
      <c r="G188" s="355" t="s">
        <v>124</v>
      </c>
      <c r="H188" s="360">
        <f aca="true" t="shared" si="44" ref="H188:AL188">H182+H184+H186</f>
        <v>0</v>
      </c>
      <c r="I188" s="361">
        <f t="shared" si="44"/>
        <v>0</v>
      </c>
      <c r="J188" s="361">
        <f t="shared" si="44"/>
        <v>0</v>
      </c>
      <c r="K188" s="361">
        <f t="shared" si="44"/>
        <v>0</v>
      </c>
      <c r="L188" s="361">
        <f t="shared" si="44"/>
        <v>0</v>
      </c>
      <c r="M188" s="361">
        <f t="shared" si="44"/>
        <v>0</v>
      </c>
      <c r="N188" s="361">
        <f t="shared" si="44"/>
        <v>0</v>
      </c>
      <c r="O188" s="361">
        <f t="shared" si="44"/>
        <v>0</v>
      </c>
      <c r="P188" s="361">
        <f t="shared" si="44"/>
        <v>0</v>
      </c>
      <c r="Q188" s="361">
        <f t="shared" si="44"/>
        <v>0</v>
      </c>
      <c r="R188" s="361">
        <f t="shared" si="44"/>
        <v>0</v>
      </c>
      <c r="S188" s="361">
        <f t="shared" si="44"/>
        <v>0</v>
      </c>
      <c r="T188" s="361">
        <f t="shared" si="44"/>
        <v>0</v>
      </c>
      <c r="U188" s="361">
        <f t="shared" si="44"/>
        <v>0</v>
      </c>
      <c r="V188" s="361">
        <f t="shared" si="44"/>
        <v>0</v>
      </c>
      <c r="W188" s="361">
        <f t="shared" si="44"/>
        <v>0</v>
      </c>
      <c r="X188" s="361">
        <f t="shared" si="44"/>
        <v>0</v>
      </c>
      <c r="Y188" s="361">
        <f t="shared" si="44"/>
        <v>0</v>
      </c>
      <c r="Z188" s="361">
        <f t="shared" si="44"/>
        <v>0</v>
      </c>
      <c r="AA188" s="361">
        <f t="shared" si="44"/>
        <v>0</v>
      </c>
      <c r="AB188" s="361">
        <f t="shared" si="44"/>
        <v>0</v>
      </c>
      <c r="AC188" s="361">
        <f t="shared" si="44"/>
        <v>0</v>
      </c>
      <c r="AD188" s="361">
        <f t="shared" si="44"/>
        <v>0</v>
      </c>
      <c r="AE188" s="361">
        <f t="shared" si="44"/>
        <v>0</v>
      </c>
      <c r="AF188" s="361">
        <f t="shared" si="44"/>
        <v>0</v>
      </c>
      <c r="AG188" s="361">
        <f t="shared" si="44"/>
        <v>0</v>
      </c>
      <c r="AH188" s="361">
        <f t="shared" si="44"/>
        <v>0</v>
      </c>
      <c r="AI188" s="361">
        <f t="shared" si="44"/>
        <v>0</v>
      </c>
      <c r="AJ188" s="361">
        <f t="shared" si="44"/>
        <v>0</v>
      </c>
      <c r="AK188" s="361">
        <f t="shared" si="44"/>
        <v>0</v>
      </c>
      <c r="AL188" s="361">
        <f t="shared" si="44"/>
        <v>0</v>
      </c>
      <c r="AM188" s="581"/>
    </row>
    <row r="189" spans="1:39" ht="13.5" thickBot="1">
      <c r="A189" s="601"/>
      <c r="B189" s="590"/>
      <c r="C189" s="593"/>
      <c r="D189" s="596"/>
      <c r="E189" s="587"/>
      <c r="F189" s="363">
        <f>F183+F186</f>
        <v>5550000</v>
      </c>
      <c r="G189" s="364" t="s">
        <v>125</v>
      </c>
      <c r="H189" s="365">
        <f aca="true" t="shared" si="45" ref="H189:AL189">H183+H185+H187</f>
        <v>0</v>
      </c>
      <c r="I189" s="366">
        <f t="shared" si="45"/>
        <v>0</v>
      </c>
      <c r="J189" s="366">
        <f t="shared" si="45"/>
        <v>2000000</v>
      </c>
      <c r="K189" s="366">
        <f t="shared" si="45"/>
        <v>3550000</v>
      </c>
      <c r="L189" s="366">
        <f t="shared" si="45"/>
        <v>0</v>
      </c>
      <c r="M189" s="366">
        <f t="shared" si="45"/>
        <v>0</v>
      </c>
      <c r="N189" s="366">
        <f t="shared" si="45"/>
        <v>0</v>
      </c>
      <c r="O189" s="366">
        <f t="shared" si="45"/>
        <v>0</v>
      </c>
      <c r="P189" s="366">
        <f t="shared" si="45"/>
        <v>0</v>
      </c>
      <c r="Q189" s="366">
        <f t="shared" si="45"/>
        <v>0</v>
      </c>
      <c r="R189" s="366">
        <f t="shared" si="45"/>
        <v>0</v>
      </c>
      <c r="S189" s="366">
        <f t="shared" si="45"/>
        <v>0</v>
      </c>
      <c r="T189" s="366">
        <f t="shared" si="45"/>
        <v>0</v>
      </c>
      <c r="U189" s="366">
        <f t="shared" si="45"/>
        <v>0</v>
      </c>
      <c r="V189" s="366">
        <f t="shared" si="45"/>
        <v>0</v>
      </c>
      <c r="W189" s="366">
        <f t="shared" si="45"/>
        <v>0</v>
      </c>
      <c r="X189" s="366">
        <f t="shared" si="45"/>
        <v>0</v>
      </c>
      <c r="Y189" s="366">
        <f t="shared" si="45"/>
        <v>0</v>
      </c>
      <c r="Z189" s="366">
        <f t="shared" si="45"/>
        <v>0</v>
      </c>
      <c r="AA189" s="366">
        <f t="shared" si="45"/>
        <v>0</v>
      </c>
      <c r="AB189" s="366">
        <f t="shared" si="45"/>
        <v>0</v>
      </c>
      <c r="AC189" s="366">
        <f t="shared" si="45"/>
        <v>0</v>
      </c>
      <c r="AD189" s="366">
        <f t="shared" si="45"/>
        <v>0</v>
      </c>
      <c r="AE189" s="366">
        <f t="shared" si="45"/>
        <v>0</v>
      </c>
      <c r="AF189" s="366">
        <f t="shared" si="45"/>
        <v>0</v>
      </c>
      <c r="AG189" s="366">
        <f t="shared" si="45"/>
        <v>0</v>
      </c>
      <c r="AH189" s="366">
        <f t="shared" si="45"/>
        <v>0</v>
      </c>
      <c r="AI189" s="366">
        <f t="shared" si="45"/>
        <v>0</v>
      </c>
      <c r="AJ189" s="366">
        <f t="shared" si="45"/>
        <v>0</v>
      </c>
      <c r="AK189" s="366">
        <f t="shared" si="45"/>
        <v>0</v>
      </c>
      <c r="AL189" s="366">
        <f t="shared" si="45"/>
        <v>0</v>
      </c>
      <c r="AM189" s="582"/>
    </row>
    <row r="190" spans="1:39" ht="12.75" customHeight="1">
      <c r="A190" s="599">
        <v>24</v>
      </c>
      <c r="B190" s="588" t="s">
        <v>209</v>
      </c>
      <c r="C190" s="591">
        <v>85111</v>
      </c>
      <c r="D190" s="594" t="s">
        <v>188</v>
      </c>
      <c r="E190" s="597">
        <v>2009</v>
      </c>
      <c r="F190" s="350" t="s">
        <v>113</v>
      </c>
      <c r="G190" s="351" t="s">
        <v>114</v>
      </c>
      <c r="H190" s="352"/>
      <c r="I190" s="353"/>
      <c r="J190" s="353"/>
      <c r="K190" s="353"/>
      <c r="L190" s="353"/>
      <c r="M190" s="353"/>
      <c r="N190" s="353"/>
      <c r="O190" s="353"/>
      <c r="P190" s="354"/>
      <c r="Q190" s="354"/>
      <c r="R190" s="354"/>
      <c r="S190" s="354"/>
      <c r="T190" s="354"/>
      <c r="U190" s="354"/>
      <c r="V190" s="354"/>
      <c r="W190" s="354"/>
      <c r="X190" s="354"/>
      <c r="Y190" s="354"/>
      <c r="Z190" s="354"/>
      <c r="AA190" s="354"/>
      <c r="AB190" s="354"/>
      <c r="AC190" s="354"/>
      <c r="AD190" s="354"/>
      <c r="AE190" s="354"/>
      <c r="AF190" s="354"/>
      <c r="AG190" s="354"/>
      <c r="AH190" s="354"/>
      <c r="AI190" s="354"/>
      <c r="AJ190" s="354"/>
      <c r="AK190" s="354"/>
      <c r="AL190" s="354"/>
      <c r="AM190" s="580">
        <f>SUM(J196:AL197)</f>
        <v>180646</v>
      </c>
    </row>
    <row r="191" spans="1:39" ht="12.75">
      <c r="A191" s="600"/>
      <c r="B191" s="589"/>
      <c r="C191" s="592"/>
      <c r="D191" s="595"/>
      <c r="E191" s="586"/>
      <c r="F191" s="583">
        <f>SUM(H196:AL196)</f>
        <v>0</v>
      </c>
      <c r="G191" s="355" t="s">
        <v>115</v>
      </c>
      <c r="H191" s="356">
        <f>5633+16770</f>
        <v>22403</v>
      </c>
      <c r="I191" s="357">
        <v>103701</v>
      </c>
      <c r="J191" s="357">
        <v>180646</v>
      </c>
      <c r="K191" s="357"/>
      <c r="L191" s="357"/>
      <c r="M191" s="357"/>
      <c r="N191" s="357"/>
      <c r="O191" s="357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  <c r="AA191" s="358"/>
      <c r="AB191" s="358"/>
      <c r="AC191" s="358"/>
      <c r="AD191" s="358"/>
      <c r="AE191" s="358"/>
      <c r="AF191" s="358"/>
      <c r="AG191" s="358"/>
      <c r="AH191" s="358"/>
      <c r="AI191" s="358"/>
      <c r="AJ191" s="358"/>
      <c r="AK191" s="358"/>
      <c r="AL191" s="358"/>
      <c r="AM191" s="581"/>
    </row>
    <row r="192" spans="1:39" ht="12.75">
      <c r="A192" s="600"/>
      <c r="B192" s="589"/>
      <c r="C192" s="592"/>
      <c r="D192" s="595"/>
      <c r="E192" s="586"/>
      <c r="F192" s="584"/>
      <c r="G192" s="355" t="s">
        <v>116</v>
      </c>
      <c r="H192" s="356"/>
      <c r="I192" s="357"/>
      <c r="J192" s="357"/>
      <c r="K192" s="357"/>
      <c r="L192" s="357"/>
      <c r="M192" s="357"/>
      <c r="N192" s="357"/>
      <c r="O192" s="357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  <c r="AA192" s="358"/>
      <c r="AB192" s="358"/>
      <c r="AC192" s="358"/>
      <c r="AD192" s="358"/>
      <c r="AE192" s="358"/>
      <c r="AF192" s="358"/>
      <c r="AG192" s="358"/>
      <c r="AH192" s="358"/>
      <c r="AI192" s="358"/>
      <c r="AJ192" s="358"/>
      <c r="AK192" s="358"/>
      <c r="AL192" s="358"/>
      <c r="AM192" s="581"/>
    </row>
    <row r="193" spans="1:39" ht="12.75">
      <c r="A193" s="600"/>
      <c r="B193" s="589"/>
      <c r="C193" s="592"/>
      <c r="D193" s="595"/>
      <c r="E193" s="598"/>
      <c r="F193" s="359" t="s">
        <v>117</v>
      </c>
      <c r="G193" s="355" t="s">
        <v>118</v>
      </c>
      <c r="H193" s="356"/>
      <c r="I193" s="357"/>
      <c r="J193" s="357"/>
      <c r="K193" s="357"/>
      <c r="L193" s="357"/>
      <c r="M193" s="357"/>
      <c r="N193" s="357"/>
      <c r="O193" s="357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  <c r="AA193" s="358"/>
      <c r="AB193" s="358"/>
      <c r="AC193" s="358"/>
      <c r="AD193" s="358"/>
      <c r="AE193" s="358"/>
      <c r="AF193" s="358"/>
      <c r="AG193" s="358"/>
      <c r="AH193" s="358"/>
      <c r="AI193" s="358"/>
      <c r="AJ193" s="358"/>
      <c r="AK193" s="358"/>
      <c r="AL193" s="358"/>
      <c r="AM193" s="581"/>
    </row>
    <row r="194" spans="1:39" ht="10.5" customHeight="1">
      <c r="A194" s="600"/>
      <c r="B194" s="589"/>
      <c r="C194" s="592"/>
      <c r="D194" s="595"/>
      <c r="E194" s="585">
        <v>2013</v>
      </c>
      <c r="F194" s="583">
        <f>SUM(H197:AL197)</f>
        <v>306750</v>
      </c>
      <c r="G194" s="355" t="s">
        <v>122</v>
      </c>
      <c r="H194" s="356"/>
      <c r="I194" s="357"/>
      <c r="J194" s="357"/>
      <c r="K194" s="357"/>
      <c r="L194" s="357"/>
      <c r="M194" s="357"/>
      <c r="N194" s="357"/>
      <c r="O194" s="357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  <c r="AA194" s="358"/>
      <c r="AB194" s="358"/>
      <c r="AC194" s="358"/>
      <c r="AD194" s="358"/>
      <c r="AE194" s="358"/>
      <c r="AF194" s="358"/>
      <c r="AG194" s="358"/>
      <c r="AH194" s="358"/>
      <c r="AI194" s="358"/>
      <c r="AJ194" s="358"/>
      <c r="AK194" s="358"/>
      <c r="AL194" s="358"/>
      <c r="AM194" s="581"/>
    </row>
    <row r="195" spans="1:39" ht="12.75">
      <c r="A195" s="600"/>
      <c r="B195" s="589"/>
      <c r="C195" s="592"/>
      <c r="D195" s="595"/>
      <c r="E195" s="586"/>
      <c r="F195" s="584"/>
      <c r="G195" s="355" t="s">
        <v>123</v>
      </c>
      <c r="H195" s="356"/>
      <c r="I195" s="357"/>
      <c r="J195" s="357"/>
      <c r="K195" s="357"/>
      <c r="L195" s="357"/>
      <c r="M195" s="357"/>
      <c r="N195" s="357"/>
      <c r="O195" s="357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  <c r="AA195" s="358"/>
      <c r="AB195" s="358"/>
      <c r="AC195" s="358"/>
      <c r="AD195" s="358"/>
      <c r="AE195" s="358"/>
      <c r="AF195" s="358"/>
      <c r="AG195" s="358"/>
      <c r="AH195" s="358"/>
      <c r="AI195" s="358"/>
      <c r="AJ195" s="358"/>
      <c r="AK195" s="358"/>
      <c r="AL195" s="358"/>
      <c r="AM195" s="581"/>
    </row>
    <row r="196" spans="1:39" ht="9.75" customHeight="1">
      <c r="A196" s="600"/>
      <c r="B196" s="589"/>
      <c r="C196" s="592"/>
      <c r="D196" s="595"/>
      <c r="E196" s="586"/>
      <c r="F196" s="359" t="s">
        <v>121</v>
      </c>
      <c r="G196" s="355" t="s">
        <v>124</v>
      </c>
      <c r="H196" s="360">
        <f aca="true" t="shared" si="46" ref="H196:AL196">H190+H192+H194</f>
        <v>0</v>
      </c>
      <c r="I196" s="361">
        <f t="shared" si="46"/>
        <v>0</v>
      </c>
      <c r="J196" s="361">
        <f t="shared" si="46"/>
        <v>0</v>
      </c>
      <c r="K196" s="361">
        <f t="shared" si="46"/>
        <v>0</v>
      </c>
      <c r="L196" s="361">
        <f t="shared" si="46"/>
        <v>0</v>
      </c>
      <c r="M196" s="361">
        <f t="shared" si="46"/>
        <v>0</v>
      </c>
      <c r="N196" s="361">
        <f t="shared" si="46"/>
        <v>0</v>
      </c>
      <c r="O196" s="361">
        <f t="shared" si="46"/>
        <v>0</v>
      </c>
      <c r="P196" s="361">
        <f t="shared" si="46"/>
        <v>0</v>
      </c>
      <c r="Q196" s="361">
        <f t="shared" si="46"/>
        <v>0</v>
      </c>
      <c r="R196" s="361">
        <f t="shared" si="46"/>
        <v>0</v>
      </c>
      <c r="S196" s="361">
        <f t="shared" si="46"/>
        <v>0</v>
      </c>
      <c r="T196" s="361">
        <f t="shared" si="46"/>
        <v>0</v>
      </c>
      <c r="U196" s="361">
        <f t="shared" si="46"/>
        <v>0</v>
      </c>
      <c r="V196" s="361">
        <f t="shared" si="46"/>
        <v>0</v>
      </c>
      <c r="W196" s="361">
        <f t="shared" si="46"/>
        <v>0</v>
      </c>
      <c r="X196" s="361">
        <f t="shared" si="46"/>
        <v>0</v>
      </c>
      <c r="Y196" s="361">
        <f t="shared" si="46"/>
        <v>0</v>
      </c>
      <c r="Z196" s="361">
        <f t="shared" si="46"/>
        <v>0</v>
      </c>
      <c r="AA196" s="361">
        <f t="shared" si="46"/>
        <v>0</v>
      </c>
      <c r="AB196" s="361">
        <f t="shared" si="46"/>
        <v>0</v>
      </c>
      <c r="AC196" s="361">
        <f t="shared" si="46"/>
        <v>0</v>
      </c>
      <c r="AD196" s="361">
        <f t="shared" si="46"/>
        <v>0</v>
      </c>
      <c r="AE196" s="361">
        <f t="shared" si="46"/>
        <v>0</v>
      </c>
      <c r="AF196" s="361">
        <f t="shared" si="46"/>
        <v>0</v>
      </c>
      <c r="AG196" s="361">
        <f t="shared" si="46"/>
        <v>0</v>
      </c>
      <c r="AH196" s="361">
        <f t="shared" si="46"/>
        <v>0</v>
      </c>
      <c r="AI196" s="361">
        <f t="shared" si="46"/>
        <v>0</v>
      </c>
      <c r="AJ196" s="361">
        <f t="shared" si="46"/>
        <v>0</v>
      </c>
      <c r="AK196" s="361">
        <f t="shared" si="46"/>
        <v>0</v>
      </c>
      <c r="AL196" s="361">
        <f t="shared" si="46"/>
        <v>0</v>
      </c>
      <c r="AM196" s="581"/>
    </row>
    <row r="197" spans="1:39" ht="13.5" thickBot="1">
      <c r="A197" s="601"/>
      <c r="B197" s="590"/>
      <c r="C197" s="593"/>
      <c r="D197" s="596"/>
      <c r="E197" s="587"/>
      <c r="F197" s="363">
        <f>F191+F194</f>
        <v>306750</v>
      </c>
      <c r="G197" s="364" t="s">
        <v>125</v>
      </c>
      <c r="H197" s="365">
        <f aca="true" t="shared" si="47" ref="H197:AL197">H191+H193+H195</f>
        <v>22403</v>
      </c>
      <c r="I197" s="366">
        <f t="shared" si="47"/>
        <v>103701</v>
      </c>
      <c r="J197" s="366">
        <f t="shared" si="47"/>
        <v>180646</v>
      </c>
      <c r="K197" s="366">
        <f t="shared" si="47"/>
        <v>0</v>
      </c>
      <c r="L197" s="366">
        <f t="shared" si="47"/>
        <v>0</v>
      </c>
      <c r="M197" s="366">
        <f t="shared" si="47"/>
        <v>0</v>
      </c>
      <c r="N197" s="366">
        <f t="shared" si="47"/>
        <v>0</v>
      </c>
      <c r="O197" s="366">
        <f t="shared" si="47"/>
        <v>0</v>
      </c>
      <c r="P197" s="366">
        <f t="shared" si="47"/>
        <v>0</v>
      </c>
      <c r="Q197" s="366">
        <f t="shared" si="47"/>
        <v>0</v>
      </c>
      <c r="R197" s="366">
        <f t="shared" si="47"/>
        <v>0</v>
      </c>
      <c r="S197" s="366">
        <f t="shared" si="47"/>
        <v>0</v>
      </c>
      <c r="T197" s="366">
        <f t="shared" si="47"/>
        <v>0</v>
      </c>
      <c r="U197" s="366">
        <f t="shared" si="47"/>
        <v>0</v>
      </c>
      <c r="V197" s="366">
        <f t="shared" si="47"/>
        <v>0</v>
      </c>
      <c r="W197" s="366">
        <f t="shared" si="47"/>
        <v>0</v>
      </c>
      <c r="X197" s="366">
        <f t="shared" si="47"/>
        <v>0</v>
      </c>
      <c r="Y197" s="366">
        <f t="shared" si="47"/>
        <v>0</v>
      </c>
      <c r="Z197" s="366">
        <f t="shared" si="47"/>
        <v>0</v>
      </c>
      <c r="AA197" s="366">
        <f t="shared" si="47"/>
        <v>0</v>
      </c>
      <c r="AB197" s="366">
        <f t="shared" si="47"/>
        <v>0</v>
      </c>
      <c r="AC197" s="366">
        <f t="shared" si="47"/>
        <v>0</v>
      </c>
      <c r="AD197" s="366">
        <f t="shared" si="47"/>
        <v>0</v>
      </c>
      <c r="AE197" s="366">
        <f t="shared" si="47"/>
        <v>0</v>
      </c>
      <c r="AF197" s="366">
        <f t="shared" si="47"/>
        <v>0</v>
      </c>
      <c r="AG197" s="366">
        <f t="shared" si="47"/>
        <v>0</v>
      </c>
      <c r="AH197" s="366">
        <f t="shared" si="47"/>
        <v>0</v>
      </c>
      <c r="AI197" s="366">
        <f t="shared" si="47"/>
        <v>0</v>
      </c>
      <c r="AJ197" s="366">
        <f t="shared" si="47"/>
        <v>0</v>
      </c>
      <c r="AK197" s="366">
        <f t="shared" si="47"/>
        <v>0</v>
      </c>
      <c r="AL197" s="366">
        <f t="shared" si="47"/>
        <v>0</v>
      </c>
      <c r="AM197" s="582"/>
    </row>
    <row r="198" spans="1:39" ht="12.75" customHeight="1">
      <c r="A198" s="599">
        <v>25</v>
      </c>
      <c r="B198" s="588" t="s">
        <v>210</v>
      </c>
      <c r="C198" s="591">
        <v>85406</v>
      </c>
      <c r="D198" s="594" t="s">
        <v>188</v>
      </c>
      <c r="E198" s="597">
        <v>2009</v>
      </c>
      <c r="F198" s="350" t="s">
        <v>113</v>
      </c>
      <c r="G198" s="351" t="s">
        <v>114</v>
      </c>
      <c r="H198" s="352"/>
      <c r="I198" s="353"/>
      <c r="J198" s="353"/>
      <c r="K198" s="353"/>
      <c r="L198" s="353"/>
      <c r="M198" s="353"/>
      <c r="N198" s="353"/>
      <c r="O198" s="353"/>
      <c r="P198" s="354"/>
      <c r="Q198" s="354"/>
      <c r="R198" s="354"/>
      <c r="S198" s="354"/>
      <c r="T198" s="354"/>
      <c r="U198" s="354"/>
      <c r="V198" s="354"/>
      <c r="W198" s="354"/>
      <c r="X198" s="354"/>
      <c r="Y198" s="354"/>
      <c r="Z198" s="354"/>
      <c r="AA198" s="354"/>
      <c r="AB198" s="354"/>
      <c r="AC198" s="354"/>
      <c r="AD198" s="354"/>
      <c r="AE198" s="354"/>
      <c r="AF198" s="354"/>
      <c r="AG198" s="354"/>
      <c r="AH198" s="354"/>
      <c r="AI198" s="354"/>
      <c r="AJ198" s="354"/>
      <c r="AK198" s="354"/>
      <c r="AL198" s="354"/>
      <c r="AM198" s="580">
        <f>SUM(J204:AL205)</f>
        <v>0</v>
      </c>
    </row>
    <row r="199" spans="1:39" ht="12.75">
      <c r="A199" s="600"/>
      <c r="B199" s="589"/>
      <c r="C199" s="592"/>
      <c r="D199" s="595"/>
      <c r="E199" s="586"/>
      <c r="F199" s="583">
        <f>SUM(H204:AL204)</f>
        <v>0</v>
      </c>
      <c r="G199" s="355" t="s">
        <v>115</v>
      </c>
      <c r="H199" s="356">
        <f>58205+500000</f>
        <v>558205</v>
      </c>
      <c r="I199" s="357">
        <f>700000-120000</f>
        <v>580000</v>
      </c>
      <c r="J199" s="357"/>
      <c r="K199" s="357"/>
      <c r="L199" s="357"/>
      <c r="M199" s="357"/>
      <c r="N199" s="357"/>
      <c r="O199" s="357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  <c r="AA199" s="358"/>
      <c r="AB199" s="358"/>
      <c r="AC199" s="358"/>
      <c r="AD199" s="358"/>
      <c r="AE199" s="358"/>
      <c r="AF199" s="358"/>
      <c r="AG199" s="358"/>
      <c r="AH199" s="358"/>
      <c r="AI199" s="358"/>
      <c r="AJ199" s="358"/>
      <c r="AK199" s="358"/>
      <c r="AL199" s="358"/>
      <c r="AM199" s="581"/>
    </row>
    <row r="200" spans="1:39" ht="12.75">
      <c r="A200" s="600"/>
      <c r="B200" s="589"/>
      <c r="C200" s="592"/>
      <c r="D200" s="595"/>
      <c r="E200" s="586"/>
      <c r="F200" s="584"/>
      <c r="G200" s="355" t="s">
        <v>116</v>
      </c>
      <c r="H200" s="356"/>
      <c r="I200" s="357"/>
      <c r="J200" s="357"/>
      <c r="K200" s="357"/>
      <c r="L200" s="357"/>
      <c r="M200" s="357"/>
      <c r="N200" s="357"/>
      <c r="O200" s="357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  <c r="AA200" s="358"/>
      <c r="AB200" s="358"/>
      <c r="AC200" s="358"/>
      <c r="AD200" s="358"/>
      <c r="AE200" s="358"/>
      <c r="AF200" s="358"/>
      <c r="AG200" s="358"/>
      <c r="AH200" s="358"/>
      <c r="AI200" s="358"/>
      <c r="AJ200" s="358"/>
      <c r="AK200" s="358"/>
      <c r="AL200" s="358"/>
      <c r="AM200" s="581"/>
    </row>
    <row r="201" spans="1:39" ht="11.25" customHeight="1">
      <c r="A201" s="600"/>
      <c r="B201" s="589"/>
      <c r="C201" s="592"/>
      <c r="D201" s="595"/>
      <c r="E201" s="598"/>
      <c r="F201" s="359" t="s">
        <v>117</v>
      </c>
      <c r="G201" s="355" t="s">
        <v>118</v>
      </c>
      <c r="H201" s="356"/>
      <c r="I201" s="357"/>
      <c r="J201" s="357"/>
      <c r="K201" s="357"/>
      <c r="L201" s="357"/>
      <c r="M201" s="357"/>
      <c r="N201" s="357"/>
      <c r="O201" s="357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  <c r="AA201" s="358"/>
      <c r="AB201" s="358"/>
      <c r="AC201" s="358"/>
      <c r="AD201" s="358"/>
      <c r="AE201" s="358"/>
      <c r="AF201" s="358"/>
      <c r="AG201" s="358"/>
      <c r="AH201" s="358"/>
      <c r="AI201" s="358"/>
      <c r="AJ201" s="358"/>
      <c r="AK201" s="358"/>
      <c r="AL201" s="358"/>
      <c r="AM201" s="581"/>
    </row>
    <row r="202" spans="1:39" ht="12.75">
      <c r="A202" s="600"/>
      <c r="B202" s="589"/>
      <c r="C202" s="592"/>
      <c r="D202" s="595"/>
      <c r="E202" s="585">
        <v>2012</v>
      </c>
      <c r="F202" s="583">
        <f>SUM(H205:AL205)</f>
        <v>1138205</v>
      </c>
      <c r="G202" s="355" t="s">
        <v>122</v>
      </c>
      <c r="H202" s="356"/>
      <c r="I202" s="357"/>
      <c r="J202" s="357"/>
      <c r="K202" s="357"/>
      <c r="L202" s="357"/>
      <c r="M202" s="357"/>
      <c r="N202" s="357"/>
      <c r="O202" s="357"/>
      <c r="P202" s="358"/>
      <c r="Q202" s="358"/>
      <c r="R202" s="358"/>
      <c r="S202" s="358"/>
      <c r="T202" s="358"/>
      <c r="U202" s="358"/>
      <c r="V202" s="358"/>
      <c r="W202" s="358"/>
      <c r="X202" s="358"/>
      <c r="Y202" s="358"/>
      <c r="Z202" s="358"/>
      <c r="AA202" s="358"/>
      <c r="AB202" s="358"/>
      <c r="AC202" s="358"/>
      <c r="AD202" s="358"/>
      <c r="AE202" s="358"/>
      <c r="AF202" s="358"/>
      <c r="AG202" s="358"/>
      <c r="AH202" s="358"/>
      <c r="AI202" s="358"/>
      <c r="AJ202" s="358"/>
      <c r="AK202" s="358"/>
      <c r="AL202" s="358"/>
      <c r="AM202" s="581"/>
    </row>
    <row r="203" spans="1:39" ht="10.5" customHeight="1">
      <c r="A203" s="600"/>
      <c r="B203" s="589"/>
      <c r="C203" s="592"/>
      <c r="D203" s="595"/>
      <c r="E203" s="586"/>
      <c r="F203" s="584"/>
      <c r="G203" s="355" t="s">
        <v>123</v>
      </c>
      <c r="H203" s="356"/>
      <c r="I203" s="357"/>
      <c r="J203" s="357"/>
      <c r="K203" s="357"/>
      <c r="L203" s="357"/>
      <c r="M203" s="357"/>
      <c r="N203" s="357"/>
      <c r="O203" s="357"/>
      <c r="P203" s="358"/>
      <c r="Q203" s="358"/>
      <c r="R203" s="358"/>
      <c r="S203" s="358"/>
      <c r="T203" s="358"/>
      <c r="U203" s="358"/>
      <c r="V203" s="358"/>
      <c r="W203" s="358"/>
      <c r="X203" s="358"/>
      <c r="Y203" s="358"/>
      <c r="Z203" s="358"/>
      <c r="AA203" s="358"/>
      <c r="AB203" s="358"/>
      <c r="AC203" s="358"/>
      <c r="AD203" s="358"/>
      <c r="AE203" s="358"/>
      <c r="AF203" s="358"/>
      <c r="AG203" s="358"/>
      <c r="AH203" s="358"/>
      <c r="AI203" s="358"/>
      <c r="AJ203" s="358"/>
      <c r="AK203" s="358"/>
      <c r="AL203" s="358"/>
      <c r="AM203" s="581"/>
    </row>
    <row r="204" spans="1:39" ht="12.75">
      <c r="A204" s="600"/>
      <c r="B204" s="589"/>
      <c r="C204" s="592"/>
      <c r="D204" s="595"/>
      <c r="E204" s="586"/>
      <c r="F204" s="359" t="s">
        <v>121</v>
      </c>
      <c r="G204" s="355" t="s">
        <v>124</v>
      </c>
      <c r="H204" s="360">
        <f aca="true" t="shared" si="48" ref="H204:AL204">H198+H200+H202</f>
        <v>0</v>
      </c>
      <c r="I204" s="361">
        <f t="shared" si="48"/>
        <v>0</v>
      </c>
      <c r="J204" s="361">
        <f t="shared" si="48"/>
        <v>0</v>
      </c>
      <c r="K204" s="361">
        <f t="shared" si="48"/>
        <v>0</v>
      </c>
      <c r="L204" s="361">
        <f t="shared" si="48"/>
        <v>0</v>
      </c>
      <c r="M204" s="361">
        <f t="shared" si="48"/>
        <v>0</v>
      </c>
      <c r="N204" s="361">
        <f t="shared" si="48"/>
        <v>0</v>
      </c>
      <c r="O204" s="361">
        <f t="shared" si="48"/>
        <v>0</v>
      </c>
      <c r="P204" s="361">
        <f t="shared" si="48"/>
        <v>0</v>
      </c>
      <c r="Q204" s="361">
        <f t="shared" si="48"/>
        <v>0</v>
      </c>
      <c r="R204" s="361">
        <f t="shared" si="48"/>
        <v>0</v>
      </c>
      <c r="S204" s="361">
        <f t="shared" si="48"/>
        <v>0</v>
      </c>
      <c r="T204" s="361">
        <f t="shared" si="48"/>
        <v>0</v>
      </c>
      <c r="U204" s="361">
        <f t="shared" si="48"/>
        <v>0</v>
      </c>
      <c r="V204" s="361">
        <f t="shared" si="48"/>
        <v>0</v>
      </c>
      <c r="W204" s="361">
        <f t="shared" si="48"/>
        <v>0</v>
      </c>
      <c r="X204" s="361">
        <f t="shared" si="48"/>
        <v>0</v>
      </c>
      <c r="Y204" s="361">
        <f t="shared" si="48"/>
        <v>0</v>
      </c>
      <c r="Z204" s="361">
        <f t="shared" si="48"/>
        <v>0</v>
      </c>
      <c r="AA204" s="361">
        <f t="shared" si="48"/>
        <v>0</v>
      </c>
      <c r="AB204" s="361">
        <f t="shared" si="48"/>
        <v>0</v>
      </c>
      <c r="AC204" s="361">
        <f t="shared" si="48"/>
        <v>0</v>
      </c>
      <c r="AD204" s="361">
        <f t="shared" si="48"/>
        <v>0</v>
      </c>
      <c r="AE204" s="361">
        <f t="shared" si="48"/>
        <v>0</v>
      </c>
      <c r="AF204" s="361">
        <f t="shared" si="48"/>
        <v>0</v>
      </c>
      <c r="AG204" s="361">
        <f t="shared" si="48"/>
        <v>0</v>
      </c>
      <c r="AH204" s="361">
        <f t="shared" si="48"/>
        <v>0</v>
      </c>
      <c r="AI204" s="361">
        <f t="shared" si="48"/>
        <v>0</v>
      </c>
      <c r="AJ204" s="361">
        <f t="shared" si="48"/>
        <v>0</v>
      </c>
      <c r="AK204" s="361">
        <f t="shared" si="48"/>
        <v>0</v>
      </c>
      <c r="AL204" s="361">
        <f t="shared" si="48"/>
        <v>0</v>
      </c>
      <c r="AM204" s="581"/>
    </row>
    <row r="205" spans="1:39" ht="13.5" thickBot="1">
      <c r="A205" s="601"/>
      <c r="B205" s="590"/>
      <c r="C205" s="593"/>
      <c r="D205" s="596"/>
      <c r="E205" s="587"/>
      <c r="F205" s="363">
        <f>F199+F202</f>
        <v>1138205</v>
      </c>
      <c r="G205" s="364" t="s">
        <v>125</v>
      </c>
      <c r="H205" s="365">
        <f aca="true" t="shared" si="49" ref="H205:AL205">H199+H201+H203</f>
        <v>558205</v>
      </c>
      <c r="I205" s="366">
        <f t="shared" si="49"/>
        <v>580000</v>
      </c>
      <c r="J205" s="366">
        <f t="shared" si="49"/>
        <v>0</v>
      </c>
      <c r="K205" s="366">
        <f t="shared" si="49"/>
        <v>0</v>
      </c>
      <c r="L205" s="366">
        <f t="shared" si="49"/>
        <v>0</v>
      </c>
      <c r="M205" s="366">
        <f t="shared" si="49"/>
        <v>0</v>
      </c>
      <c r="N205" s="366">
        <f t="shared" si="49"/>
        <v>0</v>
      </c>
      <c r="O205" s="366">
        <f t="shared" si="49"/>
        <v>0</v>
      </c>
      <c r="P205" s="366">
        <f t="shared" si="49"/>
        <v>0</v>
      </c>
      <c r="Q205" s="366">
        <f t="shared" si="49"/>
        <v>0</v>
      </c>
      <c r="R205" s="366">
        <f t="shared" si="49"/>
        <v>0</v>
      </c>
      <c r="S205" s="366">
        <f t="shared" si="49"/>
        <v>0</v>
      </c>
      <c r="T205" s="366">
        <f t="shared" si="49"/>
        <v>0</v>
      </c>
      <c r="U205" s="366">
        <f t="shared" si="49"/>
        <v>0</v>
      </c>
      <c r="V205" s="366">
        <f t="shared" si="49"/>
        <v>0</v>
      </c>
      <c r="W205" s="366">
        <f t="shared" si="49"/>
        <v>0</v>
      </c>
      <c r="X205" s="366">
        <f t="shared" si="49"/>
        <v>0</v>
      </c>
      <c r="Y205" s="366">
        <f t="shared" si="49"/>
        <v>0</v>
      </c>
      <c r="Z205" s="366">
        <f t="shared" si="49"/>
        <v>0</v>
      </c>
      <c r="AA205" s="366">
        <f t="shared" si="49"/>
        <v>0</v>
      </c>
      <c r="AB205" s="366">
        <f t="shared" si="49"/>
        <v>0</v>
      </c>
      <c r="AC205" s="366">
        <f t="shared" si="49"/>
        <v>0</v>
      </c>
      <c r="AD205" s="366">
        <f t="shared" si="49"/>
        <v>0</v>
      </c>
      <c r="AE205" s="366">
        <f t="shared" si="49"/>
        <v>0</v>
      </c>
      <c r="AF205" s="366">
        <f t="shared" si="49"/>
        <v>0</v>
      </c>
      <c r="AG205" s="366">
        <f t="shared" si="49"/>
        <v>0</v>
      </c>
      <c r="AH205" s="366">
        <f t="shared" si="49"/>
        <v>0</v>
      </c>
      <c r="AI205" s="366">
        <f t="shared" si="49"/>
        <v>0</v>
      </c>
      <c r="AJ205" s="366">
        <f t="shared" si="49"/>
        <v>0</v>
      </c>
      <c r="AK205" s="366">
        <f t="shared" si="49"/>
        <v>0</v>
      </c>
      <c r="AL205" s="366">
        <f t="shared" si="49"/>
        <v>0</v>
      </c>
      <c r="AM205" s="582"/>
    </row>
    <row r="206" spans="1:39" ht="12.75" customHeight="1">
      <c r="A206" s="599">
        <v>26</v>
      </c>
      <c r="B206" s="588" t="s">
        <v>211</v>
      </c>
      <c r="C206" s="591">
        <v>90001</v>
      </c>
      <c r="D206" s="594" t="s">
        <v>188</v>
      </c>
      <c r="E206" s="597">
        <v>2011</v>
      </c>
      <c r="F206" s="350" t="s">
        <v>113</v>
      </c>
      <c r="G206" s="351" t="s">
        <v>114</v>
      </c>
      <c r="H206" s="352"/>
      <c r="I206" s="353"/>
      <c r="J206" s="353"/>
      <c r="K206" s="353"/>
      <c r="L206" s="353"/>
      <c r="M206" s="353"/>
      <c r="N206" s="353"/>
      <c r="O206" s="353"/>
      <c r="P206" s="354"/>
      <c r="Q206" s="354"/>
      <c r="R206" s="354"/>
      <c r="S206" s="354"/>
      <c r="T206" s="354"/>
      <c r="U206" s="354"/>
      <c r="V206" s="354"/>
      <c r="W206" s="354"/>
      <c r="X206" s="354"/>
      <c r="Y206" s="354"/>
      <c r="Z206" s="354"/>
      <c r="AA206" s="354"/>
      <c r="AB206" s="354"/>
      <c r="AC206" s="354"/>
      <c r="AD206" s="354"/>
      <c r="AE206" s="354"/>
      <c r="AF206" s="354"/>
      <c r="AG206" s="354"/>
      <c r="AH206" s="354"/>
      <c r="AI206" s="354"/>
      <c r="AJ206" s="354"/>
      <c r="AK206" s="354"/>
      <c r="AL206" s="354"/>
      <c r="AM206" s="580">
        <f>SUM(J212:AL213)</f>
        <v>14000000</v>
      </c>
    </row>
    <row r="207" spans="1:39" ht="12.75">
      <c r="A207" s="600"/>
      <c r="B207" s="589"/>
      <c r="C207" s="592"/>
      <c r="D207" s="595"/>
      <c r="E207" s="586"/>
      <c r="F207" s="583">
        <f>SUM(H212:AL212)</f>
        <v>0</v>
      </c>
      <c r="G207" s="355" t="s">
        <v>115</v>
      </c>
      <c r="H207" s="356">
        <f>5080000</f>
        <v>5080000</v>
      </c>
      <c r="I207" s="357">
        <f>3000000+500000-300000</f>
        <v>3200000</v>
      </c>
      <c r="J207" s="357">
        <f>5000000+2000000</f>
        <v>7000000</v>
      </c>
      <c r="K207" s="357">
        <f>5000000+2000000</f>
        <v>7000000</v>
      </c>
      <c r="L207" s="357"/>
      <c r="M207" s="357"/>
      <c r="N207" s="357"/>
      <c r="O207" s="357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/>
      <c r="AC207" s="358"/>
      <c r="AD207" s="358"/>
      <c r="AE207" s="358"/>
      <c r="AF207" s="358"/>
      <c r="AG207" s="358"/>
      <c r="AH207" s="358"/>
      <c r="AI207" s="358"/>
      <c r="AJ207" s="358"/>
      <c r="AK207" s="358"/>
      <c r="AL207" s="358"/>
      <c r="AM207" s="581"/>
    </row>
    <row r="208" spans="1:39" ht="12.75">
      <c r="A208" s="600"/>
      <c r="B208" s="589"/>
      <c r="C208" s="592"/>
      <c r="D208" s="595"/>
      <c r="E208" s="586"/>
      <c r="F208" s="584"/>
      <c r="G208" s="355" t="s">
        <v>116</v>
      </c>
      <c r="H208" s="356"/>
      <c r="I208" s="357"/>
      <c r="J208" s="357"/>
      <c r="K208" s="357"/>
      <c r="L208" s="357"/>
      <c r="M208" s="357"/>
      <c r="N208" s="357"/>
      <c r="O208" s="357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  <c r="AA208" s="358"/>
      <c r="AB208" s="358"/>
      <c r="AC208" s="358"/>
      <c r="AD208" s="358"/>
      <c r="AE208" s="358"/>
      <c r="AF208" s="358"/>
      <c r="AG208" s="358"/>
      <c r="AH208" s="358"/>
      <c r="AI208" s="358"/>
      <c r="AJ208" s="358"/>
      <c r="AK208" s="358"/>
      <c r="AL208" s="358"/>
      <c r="AM208" s="581"/>
    </row>
    <row r="209" spans="1:39" ht="12.75">
      <c r="A209" s="600"/>
      <c r="B209" s="589"/>
      <c r="C209" s="592"/>
      <c r="D209" s="595"/>
      <c r="E209" s="598"/>
      <c r="F209" s="359" t="s">
        <v>117</v>
      </c>
      <c r="G209" s="355" t="s">
        <v>118</v>
      </c>
      <c r="H209" s="356"/>
      <c r="I209" s="357"/>
      <c r="J209" s="357"/>
      <c r="K209" s="357"/>
      <c r="L209" s="357"/>
      <c r="M209" s="357"/>
      <c r="N209" s="357"/>
      <c r="O209" s="357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  <c r="AA209" s="358"/>
      <c r="AB209" s="358"/>
      <c r="AC209" s="358"/>
      <c r="AD209" s="358"/>
      <c r="AE209" s="358"/>
      <c r="AF209" s="358"/>
      <c r="AG209" s="358"/>
      <c r="AH209" s="358"/>
      <c r="AI209" s="358"/>
      <c r="AJ209" s="358"/>
      <c r="AK209" s="358"/>
      <c r="AL209" s="358"/>
      <c r="AM209" s="581"/>
    </row>
    <row r="210" spans="1:39" ht="12.75">
      <c r="A210" s="600"/>
      <c r="B210" s="589"/>
      <c r="C210" s="592"/>
      <c r="D210" s="595"/>
      <c r="E210" s="585">
        <v>2014</v>
      </c>
      <c r="F210" s="583">
        <f>SUM(H213:AL213)</f>
        <v>22280000</v>
      </c>
      <c r="G210" s="355" t="s">
        <v>122</v>
      </c>
      <c r="H210" s="356"/>
      <c r="I210" s="357"/>
      <c r="J210" s="357"/>
      <c r="K210" s="357"/>
      <c r="L210" s="357"/>
      <c r="M210" s="357"/>
      <c r="N210" s="357"/>
      <c r="O210" s="357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  <c r="AA210" s="358"/>
      <c r="AB210" s="358"/>
      <c r="AC210" s="358"/>
      <c r="AD210" s="358"/>
      <c r="AE210" s="358"/>
      <c r="AF210" s="358"/>
      <c r="AG210" s="358"/>
      <c r="AH210" s="358"/>
      <c r="AI210" s="358"/>
      <c r="AJ210" s="358"/>
      <c r="AK210" s="358"/>
      <c r="AL210" s="358"/>
      <c r="AM210" s="581"/>
    </row>
    <row r="211" spans="1:39" ht="12.75">
      <c r="A211" s="600"/>
      <c r="B211" s="589"/>
      <c r="C211" s="592"/>
      <c r="D211" s="595"/>
      <c r="E211" s="586"/>
      <c r="F211" s="584"/>
      <c r="G211" s="355" t="s">
        <v>123</v>
      </c>
      <c r="H211" s="356"/>
      <c r="I211" s="357"/>
      <c r="J211" s="357"/>
      <c r="K211" s="357"/>
      <c r="L211" s="357"/>
      <c r="M211" s="357"/>
      <c r="N211" s="357"/>
      <c r="O211" s="357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  <c r="AA211" s="358"/>
      <c r="AB211" s="358"/>
      <c r="AC211" s="358"/>
      <c r="AD211" s="358"/>
      <c r="AE211" s="358"/>
      <c r="AF211" s="358"/>
      <c r="AG211" s="358"/>
      <c r="AH211" s="358"/>
      <c r="AI211" s="358"/>
      <c r="AJ211" s="358"/>
      <c r="AK211" s="358"/>
      <c r="AL211" s="358"/>
      <c r="AM211" s="581"/>
    </row>
    <row r="212" spans="1:39" ht="12.75">
      <c r="A212" s="600"/>
      <c r="B212" s="589"/>
      <c r="C212" s="592"/>
      <c r="D212" s="595"/>
      <c r="E212" s="586"/>
      <c r="F212" s="359" t="s">
        <v>121</v>
      </c>
      <c r="G212" s="355" t="s">
        <v>124</v>
      </c>
      <c r="H212" s="360">
        <f aca="true" t="shared" si="50" ref="H212:AL212">H206+H208+H210</f>
        <v>0</v>
      </c>
      <c r="I212" s="361">
        <f t="shared" si="50"/>
        <v>0</v>
      </c>
      <c r="J212" s="361">
        <f t="shared" si="50"/>
        <v>0</v>
      </c>
      <c r="K212" s="361">
        <f t="shared" si="50"/>
        <v>0</v>
      </c>
      <c r="L212" s="361">
        <f t="shared" si="50"/>
        <v>0</v>
      </c>
      <c r="M212" s="361">
        <f t="shared" si="50"/>
        <v>0</v>
      </c>
      <c r="N212" s="361">
        <f t="shared" si="50"/>
        <v>0</v>
      </c>
      <c r="O212" s="361">
        <f t="shared" si="50"/>
        <v>0</v>
      </c>
      <c r="P212" s="361">
        <f t="shared" si="50"/>
        <v>0</v>
      </c>
      <c r="Q212" s="361">
        <f t="shared" si="50"/>
        <v>0</v>
      </c>
      <c r="R212" s="361">
        <f t="shared" si="50"/>
        <v>0</v>
      </c>
      <c r="S212" s="361">
        <f t="shared" si="50"/>
        <v>0</v>
      </c>
      <c r="T212" s="361">
        <f t="shared" si="50"/>
        <v>0</v>
      </c>
      <c r="U212" s="361">
        <f t="shared" si="50"/>
        <v>0</v>
      </c>
      <c r="V212" s="361">
        <f t="shared" si="50"/>
        <v>0</v>
      </c>
      <c r="W212" s="361">
        <f t="shared" si="50"/>
        <v>0</v>
      </c>
      <c r="X212" s="361">
        <f t="shared" si="50"/>
        <v>0</v>
      </c>
      <c r="Y212" s="361">
        <f t="shared" si="50"/>
        <v>0</v>
      </c>
      <c r="Z212" s="361">
        <f t="shared" si="50"/>
        <v>0</v>
      </c>
      <c r="AA212" s="361">
        <f t="shared" si="50"/>
        <v>0</v>
      </c>
      <c r="AB212" s="361">
        <f t="shared" si="50"/>
        <v>0</v>
      </c>
      <c r="AC212" s="361">
        <f t="shared" si="50"/>
        <v>0</v>
      </c>
      <c r="AD212" s="361">
        <f t="shared" si="50"/>
        <v>0</v>
      </c>
      <c r="AE212" s="361">
        <f t="shared" si="50"/>
        <v>0</v>
      </c>
      <c r="AF212" s="361">
        <f t="shared" si="50"/>
        <v>0</v>
      </c>
      <c r="AG212" s="361">
        <f t="shared" si="50"/>
        <v>0</v>
      </c>
      <c r="AH212" s="361">
        <f t="shared" si="50"/>
        <v>0</v>
      </c>
      <c r="AI212" s="361">
        <f t="shared" si="50"/>
        <v>0</v>
      </c>
      <c r="AJ212" s="361">
        <f t="shared" si="50"/>
        <v>0</v>
      </c>
      <c r="AK212" s="361">
        <f t="shared" si="50"/>
        <v>0</v>
      </c>
      <c r="AL212" s="361">
        <f t="shared" si="50"/>
        <v>0</v>
      </c>
      <c r="AM212" s="581"/>
    </row>
    <row r="213" spans="1:39" ht="13.5" thickBot="1">
      <c r="A213" s="601"/>
      <c r="B213" s="590"/>
      <c r="C213" s="593"/>
      <c r="D213" s="596"/>
      <c r="E213" s="587"/>
      <c r="F213" s="363">
        <f>F207+F210</f>
        <v>22280000</v>
      </c>
      <c r="G213" s="364" t="s">
        <v>125</v>
      </c>
      <c r="H213" s="365">
        <f aca="true" t="shared" si="51" ref="H213:AL213">H207+H209+H211</f>
        <v>5080000</v>
      </c>
      <c r="I213" s="366">
        <f t="shared" si="51"/>
        <v>3200000</v>
      </c>
      <c r="J213" s="366">
        <f t="shared" si="51"/>
        <v>7000000</v>
      </c>
      <c r="K213" s="366">
        <f t="shared" si="51"/>
        <v>7000000</v>
      </c>
      <c r="L213" s="366">
        <f t="shared" si="51"/>
        <v>0</v>
      </c>
      <c r="M213" s="366">
        <f t="shared" si="51"/>
        <v>0</v>
      </c>
      <c r="N213" s="366">
        <f t="shared" si="51"/>
        <v>0</v>
      </c>
      <c r="O213" s="366">
        <f t="shared" si="51"/>
        <v>0</v>
      </c>
      <c r="P213" s="366">
        <f t="shared" si="51"/>
        <v>0</v>
      </c>
      <c r="Q213" s="366">
        <f t="shared" si="51"/>
        <v>0</v>
      </c>
      <c r="R213" s="366">
        <f t="shared" si="51"/>
        <v>0</v>
      </c>
      <c r="S213" s="366">
        <f t="shared" si="51"/>
        <v>0</v>
      </c>
      <c r="T213" s="366">
        <f t="shared" si="51"/>
        <v>0</v>
      </c>
      <c r="U213" s="366">
        <f t="shared" si="51"/>
        <v>0</v>
      </c>
      <c r="V213" s="366">
        <f t="shared" si="51"/>
        <v>0</v>
      </c>
      <c r="W213" s="366">
        <f t="shared" si="51"/>
        <v>0</v>
      </c>
      <c r="X213" s="366">
        <f t="shared" si="51"/>
        <v>0</v>
      </c>
      <c r="Y213" s="366">
        <f t="shared" si="51"/>
        <v>0</v>
      </c>
      <c r="Z213" s="366">
        <f t="shared" si="51"/>
        <v>0</v>
      </c>
      <c r="AA213" s="366">
        <f t="shared" si="51"/>
        <v>0</v>
      </c>
      <c r="AB213" s="366">
        <f t="shared" si="51"/>
        <v>0</v>
      </c>
      <c r="AC213" s="366">
        <f t="shared" si="51"/>
        <v>0</v>
      </c>
      <c r="AD213" s="366">
        <f t="shared" si="51"/>
        <v>0</v>
      </c>
      <c r="AE213" s="366">
        <f t="shared" si="51"/>
        <v>0</v>
      </c>
      <c r="AF213" s="366">
        <f t="shared" si="51"/>
        <v>0</v>
      </c>
      <c r="AG213" s="366">
        <f t="shared" si="51"/>
        <v>0</v>
      </c>
      <c r="AH213" s="366">
        <f t="shared" si="51"/>
        <v>0</v>
      </c>
      <c r="AI213" s="366">
        <f t="shared" si="51"/>
        <v>0</v>
      </c>
      <c r="AJ213" s="366">
        <f t="shared" si="51"/>
        <v>0</v>
      </c>
      <c r="AK213" s="366">
        <f t="shared" si="51"/>
        <v>0</v>
      </c>
      <c r="AL213" s="366">
        <f t="shared" si="51"/>
        <v>0</v>
      </c>
      <c r="AM213" s="582"/>
    </row>
    <row r="214" spans="1:39" ht="12.75" customHeight="1">
      <c r="A214" s="599">
        <v>27</v>
      </c>
      <c r="B214" s="588" t="s">
        <v>212</v>
      </c>
      <c r="C214" s="591">
        <v>90001</v>
      </c>
      <c r="D214" s="594" t="s">
        <v>188</v>
      </c>
      <c r="E214" s="597">
        <v>2011</v>
      </c>
      <c r="F214" s="350" t="s">
        <v>113</v>
      </c>
      <c r="G214" s="351" t="s">
        <v>114</v>
      </c>
      <c r="H214" s="352"/>
      <c r="I214" s="353"/>
      <c r="J214" s="353"/>
      <c r="K214" s="353"/>
      <c r="L214" s="353"/>
      <c r="M214" s="353"/>
      <c r="N214" s="353"/>
      <c r="O214" s="353"/>
      <c r="P214" s="354"/>
      <c r="Q214" s="354"/>
      <c r="R214" s="354"/>
      <c r="S214" s="354"/>
      <c r="T214" s="354"/>
      <c r="U214" s="354"/>
      <c r="V214" s="354"/>
      <c r="W214" s="354"/>
      <c r="X214" s="354"/>
      <c r="Y214" s="354"/>
      <c r="Z214" s="354"/>
      <c r="AA214" s="354"/>
      <c r="AB214" s="354"/>
      <c r="AC214" s="354"/>
      <c r="AD214" s="354"/>
      <c r="AE214" s="354"/>
      <c r="AF214" s="354"/>
      <c r="AG214" s="354"/>
      <c r="AH214" s="354"/>
      <c r="AI214" s="354"/>
      <c r="AJ214" s="354"/>
      <c r="AK214" s="354"/>
      <c r="AL214" s="354"/>
      <c r="AM214" s="580">
        <f>SUM(J220:AL221)</f>
        <v>0</v>
      </c>
    </row>
    <row r="215" spans="1:39" ht="12.75">
      <c r="A215" s="600"/>
      <c r="B215" s="589"/>
      <c r="C215" s="592"/>
      <c r="D215" s="595"/>
      <c r="E215" s="586"/>
      <c r="F215" s="583">
        <f>SUM(H220:AL220)</f>
        <v>0</v>
      </c>
      <c r="G215" s="355" t="s">
        <v>115</v>
      </c>
      <c r="H215" s="356">
        <f>200000</f>
        <v>200000</v>
      </c>
      <c r="I215" s="357">
        <f>700000+1600000</f>
        <v>2300000</v>
      </c>
      <c r="J215" s="357"/>
      <c r="K215" s="357"/>
      <c r="L215" s="357"/>
      <c r="M215" s="357"/>
      <c r="N215" s="357"/>
      <c r="O215" s="357"/>
      <c r="P215" s="358"/>
      <c r="Q215" s="358"/>
      <c r="R215" s="358"/>
      <c r="S215" s="358"/>
      <c r="T215" s="358"/>
      <c r="U215" s="358"/>
      <c r="V215" s="358"/>
      <c r="W215" s="358"/>
      <c r="X215" s="358"/>
      <c r="Y215" s="358"/>
      <c r="Z215" s="358"/>
      <c r="AA215" s="358"/>
      <c r="AB215" s="358"/>
      <c r="AC215" s="358"/>
      <c r="AD215" s="358"/>
      <c r="AE215" s="358"/>
      <c r="AF215" s="358"/>
      <c r="AG215" s="358"/>
      <c r="AH215" s="358"/>
      <c r="AI215" s="358"/>
      <c r="AJ215" s="358"/>
      <c r="AK215" s="358"/>
      <c r="AL215" s="358"/>
      <c r="AM215" s="581"/>
    </row>
    <row r="216" spans="1:39" ht="12" customHeight="1">
      <c r="A216" s="600"/>
      <c r="B216" s="589"/>
      <c r="C216" s="592"/>
      <c r="D216" s="595"/>
      <c r="E216" s="586"/>
      <c r="F216" s="584"/>
      <c r="G216" s="355" t="s">
        <v>116</v>
      </c>
      <c r="H216" s="356"/>
      <c r="I216" s="357"/>
      <c r="J216" s="357"/>
      <c r="K216" s="357"/>
      <c r="L216" s="357"/>
      <c r="M216" s="357"/>
      <c r="N216" s="357"/>
      <c r="O216" s="357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  <c r="AA216" s="358"/>
      <c r="AB216" s="358"/>
      <c r="AC216" s="358"/>
      <c r="AD216" s="358"/>
      <c r="AE216" s="358"/>
      <c r="AF216" s="358"/>
      <c r="AG216" s="358"/>
      <c r="AH216" s="358"/>
      <c r="AI216" s="358"/>
      <c r="AJ216" s="358"/>
      <c r="AK216" s="358"/>
      <c r="AL216" s="358"/>
      <c r="AM216" s="581"/>
    </row>
    <row r="217" spans="1:39" ht="12.75">
      <c r="A217" s="600"/>
      <c r="B217" s="589"/>
      <c r="C217" s="592"/>
      <c r="D217" s="595"/>
      <c r="E217" s="598"/>
      <c r="F217" s="359" t="s">
        <v>117</v>
      </c>
      <c r="G217" s="355" t="s">
        <v>118</v>
      </c>
      <c r="H217" s="356"/>
      <c r="I217" s="357"/>
      <c r="J217" s="357"/>
      <c r="K217" s="357"/>
      <c r="L217" s="357"/>
      <c r="M217" s="357"/>
      <c r="N217" s="357"/>
      <c r="O217" s="357"/>
      <c r="P217" s="358"/>
      <c r="Q217" s="358"/>
      <c r="R217" s="358"/>
      <c r="S217" s="358"/>
      <c r="T217" s="358"/>
      <c r="U217" s="358"/>
      <c r="V217" s="358"/>
      <c r="W217" s="358"/>
      <c r="X217" s="358"/>
      <c r="Y217" s="358"/>
      <c r="Z217" s="358"/>
      <c r="AA217" s="358"/>
      <c r="AB217" s="358"/>
      <c r="AC217" s="358"/>
      <c r="AD217" s="358"/>
      <c r="AE217" s="358"/>
      <c r="AF217" s="358"/>
      <c r="AG217" s="358"/>
      <c r="AH217" s="358"/>
      <c r="AI217" s="358"/>
      <c r="AJ217" s="358"/>
      <c r="AK217" s="358"/>
      <c r="AL217" s="358"/>
      <c r="AM217" s="581"/>
    </row>
    <row r="218" spans="1:39" ht="12" customHeight="1">
      <c r="A218" s="600"/>
      <c r="B218" s="589"/>
      <c r="C218" s="592"/>
      <c r="D218" s="595"/>
      <c r="E218" s="585">
        <v>2012</v>
      </c>
      <c r="F218" s="583">
        <f>SUM(H221:AL221)</f>
        <v>2500000</v>
      </c>
      <c r="G218" s="355" t="s">
        <v>122</v>
      </c>
      <c r="H218" s="356"/>
      <c r="I218" s="357"/>
      <c r="J218" s="357"/>
      <c r="K218" s="357"/>
      <c r="L218" s="357"/>
      <c r="M218" s="357"/>
      <c r="N218" s="357"/>
      <c r="O218" s="357"/>
      <c r="P218" s="358"/>
      <c r="Q218" s="358"/>
      <c r="R218" s="358"/>
      <c r="S218" s="358"/>
      <c r="T218" s="358"/>
      <c r="U218" s="358"/>
      <c r="V218" s="358"/>
      <c r="W218" s="358"/>
      <c r="X218" s="358"/>
      <c r="Y218" s="358"/>
      <c r="Z218" s="358"/>
      <c r="AA218" s="357"/>
      <c r="AB218" s="358"/>
      <c r="AC218" s="358"/>
      <c r="AD218" s="358"/>
      <c r="AE218" s="358"/>
      <c r="AF218" s="358"/>
      <c r="AG218" s="358"/>
      <c r="AH218" s="358"/>
      <c r="AI218" s="358"/>
      <c r="AJ218" s="358"/>
      <c r="AK218" s="358"/>
      <c r="AL218" s="358"/>
      <c r="AM218" s="581"/>
    </row>
    <row r="219" spans="1:39" ht="9.75" customHeight="1">
      <c r="A219" s="600"/>
      <c r="B219" s="589"/>
      <c r="C219" s="592"/>
      <c r="D219" s="595"/>
      <c r="E219" s="586"/>
      <c r="F219" s="584"/>
      <c r="G219" s="355" t="s">
        <v>123</v>
      </c>
      <c r="H219" s="356"/>
      <c r="I219" s="357"/>
      <c r="J219" s="357"/>
      <c r="K219" s="357"/>
      <c r="L219" s="357"/>
      <c r="M219" s="357"/>
      <c r="N219" s="357"/>
      <c r="O219" s="357"/>
      <c r="P219" s="358"/>
      <c r="Q219" s="358"/>
      <c r="R219" s="358"/>
      <c r="S219" s="358"/>
      <c r="T219" s="358"/>
      <c r="U219" s="358"/>
      <c r="V219" s="358"/>
      <c r="W219" s="358"/>
      <c r="X219" s="358"/>
      <c r="Y219" s="358"/>
      <c r="Z219" s="358"/>
      <c r="AA219" s="357"/>
      <c r="AB219" s="358"/>
      <c r="AC219" s="358"/>
      <c r="AD219" s="358"/>
      <c r="AE219" s="358"/>
      <c r="AF219" s="358"/>
      <c r="AG219" s="358"/>
      <c r="AH219" s="358"/>
      <c r="AI219" s="358"/>
      <c r="AJ219" s="358"/>
      <c r="AK219" s="358"/>
      <c r="AL219" s="358"/>
      <c r="AM219" s="581"/>
    </row>
    <row r="220" spans="1:39" ht="12.75">
      <c r="A220" s="600"/>
      <c r="B220" s="589"/>
      <c r="C220" s="592"/>
      <c r="D220" s="595"/>
      <c r="E220" s="586"/>
      <c r="F220" s="359" t="s">
        <v>121</v>
      </c>
      <c r="G220" s="355" t="s">
        <v>124</v>
      </c>
      <c r="H220" s="360">
        <f aca="true" t="shared" si="52" ref="H220:AL220">H214+H216+H218</f>
        <v>0</v>
      </c>
      <c r="I220" s="361">
        <f t="shared" si="52"/>
        <v>0</v>
      </c>
      <c r="J220" s="361">
        <f t="shared" si="52"/>
        <v>0</v>
      </c>
      <c r="K220" s="361">
        <f t="shared" si="52"/>
        <v>0</v>
      </c>
      <c r="L220" s="361">
        <f t="shared" si="52"/>
        <v>0</v>
      </c>
      <c r="M220" s="361">
        <f t="shared" si="52"/>
        <v>0</v>
      </c>
      <c r="N220" s="361">
        <f t="shared" si="52"/>
        <v>0</v>
      </c>
      <c r="O220" s="361">
        <f t="shared" si="52"/>
        <v>0</v>
      </c>
      <c r="P220" s="361">
        <f t="shared" si="52"/>
        <v>0</v>
      </c>
      <c r="Q220" s="361">
        <f t="shared" si="52"/>
        <v>0</v>
      </c>
      <c r="R220" s="361">
        <f t="shared" si="52"/>
        <v>0</v>
      </c>
      <c r="S220" s="361">
        <f t="shared" si="52"/>
        <v>0</v>
      </c>
      <c r="T220" s="361">
        <f t="shared" si="52"/>
        <v>0</v>
      </c>
      <c r="U220" s="361">
        <f t="shared" si="52"/>
        <v>0</v>
      </c>
      <c r="V220" s="361">
        <f t="shared" si="52"/>
        <v>0</v>
      </c>
      <c r="W220" s="361">
        <f t="shared" si="52"/>
        <v>0</v>
      </c>
      <c r="X220" s="361">
        <f t="shared" si="52"/>
        <v>0</v>
      </c>
      <c r="Y220" s="361">
        <f t="shared" si="52"/>
        <v>0</v>
      </c>
      <c r="Z220" s="361">
        <f t="shared" si="52"/>
        <v>0</v>
      </c>
      <c r="AA220" s="361">
        <f t="shared" si="52"/>
        <v>0</v>
      </c>
      <c r="AB220" s="361">
        <f t="shared" si="52"/>
        <v>0</v>
      </c>
      <c r="AC220" s="361">
        <f t="shared" si="52"/>
        <v>0</v>
      </c>
      <c r="AD220" s="361">
        <f t="shared" si="52"/>
        <v>0</v>
      </c>
      <c r="AE220" s="361">
        <f t="shared" si="52"/>
        <v>0</v>
      </c>
      <c r="AF220" s="361">
        <f t="shared" si="52"/>
        <v>0</v>
      </c>
      <c r="AG220" s="361">
        <f t="shared" si="52"/>
        <v>0</v>
      </c>
      <c r="AH220" s="361">
        <f t="shared" si="52"/>
        <v>0</v>
      </c>
      <c r="AI220" s="361">
        <f t="shared" si="52"/>
        <v>0</v>
      </c>
      <c r="AJ220" s="361">
        <f t="shared" si="52"/>
        <v>0</v>
      </c>
      <c r="AK220" s="361">
        <f t="shared" si="52"/>
        <v>0</v>
      </c>
      <c r="AL220" s="361">
        <f t="shared" si="52"/>
        <v>0</v>
      </c>
      <c r="AM220" s="581"/>
    </row>
    <row r="221" spans="1:39" ht="13.5" thickBot="1">
      <c r="A221" s="601"/>
      <c r="B221" s="590"/>
      <c r="C221" s="593"/>
      <c r="D221" s="596"/>
      <c r="E221" s="587"/>
      <c r="F221" s="363">
        <f>F215+F218</f>
        <v>2500000</v>
      </c>
      <c r="G221" s="364" t="s">
        <v>125</v>
      </c>
      <c r="H221" s="365">
        <f aca="true" t="shared" si="53" ref="H221:AL221">H215+H217+H219</f>
        <v>200000</v>
      </c>
      <c r="I221" s="366">
        <f t="shared" si="53"/>
        <v>2300000</v>
      </c>
      <c r="J221" s="366">
        <f t="shared" si="53"/>
        <v>0</v>
      </c>
      <c r="K221" s="366">
        <f t="shared" si="53"/>
        <v>0</v>
      </c>
      <c r="L221" s="366">
        <f t="shared" si="53"/>
        <v>0</v>
      </c>
      <c r="M221" s="366">
        <f t="shared" si="53"/>
        <v>0</v>
      </c>
      <c r="N221" s="366">
        <f t="shared" si="53"/>
        <v>0</v>
      </c>
      <c r="O221" s="366">
        <f t="shared" si="53"/>
        <v>0</v>
      </c>
      <c r="P221" s="366">
        <f t="shared" si="53"/>
        <v>0</v>
      </c>
      <c r="Q221" s="366">
        <f t="shared" si="53"/>
        <v>0</v>
      </c>
      <c r="R221" s="366">
        <f t="shared" si="53"/>
        <v>0</v>
      </c>
      <c r="S221" s="366">
        <f t="shared" si="53"/>
        <v>0</v>
      </c>
      <c r="T221" s="366">
        <f t="shared" si="53"/>
        <v>0</v>
      </c>
      <c r="U221" s="366">
        <f t="shared" si="53"/>
        <v>0</v>
      </c>
      <c r="V221" s="366">
        <f t="shared" si="53"/>
        <v>0</v>
      </c>
      <c r="W221" s="366">
        <f t="shared" si="53"/>
        <v>0</v>
      </c>
      <c r="X221" s="366">
        <f t="shared" si="53"/>
        <v>0</v>
      </c>
      <c r="Y221" s="366">
        <f t="shared" si="53"/>
        <v>0</v>
      </c>
      <c r="Z221" s="366">
        <f t="shared" si="53"/>
        <v>0</v>
      </c>
      <c r="AA221" s="366">
        <f t="shared" si="53"/>
        <v>0</v>
      </c>
      <c r="AB221" s="366">
        <f t="shared" si="53"/>
        <v>0</v>
      </c>
      <c r="AC221" s="366">
        <f t="shared" si="53"/>
        <v>0</v>
      </c>
      <c r="AD221" s="366">
        <f t="shared" si="53"/>
        <v>0</v>
      </c>
      <c r="AE221" s="366">
        <f t="shared" si="53"/>
        <v>0</v>
      </c>
      <c r="AF221" s="366">
        <f t="shared" si="53"/>
        <v>0</v>
      </c>
      <c r="AG221" s="366">
        <f t="shared" si="53"/>
        <v>0</v>
      </c>
      <c r="AH221" s="366">
        <f t="shared" si="53"/>
        <v>0</v>
      </c>
      <c r="AI221" s="366">
        <f t="shared" si="53"/>
        <v>0</v>
      </c>
      <c r="AJ221" s="366">
        <f t="shared" si="53"/>
        <v>0</v>
      </c>
      <c r="AK221" s="366">
        <f t="shared" si="53"/>
        <v>0</v>
      </c>
      <c r="AL221" s="366">
        <f t="shared" si="53"/>
        <v>0</v>
      </c>
      <c r="AM221" s="582"/>
    </row>
    <row r="222" spans="1:39" ht="12.75" customHeight="1">
      <c r="A222" s="599">
        <v>28</v>
      </c>
      <c r="B222" s="589" t="s">
        <v>199</v>
      </c>
      <c r="C222" s="592">
        <v>90001</v>
      </c>
      <c r="D222" s="595" t="s">
        <v>188</v>
      </c>
      <c r="E222" s="586">
        <v>2011</v>
      </c>
      <c r="F222" s="374" t="s">
        <v>113</v>
      </c>
      <c r="G222" s="368" t="s">
        <v>114</v>
      </c>
      <c r="H222" s="375"/>
      <c r="I222" s="369"/>
      <c r="J222" s="369"/>
      <c r="K222" s="369"/>
      <c r="L222" s="369"/>
      <c r="M222" s="369"/>
      <c r="N222" s="369"/>
      <c r="O222" s="369"/>
      <c r="P222" s="370"/>
      <c r="Q222" s="370"/>
      <c r="R222" s="370"/>
      <c r="S222" s="370"/>
      <c r="T222" s="370"/>
      <c r="U222" s="370"/>
      <c r="V222" s="370"/>
      <c r="W222" s="370"/>
      <c r="X222" s="370"/>
      <c r="Y222" s="370"/>
      <c r="Z222" s="370"/>
      <c r="AA222" s="370"/>
      <c r="AB222" s="370"/>
      <c r="AC222" s="370"/>
      <c r="AD222" s="370"/>
      <c r="AE222" s="370"/>
      <c r="AF222" s="370"/>
      <c r="AG222" s="370"/>
      <c r="AH222" s="370"/>
      <c r="AI222" s="370"/>
      <c r="AJ222" s="370"/>
      <c r="AK222" s="370"/>
      <c r="AL222" s="370"/>
      <c r="AM222" s="581">
        <f>SUM(J228:AL229)</f>
        <v>1900000</v>
      </c>
    </row>
    <row r="223" spans="1:39" ht="12.75">
      <c r="A223" s="600"/>
      <c r="B223" s="589"/>
      <c r="C223" s="592"/>
      <c r="D223" s="595"/>
      <c r="E223" s="586"/>
      <c r="F223" s="583">
        <f>SUM(H228:AL228)</f>
        <v>0</v>
      </c>
      <c r="G223" s="355" t="s">
        <v>115</v>
      </c>
      <c r="H223" s="356">
        <f>900000</f>
        <v>900000</v>
      </c>
      <c r="I223" s="357">
        <f>1400000-650000-250000</f>
        <v>500000</v>
      </c>
      <c r="J223" s="357">
        <f>500000+350000</f>
        <v>850000</v>
      </c>
      <c r="K223" s="357">
        <f>500000+300000</f>
        <v>800000</v>
      </c>
      <c r="L223" s="357">
        <v>250000</v>
      </c>
      <c r="M223" s="357"/>
      <c r="N223" s="357"/>
      <c r="O223" s="357"/>
      <c r="P223" s="358"/>
      <c r="Q223" s="358"/>
      <c r="R223" s="358"/>
      <c r="S223" s="358"/>
      <c r="T223" s="358"/>
      <c r="U223" s="358"/>
      <c r="V223" s="358"/>
      <c r="W223" s="358"/>
      <c r="X223" s="358"/>
      <c r="Y223" s="358"/>
      <c r="Z223" s="358"/>
      <c r="AA223" s="358"/>
      <c r="AB223" s="358"/>
      <c r="AC223" s="358"/>
      <c r="AD223" s="358"/>
      <c r="AE223" s="358"/>
      <c r="AF223" s="358"/>
      <c r="AG223" s="358"/>
      <c r="AH223" s="358"/>
      <c r="AI223" s="358"/>
      <c r="AJ223" s="358"/>
      <c r="AK223" s="358"/>
      <c r="AL223" s="358"/>
      <c r="AM223" s="581"/>
    </row>
    <row r="224" spans="1:39" ht="12.75">
      <c r="A224" s="600"/>
      <c r="B224" s="589"/>
      <c r="C224" s="592"/>
      <c r="D224" s="595"/>
      <c r="E224" s="586"/>
      <c r="F224" s="584"/>
      <c r="G224" s="355" t="s">
        <v>116</v>
      </c>
      <c r="H224" s="356"/>
      <c r="I224" s="357"/>
      <c r="J224" s="357"/>
      <c r="K224" s="357"/>
      <c r="L224" s="357"/>
      <c r="M224" s="357"/>
      <c r="N224" s="357"/>
      <c r="O224" s="357"/>
      <c r="P224" s="358"/>
      <c r="Q224" s="358"/>
      <c r="R224" s="358"/>
      <c r="S224" s="358"/>
      <c r="T224" s="358"/>
      <c r="U224" s="358"/>
      <c r="V224" s="358"/>
      <c r="W224" s="358"/>
      <c r="X224" s="358"/>
      <c r="Y224" s="358"/>
      <c r="Z224" s="358"/>
      <c r="AA224" s="358"/>
      <c r="AB224" s="358"/>
      <c r="AC224" s="358"/>
      <c r="AD224" s="358"/>
      <c r="AE224" s="358"/>
      <c r="AF224" s="358"/>
      <c r="AG224" s="358"/>
      <c r="AH224" s="358"/>
      <c r="AI224" s="358"/>
      <c r="AJ224" s="358"/>
      <c r="AK224" s="358"/>
      <c r="AL224" s="358"/>
      <c r="AM224" s="581"/>
    </row>
    <row r="225" spans="1:39" ht="12.75">
      <c r="A225" s="600"/>
      <c r="B225" s="589"/>
      <c r="C225" s="592"/>
      <c r="D225" s="595"/>
      <c r="E225" s="598"/>
      <c r="F225" s="359" t="s">
        <v>117</v>
      </c>
      <c r="G225" s="355" t="s">
        <v>118</v>
      </c>
      <c r="H225" s="356"/>
      <c r="I225" s="357"/>
      <c r="J225" s="357"/>
      <c r="K225" s="357"/>
      <c r="L225" s="357"/>
      <c r="M225" s="357"/>
      <c r="N225" s="357"/>
      <c r="O225" s="357"/>
      <c r="P225" s="358"/>
      <c r="Q225" s="358"/>
      <c r="R225" s="358"/>
      <c r="S225" s="358"/>
      <c r="T225" s="358"/>
      <c r="U225" s="358"/>
      <c r="V225" s="358"/>
      <c r="W225" s="358"/>
      <c r="X225" s="358"/>
      <c r="Y225" s="358"/>
      <c r="Z225" s="358"/>
      <c r="AA225" s="358"/>
      <c r="AB225" s="358"/>
      <c r="AC225" s="358"/>
      <c r="AD225" s="358"/>
      <c r="AE225" s="358"/>
      <c r="AF225" s="358"/>
      <c r="AG225" s="358"/>
      <c r="AH225" s="358"/>
      <c r="AI225" s="358"/>
      <c r="AJ225" s="358"/>
      <c r="AK225" s="358"/>
      <c r="AL225" s="358"/>
      <c r="AM225" s="581"/>
    </row>
    <row r="226" spans="1:39" ht="12.75">
      <c r="A226" s="600"/>
      <c r="B226" s="589"/>
      <c r="C226" s="592"/>
      <c r="D226" s="595"/>
      <c r="E226" s="585">
        <v>2014</v>
      </c>
      <c r="F226" s="583">
        <f>SUM(H229:AL229)</f>
        <v>3300000</v>
      </c>
      <c r="G226" s="355" t="s">
        <v>122</v>
      </c>
      <c r="H226" s="356"/>
      <c r="I226" s="357"/>
      <c r="J226" s="357"/>
      <c r="K226" s="357"/>
      <c r="L226" s="357"/>
      <c r="M226" s="357"/>
      <c r="N226" s="357"/>
      <c r="O226" s="357"/>
      <c r="P226" s="358"/>
      <c r="Q226" s="358"/>
      <c r="R226" s="358"/>
      <c r="S226" s="358"/>
      <c r="T226" s="358"/>
      <c r="U226" s="358"/>
      <c r="V226" s="358"/>
      <c r="W226" s="358"/>
      <c r="X226" s="358"/>
      <c r="Y226" s="358"/>
      <c r="Z226" s="358"/>
      <c r="AA226" s="358"/>
      <c r="AB226" s="358"/>
      <c r="AC226" s="358"/>
      <c r="AD226" s="358"/>
      <c r="AE226" s="358"/>
      <c r="AF226" s="358"/>
      <c r="AG226" s="358"/>
      <c r="AH226" s="358"/>
      <c r="AI226" s="358"/>
      <c r="AJ226" s="358"/>
      <c r="AK226" s="358"/>
      <c r="AL226" s="358"/>
      <c r="AM226" s="581"/>
    </row>
    <row r="227" spans="1:39" ht="12.75">
      <c r="A227" s="600"/>
      <c r="B227" s="589"/>
      <c r="C227" s="592"/>
      <c r="D227" s="595"/>
      <c r="E227" s="586"/>
      <c r="F227" s="584"/>
      <c r="G227" s="355" t="s">
        <v>123</v>
      </c>
      <c r="H227" s="356"/>
      <c r="I227" s="357"/>
      <c r="J227" s="357"/>
      <c r="K227" s="357"/>
      <c r="L227" s="357"/>
      <c r="M227" s="357"/>
      <c r="N227" s="357"/>
      <c r="O227" s="357"/>
      <c r="P227" s="358"/>
      <c r="Q227" s="358"/>
      <c r="R227" s="358"/>
      <c r="S227" s="358"/>
      <c r="T227" s="358"/>
      <c r="U227" s="358"/>
      <c r="V227" s="358"/>
      <c r="W227" s="358"/>
      <c r="X227" s="358"/>
      <c r="Y227" s="358"/>
      <c r="Z227" s="358"/>
      <c r="AA227" s="358"/>
      <c r="AB227" s="358"/>
      <c r="AC227" s="358"/>
      <c r="AD227" s="358"/>
      <c r="AE227" s="358"/>
      <c r="AF227" s="358"/>
      <c r="AG227" s="358"/>
      <c r="AH227" s="358"/>
      <c r="AI227" s="358"/>
      <c r="AJ227" s="358"/>
      <c r="AK227" s="358"/>
      <c r="AL227" s="358"/>
      <c r="AM227" s="581"/>
    </row>
    <row r="228" spans="1:39" ht="12.75">
      <c r="A228" s="600"/>
      <c r="B228" s="589"/>
      <c r="C228" s="592"/>
      <c r="D228" s="595"/>
      <c r="E228" s="586"/>
      <c r="F228" s="359" t="s">
        <v>121</v>
      </c>
      <c r="G228" s="355" t="s">
        <v>124</v>
      </c>
      <c r="H228" s="360">
        <f aca="true" t="shared" si="54" ref="H228:AL228">H222+H224+H226</f>
        <v>0</v>
      </c>
      <c r="I228" s="361">
        <f t="shared" si="54"/>
        <v>0</v>
      </c>
      <c r="J228" s="361">
        <f t="shared" si="54"/>
        <v>0</v>
      </c>
      <c r="K228" s="361">
        <f t="shared" si="54"/>
        <v>0</v>
      </c>
      <c r="L228" s="361">
        <f t="shared" si="54"/>
        <v>0</v>
      </c>
      <c r="M228" s="361">
        <f t="shared" si="54"/>
        <v>0</v>
      </c>
      <c r="N228" s="361">
        <f t="shared" si="54"/>
        <v>0</v>
      </c>
      <c r="O228" s="361">
        <f t="shared" si="54"/>
        <v>0</v>
      </c>
      <c r="P228" s="361">
        <f t="shared" si="54"/>
        <v>0</v>
      </c>
      <c r="Q228" s="361">
        <f t="shared" si="54"/>
        <v>0</v>
      </c>
      <c r="R228" s="361">
        <f t="shared" si="54"/>
        <v>0</v>
      </c>
      <c r="S228" s="361">
        <f t="shared" si="54"/>
        <v>0</v>
      </c>
      <c r="T228" s="361">
        <f t="shared" si="54"/>
        <v>0</v>
      </c>
      <c r="U228" s="361">
        <f t="shared" si="54"/>
        <v>0</v>
      </c>
      <c r="V228" s="361">
        <f t="shared" si="54"/>
        <v>0</v>
      </c>
      <c r="W228" s="361">
        <f t="shared" si="54"/>
        <v>0</v>
      </c>
      <c r="X228" s="361">
        <f t="shared" si="54"/>
        <v>0</v>
      </c>
      <c r="Y228" s="361">
        <f t="shared" si="54"/>
        <v>0</v>
      </c>
      <c r="Z228" s="361">
        <f t="shared" si="54"/>
        <v>0</v>
      </c>
      <c r="AA228" s="361">
        <f t="shared" si="54"/>
        <v>0</v>
      </c>
      <c r="AB228" s="361">
        <f t="shared" si="54"/>
        <v>0</v>
      </c>
      <c r="AC228" s="361">
        <f t="shared" si="54"/>
        <v>0</v>
      </c>
      <c r="AD228" s="361">
        <f t="shared" si="54"/>
        <v>0</v>
      </c>
      <c r="AE228" s="361">
        <f t="shared" si="54"/>
        <v>0</v>
      </c>
      <c r="AF228" s="361">
        <f t="shared" si="54"/>
        <v>0</v>
      </c>
      <c r="AG228" s="361">
        <f t="shared" si="54"/>
        <v>0</v>
      </c>
      <c r="AH228" s="361">
        <f t="shared" si="54"/>
        <v>0</v>
      </c>
      <c r="AI228" s="361">
        <f t="shared" si="54"/>
        <v>0</v>
      </c>
      <c r="AJ228" s="361">
        <f t="shared" si="54"/>
        <v>0</v>
      </c>
      <c r="AK228" s="361">
        <f t="shared" si="54"/>
        <v>0</v>
      </c>
      <c r="AL228" s="361">
        <f t="shared" si="54"/>
        <v>0</v>
      </c>
      <c r="AM228" s="581"/>
    </row>
    <row r="229" spans="1:39" ht="13.5" thickBot="1">
      <c r="A229" s="601"/>
      <c r="B229" s="590"/>
      <c r="C229" s="593"/>
      <c r="D229" s="596"/>
      <c r="E229" s="587"/>
      <c r="F229" s="363">
        <f>F223+F226</f>
        <v>3300000</v>
      </c>
      <c r="G229" s="364" t="s">
        <v>125</v>
      </c>
      <c r="H229" s="365">
        <f aca="true" t="shared" si="55" ref="H229:AL229">H223+H225+H227</f>
        <v>900000</v>
      </c>
      <c r="I229" s="366">
        <f t="shared" si="55"/>
        <v>500000</v>
      </c>
      <c r="J229" s="366">
        <f t="shared" si="55"/>
        <v>850000</v>
      </c>
      <c r="K229" s="366">
        <f t="shared" si="55"/>
        <v>800000</v>
      </c>
      <c r="L229" s="366">
        <f t="shared" si="55"/>
        <v>250000</v>
      </c>
      <c r="M229" s="366">
        <f t="shared" si="55"/>
        <v>0</v>
      </c>
      <c r="N229" s="366">
        <f t="shared" si="55"/>
        <v>0</v>
      </c>
      <c r="O229" s="366">
        <f t="shared" si="55"/>
        <v>0</v>
      </c>
      <c r="P229" s="366">
        <f t="shared" si="55"/>
        <v>0</v>
      </c>
      <c r="Q229" s="366">
        <f t="shared" si="55"/>
        <v>0</v>
      </c>
      <c r="R229" s="366">
        <f t="shared" si="55"/>
        <v>0</v>
      </c>
      <c r="S229" s="366">
        <f t="shared" si="55"/>
        <v>0</v>
      </c>
      <c r="T229" s="366">
        <f t="shared" si="55"/>
        <v>0</v>
      </c>
      <c r="U229" s="366">
        <f t="shared" si="55"/>
        <v>0</v>
      </c>
      <c r="V229" s="366">
        <f t="shared" si="55"/>
        <v>0</v>
      </c>
      <c r="W229" s="366">
        <f t="shared" si="55"/>
        <v>0</v>
      </c>
      <c r="X229" s="366">
        <f t="shared" si="55"/>
        <v>0</v>
      </c>
      <c r="Y229" s="366">
        <f t="shared" si="55"/>
        <v>0</v>
      </c>
      <c r="Z229" s="366">
        <f t="shared" si="55"/>
        <v>0</v>
      </c>
      <c r="AA229" s="366">
        <f t="shared" si="55"/>
        <v>0</v>
      </c>
      <c r="AB229" s="366">
        <f t="shared" si="55"/>
        <v>0</v>
      </c>
      <c r="AC229" s="366">
        <f t="shared" si="55"/>
        <v>0</v>
      </c>
      <c r="AD229" s="366">
        <f t="shared" si="55"/>
        <v>0</v>
      </c>
      <c r="AE229" s="366">
        <f t="shared" si="55"/>
        <v>0</v>
      </c>
      <c r="AF229" s="366">
        <f t="shared" si="55"/>
        <v>0</v>
      </c>
      <c r="AG229" s="366">
        <f t="shared" si="55"/>
        <v>0</v>
      </c>
      <c r="AH229" s="366">
        <f t="shared" si="55"/>
        <v>0</v>
      </c>
      <c r="AI229" s="366">
        <f t="shared" si="55"/>
        <v>0</v>
      </c>
      <c r="AJ229" s="366">
        <f t="shared" si="55"/>
        <v>0</v>
      </c>
      <c r="AK229" s="366">
        <f t="shared" si="55"/>
        <v>0</v>
      </c>
      <c r="AL229" s="366">
        <f t="shared" si="55"/>
        <v>0</v>
      </c>
      <c r="AM229" s="582"/>
    </row>
    <row r="230" spans="1:39" ht="12.75" customHeight="1">
      <c r="A230" s="599">
        <v>29</v>
      </c>
      <c r="B230" s="588" t="s">
        <v>213</v>
      </c>
      <c r="C230" s="591">
        <v>90001</v>
      </c>
      <c r="D230" s="594" t="s">
        <v>188</v>
      </c>
      <c r="E230" s="597">
        <v>2012</v>
      </c>
      <c r="F230" s="350" t="s">
        <v>113</v>
      </c>
      <c r="G230" s="351" t="s">
        <v>114</v>
      </c>
      <c r="H230" s="352"/>
      <c r="I230" s="353"/>
      <c r="J230" s="353"/>
      <c r="K230" s="353"/>
      <c r="L230" s="353"/>
      <c r="M230" s="353"/>
      <c r="N230" s="353"/>
      <c r="O230" s="353"/>
      <c r="P230" s="354"/>
      <c r="Q230" s="354"/>
      <c r="R230" s="354"/>
      <c r="S230" s="354"/>
      <c r="T230" s="354"/>
      <c r="U230" s="354"/>
      <c r="V230" s="354"/>
      <c r="W230" s="354"/>
      <c r="X230" s="354"/>
      <c r="Y230" s="354"/>
      <c r="Z230" s="354"/>
      <c r="AA230" s="354"/>
      <c r="AB230" s="354"/>
      <c r="AC230" s="354"/>
      <c r="AD230" s="354"/>
      <c r="AE230" s="354"/>
      <c r="AF230" s="354"/>
      <c r="AG230" s="354"/>
      <c r="AH230" s="354"/>
      <c r="AI230" s="354"/>
      <c r="AJ230" s="354"/>
      <c r="AK230" s="354"/>
      <c r="AL230" s="354"/>
      <c r="AM230" s="580">
        <f>SUM(J236:AL237)</f>
        <v>200000</v>
      </c>
    </row>
    <row r="231" spans="1:39" ht="12.75">
      <c r="A231" s="600"/>
      <c r="B231" s="589"/>
      <c r="C231" s="592"/>
      <c r="D231" s="595"/>
      <c r="E231" s="586"/>
      <c r="F231" s="583">
        <f>SUM(H236:AL236)</f>
        <v>0</v>
      </c>
      <c r="G231" s="355" t="s">
        <v>115</v>
      </c>
      <c r="H231" s="356"/>
      <c r="I231" s="357">
        <v>100000</v>
      </c>
      <c r="J231" s="357">
        <v>100000</v>
      </c>
      <c r="K231" s="357">
        <v>100000</v>
      </c>
      <c r="L231" s="357"/>
      <c r="M231" s="357"/>
      <c r="N231" s="357"/>
      <c r="O231" s="357"/>
      <c r="P231" s="358"/>
      <c r="Q231" s="358"/>
      <c r="R231" s="358"/>
      <c r="S231" s="358"/>
      <c r="T231" s="358"/>
      <c r="U231" s="358"/>
      <c r="V231" s="358"/>
      <c r="W231" s="358"/>
      <c r="X231" s="358"/>
      <c r="Y231" s="358"/>
      <c r="Z231" s="358"/>
      <c r="AA231" s="358"/>
      <c r="AB231" s="358"/>
      <c r="AC231" s="358"/>
      <c r="AD231" s="358"/>
      <c r="AE231" s="358"/>
      <c r="AF231" s="358"/>
      <c r="AG231" s="358"/>
      <c r="AH231" s="358"/>
      <c r="AI231" s="358"/>
      <c r="AJ231" s="358"/>
      <c r="AK231" s="358"/>
      <c r="AL231" s="358"/>
      <c r="AM231" s="581"/>
    </row>
    <row r="232" spans="1:39" ht="12.75">
      <c r="A232" s="600"/>
      <c r="B232" s="589"/>
      <c r="C232" s="592"/>
      <c r="D232" s="595"/>
      <c r="E232" s="586"/>
      <c r="F232" s="584"/>
      <c r="G232" s="355" t="s">
        <v>116</v>
      </c>
      <c r="H232" s="356"/>
      <c r="I232" s="357"/>
      <c r="J232" s="357"/>
      <c r="K232" s="357"/>
      <c r="L232" s="357"/>
      <c r="M232" s="357"/>
      <c r="N232" s="357"/>
      <c r="O232" s="357"/>
      <c r="P232" s="358"/>
      <c r="Q232" s="358"/>
      <c r="R232" s="358"/>
      <c r="S232" s="358"/>
      <c r="T232" s="358"/>
      <c r="U232" s="358"/>
      <c r="V232" s="358"/>
      <c r="W232" s="358"/>
      <c r="X232" s="358"/>
      <c r="Y232" s="358"/>
      <c r="Z232" s="358"/>
      <c r="AA232" s="358"/>
      <c r="AB232" s="358"/>
      <c r="AC232" s="358"/>
      <c r="AD232" s="358"/>
      <c r="AE232" s="358"/>
      <c r="AF232" s="358"/>
      <c r="AG232" s="358"/>
      <c r="AH232" s="358"/>
      <c r="AI232" s="358"/>
      <c r="AJ232" s="358"/>
      <c r="AK232" s="358"/>
      <c r="AL232" s="358"/>
      <c r="AM232" s="581"/>
    </row>
    <row r="233" spans="1:39" ht="12.75">
      <c r="A233" s="600"/>
      <c r="B233" s="589"/>
      <c r="C233" s="592"/>
      <c r="D233" s="595"/>
      <c r="E233" s="598"/>
      <c r="F233" s="359" t="s">
        <v>117</v>
      </c>
      <c r="G233" s="355" t="s">
        <v>118</v>
      </c>
      <c r="H233" s="356"/>
      <c r="I233" s="357"/>
      <c r="J233" s="357"/>
      <c r="K233" s="357"/>
      <c r="L233" s="357"/>
      <c r="M233" s="357"/>
      <c r="N233" s="357"/>
      <c r="O233" s="357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  <c r="AA233" s="358"/>
      <c r="AB233" s="358"/>
      <c r="AC233" s="358"/>
      <c r="AD233" s="358"/>
      <c r="AE233" s="358"/>
      <c r="AF233" s="358"/>
      <c r="AG233" s="358"/>
      <c r="AH233" s="358"/>
      <c r="AI233" s="358"/>
      <c r="AJ233" s="358"/>
      <c r="AK233" s="358"/>
      <c r="AL233" s="358"/>
      <c r="AM233" s="581"/>
    </row>
    <row r="234" spans="1:39" ht="12.75">
      <c r="A234" s="600"/>
      <c r="B234" s="589"/>
      <c r="C234" s="592"/>
      <c r="D234" s="595"/>
      <c r="E234" s="585">
        <v>2014</v>
      </c>
      <c r="F234" s="583">
        <f>SUM(H237:AL237)</f>
        <v>300000</v>
      </c>
      <c r="G234" s="355" t="s">
        <v>122</v>
      </c>
      <c r="H234" s="356"/>
      <c r="I234" s="357"/>
      <c r="J234" s="357"/>
      <c r="K234" s="357"/>
      <c r="L234" s="357"/>
      <c r="M234" s="357"/>
      <c r="N234" s="357"/>
      <c r="O234" s="357"/>
      <c r="P234" s="358"/>
      <c r="Q234" s="358"/>
      <c r="R234" s="358"/>
      <c r="S234" s="358"/>
      <c r="T234" s="358"/>
      <c r="U234" s="358"/>
      <c r="V234" s="358"/>
      <c r="W234" s="358"/>
      <c r="X234" s="358"/>
      <c r="Y234" s="358"/>
      <c r="Z234" s="358"/>
      <c r="AA234" s="358"/>
      <c r="AB234" s="358"/>
      <c r="AC234" s="358"/>
      <c r="AD234" s="358"/>
      <c r="AE234" s="358"/>
      <c r="AF234" s="358"/>
      <c r="AG234" s="358"/>
      <c r="AH234" s="358"/>
      <c r="AI234" s="358"/>
      <c r="AJ234" s="358"/>
      <c r="AK234" s="358"/>
      <c r="AL234" s="358"/>
      <c r="AM234" s="581"/>
    </row>
    <row r="235" spans="1:39" ht="12.75">
      <c r="A235" s="600"/>
      <c r="B235" s="589"/>
      <c r="C235" s="592"/>
      <c r="D235" s="595"/>
      <c r="E235" s="586"/>
      <c r="F235" s="584"/>
      <c r="G235" s="355" t="s">
        <v>123</v>
      </c>
      <c r="H235" s="356"/>
      <c r="I235" s="357"/>
      <c r="J235" s="357"/>
      <c r="K235" s="357"/>
      <c r="L235" s="357"/>
      <c r="M235" s="357"/>
      <c r="N235" s="357"/>
      <c r="O235" s="357"/>
      <c r="P235" s="358"/>
      <c r="Q235" s="358"/>
      <c r="R235" s="358"/>
      <c r="S235" s="358"/>
      <c r="T235" s="358"/>
      <c r="U235" s="358"/>
      <c r="V235" s="358"/>
      <c r="W235" s="358"/>
      <c r="X235" s="358"/>
      <c r="Y235" s="358"/>
      <c r="Z235" s="358"/>
      <c r="AA235" s="358"/>
      <c r="AB235" s="358"/>
      <c r="AC235" s="358"/>
      <c r="AD235" s="358"/>
      <c r="AE235" s="358"/>
      <c r="AF235" s="358"/>
      <c r="AG235" s="358"/>
      <c r="AH235" s="358"/>
      <c r="AI235" s="358"/>
      <c r="AJ235" s="358"/>
      <c r="AK235" s="358"/>
      <c r="AL235" s="358"/>
      <c r="AM235" s="581"/>
    </row>
    <row r="236" spans="1:39" ht="12.75">
      <c r="A236" s="600"/>
      <c r="B236" s="589"/>
      <c r="C236" s="592"/>
      <c r="D236" s="595"/>
      <c r="E236" s="586"/>
      <c r="F236" s="359" t="s">
        <v>121</v>
      </c>
      <c r="G236" s="355" t="s">
        <v>124</v>
      </c>
      <c r="H236" s="360">
        <f aca="true" t="shared" si="56" ref="H236:AL236">H230+H232+H234</f>
        <v>0</v>
      </c>
      <c r="I236" s="361">
        <f t="shared" si="56"/>
        <v>0</v>
      </c>
      <c r="J236" s="361">
        <f t="shared" si="56"/>
        <v>0</v>
      </c>
      <c r="K236" s="361">
        <f t="shared" si="56"/>
        <v>0</v>
      </c>
      <c r="L236" s="361">
        <f t="shared" si="56"/>
        <v>0</v>
      </c>
      <c r="M236" s="361">
        <f t="shared" si="56"/>
        <v>0</v>
      </c>
      <c r="N236" s="361">
        <f t="shared" si="56"/>
        <v>0</v>
      </c>
      <c r="O236" s="361">
        <f t="shared" si="56"/>
        <v>0</v>
      </c>
      <c r="P236" s="361">
        <f t="shared" si="56"/>
        <v>0</v>
      </c>
      <c r="Q236" s="361">
        <f t="shared" si="56"/>
        <v>0</v>
      </c>
      <c r="R236" s="361">
        <f t="shared" si="56"/>
        <v>0</v>
      </c>
      <c r="S236" s="361">
        <f t="shared" si="56"/>
        <v>0</v>
      </c>
      <c r="T236" s="361">
        <f t="shared" si="56"/>
        <v>0</v>
      </c>
      <c r="U236" s="361">
        <f t="shared" si="56"/>
        <v>0</v>
      </c>
      <c r="V236" s="361">
        <f t="shared" si="56"/>
        <v>0</v>
      </c>
      <c r="W236" s="361">
        <f t="shared" si="56"/>
        <v>0</v>
      </c>
      <c r="X236" s="361">
        <f t="shared" si="56"/>
        <v>0</v>
      </c>
      <c r="Y236" s="361">
        <f t="shared" si="56"/>
        <v>0</v>
      </c>
      <c r="Z236" s="361">
        <f t="shared" si="56"/>
        <v>0</v>
      </c>
      <c r="AA236" s="361">
        <f t="shared" si="56"/>
        <v>0</v>
      </c>
      <c r="AB236" s="361">
        <f t="shared" si="56"/>
        <v>0</v>
      </c>
      <c r="AC236" s="361">
        <f t="shared" si="56"/>
        <v>0</v>
      </c>
      <c r="AD236" s="361">
        <f t="shared" si="56"/>
        <v>0</v>
      </c>
      <c r="AE236" s="361">
        <f t="shared" si="56"/>
        <v>0</v>
      </c>
      <c r="AF236" s="361">
        <f t="shared" si="56"/>
        <v>0</v>
      </c>
      <c r="AG236" s="361">
        <f t="shared" si="56"/>
        <v>0</v>
      </c>
      <c r="AH236" s="361">
        <f t="shared" si="56"/>
        <v>0</v>
      </c>
      <c r="AI236" s="361">
        <f t="shared" si="56"/>
        <v>0</v>
      </c>
      <c r="AJ236" s="361">
        <f t="shared" si="56"/>
        <v>0</v>
      </c>
      <c r="AK236" s="361">
        <f t="shared" si="56"/>
        <v>0</v>
      </c>
      <c r="AL236" s="361">
        <f t="shared" si="56"/>
        <v>0</v>
      </c>
      <c r="AM236" s="581"/>
    </row>
    <row r="237" spans="1:39" ht="12.75" customHeight="1" thickBot="1">
      <c r="A237" s="601"/>
      <c r="B237" s="590"/>
      <c r="C237" s="593"/>
      <c r="D237" s="596"/>
      <c r="E237" s="587"/>
      <c r="F237" s="363">
        <f>F231+F234</f>
        <v>300000</v>
      </c>
      <c r="G237" s="364" t="s">
        <v>125</v>
      </c>
      <c r="H237" s="365">
        <f aca="true" t="shared" si="57" ref="H237:AL237">H231+H233+H235</f>
        <v>0</v>
      </c>
      <c r="I237" s="366">
        <f t="shared" si="57"/>
        <v>100000</v>
      </c>
      <c r="J237" s="366">
        <f t="shared" si="57"/>
        <v>100000</v>
      </c>
      <c r="K237" s="366">
        <f t="shared" si="57"/>
        <v>100000</v>
      </c>
      <c r="L237" s="366">
        <f t="shared" si="57"/>
        <v>0</v>
      </c>
      <c r="M237" s="366">
        <f t="shared" si="57"/>
        <v>0</v>
      </c>
      <c r="N237" s="366">
        <f t="shared" si="57"/>
        <v>0</v>
      </c>
      <c r="O237" s="366">
        <f t="shared" si="57"/>
        <v>0</v>
      </c>
      <c r="P237" s="366">
        <f t="shared" si="57"/>
        <v>0</v>
      </c>
      <c r="Q237" s="366">
        <f t="shared" si="57"/>
        <v>0</v>
      </c>
      <c r="R237" s="366">
        <f t="shared" si="57"/>
        <v>0</v>
      </c>
      <c r="S237" s="366">
        <f t="shared" si="57"/>
        <v>0</v>
      </c>
      <c r="T237" s="366">
        <f t="shared" si="57"/>
        <v>0</v>
      </c>
      <c r="U237" s="366">
        <f t="shared" si="57"/>
        <v>0</v>
      </c>
      <c r="V237" s="366">
        <f t="shared" si="57"/>
        <v>0</v>
      </c>
      <c r="W237" s="366">
        <f t="shared" si="57"/>
        <v>0</v>
      </c>
      <c r="X237" s="366">
        <f t="shared" si="57"/>
        <v>0</v>
      </c>
      <c r="Y237" s="366">
        <f t="shared" si="57"/>
        <v>0</v>
      </c>
      <c r="Z237" s="366">
        <f t="shared" si="57"/>
        <v>0</v>
      </c>
      <c r="AA237" s="366">
        <f t="shared" si="57"/>
        <v>0</v>
      </c>
      <c r="AB237" s="366">
        <f t="shared" si="57"/>
        <v>0</v>
      </c>
      <c r="AC237" s="366">
        <f t="shared" si="57"/>
        <v>0</v>
      </c>
      <c r="AD237" s="366">
        <f t="shared" si="57"/>
        <v>0</v>
      </c>
      <c r="AE237" s="366">
        <f t="shared" si="57"/>
        <v>0</v>
      </c>
      <c r="AF237" s="366">
        <f t="shared" si="57"/>
        <v>0</v>
      </c>
      <c r="AG237" s="366">
        <f t="shared" si="57"/>
        <v>0</v>
      </c>
      <c r="AH237" s="366">
        <f t="shared" si="57"/>
        <v>0</v>
      </c>
      <c r="AI237" s="366">
        <f t="shared" si="57"/>
        <v>0</v>
      </c>
      <c r="AJ237" s="366">
        <f t="shared" si="57"/>
        <v>0</v>
      </c>
      <c r="AK237" s="366">
        <f t="shared" si="57"/>
        <v>0</v>
      </c>
      <c r="AL237" s="366">
        <f t="shared" si="57"/>
        <v>0</v>
      </c>
      <c r="AM237" s="582"/>
    </row>
    <row r="238" spans="1:39" ht="12.75" customHeight="1">
      <c r="A238" s="599">
        <v>30</v>
      </c>
      <c r="B238" s="588" t="s">
        <v>214</v>
      </c>
      <c r="C238" s="591">
        <v>90004</v>
      </c>
      <c r="D238" s="594" t="s">
        <v>188</v>
      </c>
      <c r="E238" s="597">
        <v>2010</v>
      </c>
      <c r="F238" s="350" t="s">
        <v>113</v>
      </c>
      <c r="G238" s="351" t="s">
        <v>114</v>
      </c>
      <c r="H238" s="352"/>
      <c r="I238" s="353"/>
      <c r="J238" s="353"/>
      <c r="K238" s="353"/>
      <c r="L238" s="353"/>
      <c r="M238" s="353"/>
      <c r="N238" s="353"/>
      <c r="O238" s="353"/>
      <c r="P238" s="354"/>
      <c r="Q238" s="354"/>
      <c r="R238" s="354"/>
      <c r="S238" s="354"/>
      <c r="T238" s="354"/>
      <c r="U238" s="354"/>
      <c r="V238" s="354"/>
      <c r="W238" s="354"/>
      <c r="X238" s="354"/>
      <c r="Y238" s="354"/>
      <c r="Z238" s="354"/>
      <c r="AA238" s="354"/>
      <c r="AB238" s="354"/>
      <c r="AC238" s="354"/>
      <c r="AD238" s="354"/>
      <c r="AE238" s="354"/>
      <c r="AF238" s="354"/>
      <c r="AG238" s="354"/>
      <c r="AH238" s="354"/>
      <c r="AI238" s="354"/>
      <c r="AJ238" s="354"/>
      <c r="AK238" s="354"/>
      <c r="AL238" s="354"/>
      <c r="AM238" s="580">
        <f>SUM(J244:AL245)</f>
        <v>4000000</v>
      </c>
    </row>
    <row r="239" spans="1:39" ht="12.75">
      <c r="A239" s="600"/>
      <c r="B239" s="589"/>
      <c r="C239" s="592"/>
      <c r="D239" s="595"/>
      <c r="E239" s="586"/>
      <c r="F239" s="583">
        <f>SUM(H244:AL244)</f>
        <v>0</v>
      </c>
      <c r="G239" s="355" t="s">
        <v>115</v>
      </c>
      <c r="H239" s="356">
        <f>103334+100000</f>
        <v>203334</v>
      </c>
      <c r="I239" s="357">
        <f>1000000-700000</f>
        <v>300000</v>
      </c>
      <c r="J239" s="357">
        <v>2000000</v>
      </c>
      <c r="K239" s="357">
        <v>2000000</v>
      </c>
      <c r="L239" s="357"/>
      <c r="M239" s="357"/>
      <c r="N239" s="357"/>
      <c r="O239" s="357"/>
      <c r="P239" s="358"/>
      <c r="Q239" s="358"/>
      <c r="R239" s="358"/>
      <c r="S239" s="358"/>
      <c r="T239" s="358"/>
      <c r="U239" s="358"/>
      <c r="V239" s="358"/>
      <c r="W239" s="358"/>
      <c r="X239" s="358"/>
      <c r="Y239" s="358"/>
      <c r="Z239" s="358"/>
      <c r="AA239" s="358"/>
      <c r="AB239" s="358"/>
      <c r="AC239" s="358"/>
      <c r="AD239" s="358"/>
      <c r="AE239" s="358"/>
      <c r="AF239" s="358"/>
      <c r="AG239" s="358"/>
      <c r="AH239" s="358"/>
      <c r="AI239" s="358"/>
      <c r="AJ239" s="358"/>
      <c r="AK239" s="358"/>
      <c r="AL239" s="358"/>
      <c r="AM239" s="581"/>
    </row>
    <row r="240" spans="1:39" ht="12.75">
      <c r="A240" s="600"/>
      <c r="B240" s="589"/>
      <c r="C240" s="592"/>
      <c r="D240" s="595"/>
      <c r="E240" s="586"/>
      <c r="F240" s="584"/>
      <c r="G240" s="355" t="s">
        <v>116</v>
      </c>
      <c r="H240" s="356"/>
      <c r="I240" s="357"/>
      <c r="J240" s="357"/>
      <c r="K240" s="357"/>
      <c r="L240" s="357"/>
      <c r="M240" s="357"/>
      <c r="N240" s="357"/>
      <c r="O240" s="357"/>
      <c r="P240" s="358"/>
      <c r="Q240" s="358"/>
      <c r="R240" s="358"/>
      <c r="S240" s="358"/>
      <c r="T240" s="358"/>
      <c r="U240" s="358"/>
      <c r="V240" s="358"/>
      <c r="W240" s="358"/>
      <c r="X240" s="358"/>
      <c r="Y240" s="358"/>
      <c r="Z240" s="358"/>
      <c r="AA240" s="358"/>
      <c r="AB240" s="358"/>
      <c r="AC240" s="358"/>
      <c r="AD240" s="358"/>
      <c r="AE240" s="358"/>
      <c r="AF240" s="358"/>
      <c r="AG240" s="358"/>
      <c r="AH240" s="358"/>
      <c r="AI240" s="358"/>
      <c r="AJ240" s="358"/>
      <c r="AK240" s="358"/>
      <c r="AL240" s="358"/>
      <c r="AM240" s="581"/>
    </row>
    <row r="241" spans="1:39" ht="12.75">
      <c r="A241" s="600"/>
      <c r="B241" s="589"/>
      <c r="C241" s="592"/>
      <c r="D241" s="595"/>
      <c r="E241" s="598"/>
      <c r="F241" s="359" t="s">
        <v>117</v>
      </c>
      <c r="G241" s="355" t="s">
        <v>118</v>
      </c>
      <c r="H241" s="356"/>
      <c r="I241" s="357"/>
      <c r="J241" s="357"/>
      <c r="K241" s="357"/>
      <c r="L241" s="357"/>
      <c r="M241" s="357"/>
      <c r="N241" s="357"/>
      <c r="O241" s="357"/>
      <c r="P241" s="358"/>
      <c r="Q241" s="358"/>
      <c r="R241" s="358"/>
      <c r="S241" s="358"/>
      <c r="T241" s="358"/>
      <c r="U241" s="358"/>
      <c r="V241" s="358"/>
      <c r="W241" s="358"/>
      <c r="X241" s="358"/>
      <c r="Y241" s="358"/>
      <c r="Z241" s="358"/>
      <c r="AA241" s="358"/>
      <c r="AB241" s="358"/>
      <c r="AC241" s="358"/>
      <c r="AD241" s="358"/>
      <c r="AE241" s="358"/>
      <c r="AF241" s="358"/>
      <c r="AG241" s="358"/>
      <c r="AH241" s="358"/>
      <c r="AI241" s="358"/>
      <c r="AJ241" s="358"/>
      <c r="AK241" s="358"/>
      <c r="AL241" s="358"/>
      <c r="AM241" s="581"/>
    </row>
    <row r="242" spans="1:39" ht="11.25" customHeight="1">
      <c r="A242" s="600"/>
      <c r="B242" s="589"/>
      <c r="C242" s="592"/>
      <c r="D242" s="595"/>
      <c r="E242" s="585">
        <v>2014</v>
      </c>
      <c r="F242" s="583">
        <f>SUM(H245:AL245)</f>
        <v>4503334</v>
      </c>
      <c r="G242" s="355" t="s">
        <v>122</v>
      </c>
      <c r="H242" s="356"/>
      <c r="I242" s="357"/>
      <c r="J242" s="357"/>
      <c r="K242" s="357"/>
      <c r="L242" s="357"/>
      <c r="M242" s="357"/>
      <c r="N242" s="357"/>
      <c r="O242" s="357"/>
      <c r="P242" s="358"/>
      <c r="Q242" s="358"/>
      <c r="R242" s="358"/>
      <c r="S242" s="358"/>
      <c r="T242" s="358"/>
      <c r="U242" s="358"/>
      <c r="V242" s="358"/>
      <c r="W242" s="358"/>
      <c r="X242" s="358"/>
      <c r="Y242" s="358"/>
      <c r="Z242" s="358"/>
      <c r="AA242" s="358"/>
      <c r="AB242" s="358"/>
      <c r="AC242" s="358"/>
      <c r="AD242" s="358"/>
      <c r="AE242" s="357"/>
      <c r="AF242" s="358"/>
      <c r="AG242" s="358"/>
      <c r="AH242" s="358"/>
      <c r="AI242" s="358"/>
      <c r="AJ242" s="358"/>
      <c r="AK242" s="358"/>
      <c r="AL242" s="358"/>
      <c r="AM242" s="581"/>
    </row>
    <row r="243" spans="1:39" ht="12.75">
      <c r="A243" s="600"/>
      <c r="B243" s="589"/>
      <c r="C243" s="592"/>
      <c r="D243" s="595"/>
      <c r="E243" s="586"/>
      <c r="F243" s="584"/>
      <c r="G243" s="355" t="s">
        <v>123</v>
      </c>
      <c r="H243" s="356"/>
      <c r="I243" s="357"/>
      <c r="J243" s="357"/>
      <c r="K243" s="357"/>
      <c r="L243" s="357"/>
      <c r="M243" s="357"/>
      <c r="N243" s="357"/>
      <c r="O243" s="357"/>
      <c r="P243" s="358"/>
      <c r="Q243" s="358"/>
      <c r="R243" s="358"/>
      <c r="S243" s="358"/>
      <c r="T243" s="358"/>
      <c r="U243" s="358"/>
      <c r="V243" s="358"/>
      <c r="W243" s="358"/>
      <c r="X243" s="358"/>
      <c r="Y243" s="358"/>
      <c r="Z243" s="358"/>
      <c r="AA243" s="358"/>
      <c r="AB243" s="358"/>
      <c r="AC243" s="358"/>
      <c r="AD243" s="358"/>
      <c r="AE243" s="357"/>
      <c r="AF243" s="358"/>
      <c r="AG243" s="358"/>
      <c r="AH243" s="358"/>
      <c r="AI243" s="358"/>
      <c r="AJ243" s="358"/>
      <c r="AK243" s="358"/>
      <c r="AL243" s="358"/>
      <c r="AM243" s="581"/>
    </row>
    <row r="244" spans="1:39" ht="12.75">
      <c r="A244" s="600"/>
      <c r="B244" s="589"/>
      <c r="C244" s="592"/>
      <c r="D244" s="595"/>
      <c r="E244" s="586"/>
      <c r="F244" s="359" t="s">
        <v>121</v>
      </c>
      <c r="G244" s="355" t="s">
        <v>124</v>
      </c>
      <c r="H244" s="360">
        <f aca="true" t="shared" si="58" ref="H244:AL244">H238+H240+H242</f>
        <v>0</v>
      </c>
      <c r="I244" s="361">
        <f t="shared" si="58"/>
        <v>0</v>
      </c>
      <c r="J244" s="361">
        <f t="shared" si="58"/>
        <v>0</v>
      </c>
      <c r="K244" s="361">
        <f t="shared" si="58"/>
        <v>0</v>
      </c>
      <c r="L244" s="361">
        <f t="shared" si="58"/>
        <v>0</v>
      </c>
      <c r="M244" s="361">
        <f t="shared" si="58"/>
        <v>0</v>
      </c>
      <c r="N244" s="361">
        <f t="shared" si="58"/>
        <v>0</v>
      </c>
      <c r="O244" s="361">
        <f t="shared" si="58"/>
        <v>0</v>
      </c>
      <c r="P244" s="361">
        <f t="shared" si="58"/>
        <v>0</v>
      </c>
      <c r="Q244" s="361">
        <f t="shared" si="58"/>
        <v>0</v>
      </c>
      <c r="R244" s="361">
        <f t="shared" si="58"/>
        <v>0</v>
      </c>
      <c r="S244" s="361">
        <f t="shared" si="58"/>
        <v>0</v>
      </c>
      <c r="T244" s="361">
        <f t="shared" si="58"/>
        <v>0</v>
      </c>
      <c r="U244" s="361">
        <f t="shared" si="58"/>
        <v>0</v>
      </c>
      <c r="V244" s="361">
        <f t="shared" si="58"/>
        <v>0</v>
      </c>
      <c r="W244" s="361">
        <f t="shared" si="58"/>
        <v>0</v>
      </c>
      <c r="X244" s="361">
        <f t="shared" si="58"/>
        <v>0</v>
      </c>
      <c r="Y244" s="361">
        <f t="shared" si="58"/>
        <v>0</v>
      </c>
      <c r="Z244" s="361">
        <f t="shared" si="58"/>
        <v>0</v>
      </c>
      <c r="AA244" s="361">
        <f t="shared" si="58"/>
        <v>0</v>
      </c>
      <c r="AB244" s="361">
        <f t="shared" si="58"/>
        <v>0</v>
      </c>
      <c r="AC244" s="361">
        <f t="shared" si="58"/>
        <v>0</v>
      </c>
      <c r="AD244" s="361">
        <f t="shared" si="58"/>
        <v>0</v>
      </c>
      <c r="AE244" s="361">
        <f t="shared" si="58"/>
        <v>0</v>
      </c>
      <c r="AF244" s="361">
        <f t="shared" si="58"/>
        <v>0</v>
      </c>
      <c r="AG244" s="361">
        <f t="shared" si="58"/>
        <v>0</v>
      </c>
      <c r="AH244" s="361">
        <f t="shared" si="58"/>
        <v>0</v>
      </c>
      <c r="AI244" s="361">
        <f t="shared" si="58"/>
        <v>0</v>
      </c>
      <c r="AJ244" s="361">
        <f t="shared" si="58"/>
        <v>0</v>
      </c>
      <c r="AK244" s="361">
        <f t="shared" si="58"/>
        <v>0</v>
      </c>
      <c r="AL244" s="361">
        <f t="shared" si="58"/>
        <v>0</v>
      </c>
      <c r="AM244" s="581"/>
    </row>
    <row r="245" spans="1:39" ht="13.5" customHeight="1" thickBot="1">
      <c r="A245" s="601"/>
      <c r="B245" s="590"/>
      <c r="C245" s="593"/>
      <c r="D245" s="596"/>
      <c r="E245" s="587"/>
      <c r="F245" s="363">
        <f>F239+F242</f>
        <v>4503334</v>
      </c>
      <c r="G245" s="364" t="s">
        <v>125</v>
      </c>
      <c r="H245" s="365">
        <f aca="true" t="shared" si="59" ref="H245:AL245">H239+H241+H243</f>
        <v>203334</v>
      </c>
      <c r="I245" s="366">
        <f t="shared" si="59"/>
        <v>300000</v>
      </c>
      <c r="J245" s="366">
        <f t="shared" si="59"/>
        <v>2000000</v>
      </c>
      <c r="K245" s="366">
        <f t="shared" si="59"/>
        <v>2000000</v>
      </c>
      <c r="L245" s="366">
        <f t="shared" si="59"/>
        <v>0</v>
      </c>
      <c r="M245" s="366">
        <f t="shared" si="59"/>
        <v>0</v>
      </c>
      <c r="N245" s="366">
        <f t="shared" si="59"/>
        <v>0</v>
      </c>
      <c r="O245" s="366">
        <f t="shared" si="59"/>
        <v>0</v>
      </c>
      <c r="P245" s="366">
        <f t="shared" si="59"/>
        <v>0</v>
      </c>
      <c r="Q245" s="366">
        <f t="shared" si="59"/>
        <v>0</v>
      </c>
      <c r="R245" s="366">
        <f t="shared" si="59"/>
        <v>0</v>
      </c>
      <c r="S245" s="366">
        <f t="shared" si="59"/>
        <v>0</v>
      </c>
      <c r="T245" s="366">
        <f t="shared" si="59"/>
        <v>0</v>
      </c>
      <c r="U245" s="366">
        <f t="shared" si="59"/>
        <v>0</v>
      </c>
      <c r="V245" s="366">
        <f t="shared" si="59"/>
        <v>0</v>
      </c>
      <c r="W245" s="366">
        <f t="shared" si="59"/>
        <v>0</v>
      </c>
      <c r="X245" s="366">
        <f t="shared" si="59"/>
        <v>0</v>
      </c>
      <c r="Y245" s="366">
        <f t="shared" si="59"/>
        <v>0</v>
      </c>
      <c r="Z245" s="366">
        <f t="shared" si="59"/>
        <v>0</v>
      </c>
      <c r="AA245" s="366">
        <f t="shared" si="59"/>
        <v>0</v>
      </c>
      <c r="AB245" s="366">
        <f t="shared" si="59"/>
        <v>0</v>
      </c>
      <c r="AC245" s="366">
        <f t="shared" si="59"/>
        <v>0</v>
      </c>
      <c r="AD245" s="366">
        <f t="shared" si="59"/>
        <v>0</v>
      </c>
      <c r="AE245" s="366">
        <f t="shared" si="59"/>
        <v>0</v>
      </c>
      <c r="AF245" s="366">
        <f t="shared" si="59"/>
        <v>0</v>
      </c>
      <c r="AG245" s="366">
        <f t="shared" si="59"/>
        <v>0</v>
      </c>
      <c r="AH245" s="366">
        <f t="shared" si="59"/>
        <v>0</v>
      </c>
      <c r="AI245" s="366">
        <f t="shared" si="59"/>
        <v>0</v>
      </c>
      <c r="AJ245" s="366">
        <f t="shared" si="59"/>
        <v>0</v>
      </c>
      <c r="AK245" s="366">
        <f t="shared" si="59"/>
        <v>0</v>
      </c>
      <c r="AL245" s="366">
        <f t="shared" si="59"/>
        <v>0</v>
      </c>
      <c r="AM245" s="582"/>
    </row>
    <row r="246" spans="1:39" ht="12.75" customHeight="1">
      <c r="A246" s="599">
        <v>31</v>
      </c>
      <c r="B246" s="589" t="s">
        <v>199</v>
      </c>
      <c r="C246" s="592">
        <v>90004</v>
      </c>
      <c r="D246" s="595" t="s">
        <v>188</v>
      </c>
      <c r="E246" s="586">
        <v>2011</v>
      </c>
      <c r="F246" s="374" t="s">
        <v>113</v>
      </c>
      <c r="G246" s="368" t="s">
        <v>114</v>
      </c>
      <c r="H246" s="375"/>
      <c r="I246" s="369"/>
      <c r="J246" s="369"/>
      <c r="K246" s="369"/>
      <c r="L246" s="369"/>
      <c r="M246" s="369"/>
      <c r="N246" s="369"/>
      <c r="O246" s="369"/>
      <c r="P246" s="370"/>
      <c r="Q246" s="370"/>
      <c r="R246" s="370"/>
      <c r="S246" s="370"/>
      <c r="T246" s="370"/>
      <c r="U246" s="370"/>
      <c r="V246" s="370"/>
      <c r="W246" s="370"/>
      <c r="X246" s="370"/>
      <c r="Y246" s="370"/>
      <c r="Z246" s="370"/>
      <c r="AA246" s="370"/>
      <c r="AB246" s="370"/>
      <c r="AC246" s="370"/>
      <c r="AD246" s="370"/>
      <c r="AE246" s="370"/>
      <c r="AF246" s="370"/>
      <c r="AG246" s="370"/>
      <c r="AH246" s="370"/>
      <c r="AI246" s="370"/>
      <c r="AJ246" s="370"/>
      <c r="AK246" s="370"/>
      <c r="AL246" s="370"/>
      <c r="AM246" s="581">
        <f>SUM(J252:AL253)</f>
        <v>100000</v>
      </c>
    </row>
    <row r="247" spans="1:39" ht="12.75">
      <c r="A247" s="600"/>
      <c r="B247" s="589"/>
      <c r="C247" s="592"/>
      <c r="D247" s="595"/>
      <c r="E247" s="586"/>
      <c r="F247" s="583">
        <f>SUM(H252:AL252)</f>
        <v>0</v>
      </c>
      <c r="G247" s="355" t="s">
        <v>115</v>
      </c>
      <c r="H247" s="356">
        <f>50000</f>
        <v>50000</v>
      </c>
      <c r="I247" s="357">
        <v>50000</v>
      </c>
      <c r="J247" s="357">
        <v>50000</v>
      </c>
      <c r="K247" s="357">
        <v>50000</v>
      </c>
      <c r="L247" s="357"/>
      <c r="M247" s="357"/>
      <c r="N247" s="357"/>
      <c r="O247" s="357"/>
      <c r="P247" s="358"/>
      <c r="Q247" s="358"/>
      <c r="R247" s="358"/>
      <c r="S247" s="358"/>
      <c r="T247" s="358"/>
      <c r="U247" s="358"/>
      <c r="V247" s="358"/>
      <c r="W247" s="358"/>
      <c r="X247" s="358"/>
      <c r="Y247" s="358"/>
      <c r="Z247" s="358"/>
      <c r="AA247" s="358"/>
      <c r="AB247" s="358"/>
      <c r="AC247" s="358"/>
      <c r="AD247" s="358"/>
      <c r="AE247" s="358"/>
      <c r="AF247" s="358"/>
      <c r="AG247" s="358"/>
      <c r="AH247" s="358"/>
      <c r="AI247" s="358"/>
      <c r="AJ247" s="358"/>
      <c r="AK247" s="358"/>
      <c r="AL247" s="358"/>
      <c r="AM247" s="581"/>
    </row>
    <row r="248" spans="1:39" ht="12" customHeight="1">
      <c r="A248" s="600"/>
      <c r="B248" s="589"/>
      <c r="C248" s="592"/>
      <c r="D248" s="595"/>
      <c r="E248" s="586"/>
      <c r="F248" s="584"/>
      <c r="G248" s="355" t="s">
        <v>116</v>
      </c>
      <c r="H248" s="356"/>
      <c r="I248" s="357"/>
      <c r="J248" s="357"/>
      <c r="K248" s="357"/>
      <c r="L248" s="357"/>
      <c r="M248" s="357"/>
      <c r="N248" s="357"/>
      <c r="O248" s="357"/>
      <c r="P248" s="358"/>
      <c r="Q248" s="358"/>
      <c r="R248" s="358"/>
      <c r="S248" s="358"/>
      <c r="T248" s="358"/>
      <c r="U248" s="358"/>
      <c r="V248" s="358"/>
      <c r="W248" s="358"/>
      <c r="X248" s="358"/>
      <c r="Y248" s="358"/>
      <c r="Z248" s="358"/>
      <c r="AA248" s="358"/>
      <c r="AB248" s="358"/>
      <c r="AC248" s="358"/>
      <c r="AD248" s="358"/>
      <c r="AE248" s="358"/>
      <c r="AF248" s="358"/>
      <c r="AG248" s="358"/>
      <c r="AH248" s="358"/>
      <c r="AI248" s="358"/>
      <c r="AJ248" s="358"/>
      <c r="AK248" s="358"/>
      <c r="AL248" s="358"/>
      <c r="AM248" s="581"/>
    </row>
    <row r="249" spans="1:39" ht="12.75">
      <c r="A249" s="600"/>
      <c r="B249" s="589"/>
      <c r="C249" s="592"/>
      <c r="D249" s="595"/>
      <c r="E249" s="598"/>
      <c r="F249" s="359" t="s">
        <v>117</v>
      </c>
      <c r="G249" s="355" t="s">
        <v>118</v>
      </c>
      <c r="H249" s="356"/>
      <c r="I249" s="357"/>
      <c r="J249" s="357"/>
      <c r="K249" s="357"/>
      <c r="L249" s="357"/>
      <c r="M249" s="357"/>
      <c r="N249" s="357"/>
      <c r="O249" s="357"/>
      <c r="P249" s="358"/>
      <c r="Q249" s="358"/>
      <c r="R249" s="358"/>
      <c r="S249" s="358"/>
      <c r="T249" s="358"/>
      <c r="U249" s="358"/>
      <c r="V249" s="358"/>
      <c r="W249" s="358"/>
      <c r="X249" s="358"/>
      <c r="Y249" s="358"/>
      <c r="Z249" s="358"/>
      <c r="AA249" s="358"/>
      <c r="AB249" s="358"/>
      <c r="AC249" s="358"/>
      <c r="AD249" s="358"/>
      <c r="AE249" s="358"/>
      <c r="AF249" s="358"/>
      <c r="AG249" s="358"/>
      <c r="AH249" s="358"/>
      <c r="AI249" s="358"/>
      <c r="AJ249" s="358"/>
      <c r="AK249" s="358"/>
      <c r="AL249" s="358"/>
      <c r="AM249" s="581"/>
    </row>
    <row r="250" spans="1:39" ht="12.75">
      <c r="A250" s="600"/>
      <c r="B250" s="589"/>
      <c r="C250" s="592"/>
      <c r="D250" s="595"/>
      <c r="E250" s="585">
        <v>2014</v>
      </c>
      <c r="F250" s="583">
        <f>SUM(H253:AL253)</f>
        <v>200000</v>
      </c>
      <c r="G250" s="355" t="s">
        <v>122</v>
      </c>
      <c r="H250" s="356"/>
      <c r="I250" s="357"/>
      <c r="J250" s="357"/>
      <c r="K250" s="357"/>
      <c r="L250" s="357"/>
      <c r="M250" s="357"/>
      <c r="N250" s="357"/>
      <c r="O250" s="357"/>
      <c r="P250" s="358"/>
      <c r="Q250" s="358"/>
      <c r="R250" s="358"/>
      <c r="S250" s="358"/>
      <c r="T250" s="358"/>
      <c r="U250" s="358"/>
      <c r="V250" s="358"/>
      <c r="W250" s="358"/>
      <c r="X250" s="358"/>
      <c r="Y250" s="358"/>
      <c r="Z250" s="358"/>
      <c r="AA250" s="358"/>
      <c r="AB250" s="358"/>
      <c r="AC250" s="358"/>
      <c r="AD250" s="358"/>
      <c r="AE250" s="358"/>
      <c r="AF250" s="358"/>
      <c r="AG250" s="358"/>
      <c r="AH250" s="358"/>
      <c r="AI250" s="358"/>
      <c r="AJ250" s="358"/>
      <c r="AK250" s="358"/>
      <c r="AL250" s="358"/>
      <c r="AM250" s="581"/>
    </row>
    <row r="251" spans="1:39" ht="12.75">
      <c r="A251" s="600"/>
      <c r="B251" s="589"/>
      <c r="C251" s="592"/>
      <c r="D251" s="595"/>
      <c r="E251" s="586"/>
      <c r="F251" s="584"/>
      <c r="G251" s="355" t="s">
        <v>123</v>
      </c>
      <c r="H251" s="356"/>
      <c r="I251" s="357"/>
      <c r="J251" s="357"/>
      <c r="K251" s="357"/>
      <c r="L251" s="357"/>
      <c r="M251" s="357"/>
      <c r="N251" s="357"/>
      <c r="O251" s="357"/>
      <c r="P251" s="358"/>
      <c r="Q251" s="358"/>
      <c r="R251" s="358"/>
      <c r="S251" s="358"/>
      <c r="T251" s="358"/>
      <c r="U251" s="358"/>
      <c r="V251" s="358"/>
      <c r="W251" s="358"/>
      <c r="X251" s="358"/>
      <c r="Y251" s="358"/>
      <c r="Z251" s="358"/>
      <c r="AA251" s="358"/>
      <c r="AB251" s="358"/>
      <c r="AC251" s="358"/>
      <c r="AD251" s="358"/>
      <c r="AE251" s="358"/>
      <c r="AF251" s="358"/>
      <c r="AG251" s="358"/>
      <c r="AH251" s="358"/>
      <c r="AI251" s="358"/>
      <c r="AJ251" s="358"/>
      <c r="AK251" s="358"/>
      <c r="AL251" s="358"/>
      <c r="AM251" s="581"/>
    </row>
    <row r="252" spans="1:39" ht="12.75">
      <c r="A252" s="600"/>
      <c r="B252" s="589"/>
      <c r="C252" s="592"/>
      <c r="D252" s="595"/>
      <c r="E252" s="586"/>
      <c r="F252" s="359" t="s">
        <v>121</v>
      </c>
      <c r="G252" s="355" t="s">
        <v>124</v>
      </c>
      <c r="H252" s="360">
        <f aca="true" t="shared" si="60" ref="H252:AL252">H246+H248+H250</f>
        <v>0</v>
      </c>
      <c r="I252" s="361">
        <f t="shared" si="60"/>
        <v>0</v>
      </c>
      <c r="J252" s="361">
        <f t="shared" si="60"/>
        <v>0</v>
      </c>
      <c r="K252" s="361">
        <f t="shared" si="60"/>
        <v>0</v>
      </c>
      <c r="L252" s="361">
        <f t="shared" si="60"/>
        <v>0</v>
      </c>
      <c r="M252" s="361">
        <f t="shared" si="60"/>
        <v>0</v>
      </c>
      <c r="N252" s="361">
        <f t="shared" si="60"/>
        <v>0</v>
      </c>
      <c r="O252" s="361">
        <f t="shared" si="60"/>
        <v>0</v>
      </c>
      <c r="P252" s="361">
        <f t="shared" si="60"/>
        <v>0</v>
      </c>
      <c r="Q252" s="361">
        <f t="shared" si="60"/>
        <v>0</v>
      </c>
      <c r="R252" s="361">
        <f t="shared" si="60"/>
        <v>0</v>
      </c>
      <c r="S252" s="361">
        <f t="shared" si="60"/>
        <v>0</v>
      </c>
      <c r="T252" s="361">
        <f t="shared" si="60"/>
        <v>0</v>
      </c>
      <c r="U252" s="361">
        <f t="shared" si="60"/>
        <v>0</v>
      </c>
      <c r="V252" s="361">
        <f t="shared" si="60"/>
        <v>0</v>
      </c>
      <c r="W252" s="361">
        <f t="shared" si="60"/>
        <v>0</v>
      </c>
      <c r="X252" s="361">
        <f t="shared" si="60"/>
        <v>0</v>
      </c>
      <c r="Y252" s="361">
        <f t="shared" si="60"/>
        <v>0</v>
      </c>
      <c r="Z252" s="361">
        <f t="shared" si="60"/>
        <v>0</v>
      </c>
      <c r="AA252" s="361">
        <f t="shared" si="60"/>
        <v>0</v>
      </c>
      <c r="AB252" s="361">
        <f t="shared" si="60"/>
        <v>0</v>
      </c>
      <c r="AC252" s="361">
        <f t="shared" si="60"/>
        <v>0</v>
      </c>
      <c r="AD252" s="361">
        <f t="shared" si="60"/>
        <v>0</v>
      </c>
      <c r="AE252" s="361">
        <f t="shared" si="60"/>
        <v>0</v>
      </c>
      <c r="AF252" s="361">
        <f t="shared" si="60"/>
        <v>0</v>
      </c>
      <c r="AG252" s="361">
        <f t="shared" si="60"/>
        <v>0</v>
      </c>
      <c r="AH252" s="361">
        <f t="shared" si="60"/>
        <v>0</v>
      </c>
      <c r="AI252" s="361">
        <f t="shared" si="60"/>
        <v>0</v>
      </c>
      <c r="AJ252" s="361">
        <f t="shared" si="60"/>
        <v>0</v>
      </c>
      <c r="AK252" s="361">
        <f t="shared" si="60"/>
        <v>0</v>
      </c>
      <c r="AL252" s="361">
        <f t="shared" si="60"/>
        <v>0</v>
      </c>
      <c r="AM252" s="581"/>
    </row>
    <row r="253" spans="1:39" ht="13.5" thickBot="1">
      <c r="A253" s="601"/>
      <c r="B253" s="590"/>
      <c r="C253" s="593"/>
      <c r="D253" s="596"/>
      <c r="E253" s="587"/>
      <c r="F253" s="363">
        <f>F247+F250</f>
        <v>200000</v>
      </c>
      <c r="G253" s="364" t="s">
        <v>125</v>
      </c>
      <c r="H253" s="365">
        <f aca="true" t="shared" si="61" ref="H253:AL253">H247+H249+H251</f>
        <v>50000</v>
      </c>
      <c r="I253" s="366">
        <f t="shared" si="61"/>
        <v>50000</v>
      </c>
      <c r="J253" s="366">
        <f t="shared" si="61"/>
        <v>50000</v>
      </c>
      <c r="K253" s="366">
        <f t="shared" si="61"/>
        <v>50000</v>
      </c>
      <c r="L253" s="366">
        <f t="shared" si="61"/>
        <v>0</v>
      </c>
      <c r="M253" s="366">
        <f t="shared" si="61"/>
        <v>0</v>
      </c>
      <c r="N253" s="366">
        <f t="shared" si="61"/>
        <v>0</v>
      </c>
      <c r="O253" s="366">
        <f t="shared" si="61"/>
        <v>0</v>
      </c>
      <c r="P253" s="366">
        <f t="shared" si="61"/>
        <v>0</v>
      </c>
      <c r="Q253" s="366">
        <f t="shared" si="61"/>
        <v>0</v>
      </c>
      <c r="R253" s="366">
        <f t="shared" si="61"/>
        <v>0</v>
      </c>
      <c r="S253" s="366">
        <f t="shared" si="61"/>
        <v>0</v>
      </c>
      <c r="T253" s="366">
        <f t="shared" si="61"/>
        <v>0</v>
      </c>
      <c r="U253" s="366">
        <f t="shared" si="61"/>
        <v>0</v>
      </c>
      <c r="V253" s="366">
        <f t="shared" si="61"/>
        <v>0</v>
      </c>
      <c r="W253" s="366">
        <f t="shared" si="61"/>
        <v>0</v>
      </c>
      <c r="X253" s="366">
        <f t="shared" si="61"/>
        <v>0</v>
      </c>
      <c r="Y253" s="366">
        <f t="shared" si="61"/>
        <v>0</v>
      </c>
      <c r="Z253" s="366">
        <f t="shared" si="61"/>
        <v>0</v>
      </c>
      <c r="AA253" s="366">
        <f t="shared" si="61"/>
        <v>0</v>
      </c>
      <c r="AB253" s="366">
        <f t="shared" si="61"/>
        <v>0</v>
      </c>
      <c r="AC253" s="366">
        <f t="shared" si="61"/>
        <v>0</v>
      </c>
      <c r="AD253" s="366">
        <f t="shared" si="61"/>
        <v>0</v>
      </c>
      <c r="AE253" s="366">
        <f t="shared" si="61"/>
        <v>0</v>
      </c>
      <c r="AF253" s="366">
        <f t="shared" si="61"/>
        <v>0</v>
      </c>
      <c r="AG253" s="366">
        <f t="shared" si="61"/>
        <v>0</v>
      </c>
      <c r="AH253" s="366">
        <f t="shared" si="61"/>
        <v>0</v>
      </c>
      <c r="AI253" s="366">
        <f t="shared" si="61"/>
        <v>0</v>
      </c>
      <c r="AJ253" s="366">
        <f t="shared" si="61"/>
        <v>0</v>
      </c>
      <c r="AK253" s="366">
        <f t="shared" si="61"/>
        <v>0</v>
      </c>
      <c r="AL253" s="366">
        <f t="shared" si="61"/>
        <v>0</v>
      </c>
      <c r="AM253" s="582"/>
    </row>
    <row r="254" spans="1:39" ht="12.75" customHeight="1">
      <c r="A254" s="599">
        <v>32</v>
      </c>
      <c r="B254" s="588" t="s">
        <v>215</v>
      </c>
      <c r="C254" s="591">
        <v>90015</v>
      </c>
      <c r="D254" s="594" t="s">
        <v>188</v>
      </c>
      <c r="E254" s="597">
        <v>2011</v>
      </c>
      <c r="F254" s="350" t="s">
        <v>113</v>
      </c>
      <c r="G254" s="351" t="s">
        <v>114</v>
      </c>
      <c r="H254" s="352"/>
      <c r="I254" s="353"/>
      <c r="J254" s="353"/>
      <c r="K254" s="353"/>
      <c r="L254" s="353"/>
      <c r="M254" s="353"/>
      <c r="N254" s="353"/>
      <c r="O254" s="353"/>
      <c r="P254" s="354"/>
      <c r="Q254" s="354"/>
      <c r="R254" s="354"/>
      <c r="S254" s="354"/>
      <c r="T254" s="354"/>
      <c r="U254" s="354"/>
      <c r="V254" s="354"/>
      <c r="W254" s="354"/>
      <c r="X254" s="354"/>
      <c r="Y254" s="354"/>
      <c r="Z254" s="354"/>
      <c r="AA254" s="354"/>
      <c r="AB254" s="354"/>
      <c r="AC254" s="354"/>
      <c r="AD254" s="354"/>
      <c r="AE254" s="354"/>
      <c r="AF254" s="354"/>
      <c r="AG254" s="354"/>
      <c r="AH254" s="354"/>
      <c r="AI254" s="354"/>
      <c r="AJ254" s="354"/>
      <c r="AK254" s="354"/>
      <c r="AL254" s="354"/>
      <c r="AM254" s="580">
        <f>SUM(J260:AL261)</f>
        <v>1000000</v>
      </c>
    </row>
    <row r="255" spans="1:39" ht="12.75">
      <c r="A255" s="600"/>
      <c r="B255" s="589"/>
      <c r="C255" s="592"/>
      <c r="D255" s="595"/>
      <c r="E255" s="586"/>
      <c r="F255" s="583">
        <f>SUM(H260:AL260)</f>
        <v>0</v>
      </c>
      <c r="G255" s="355" t="s">
        <v>115</v>
      </c>
      <c r="H255" s="356">
        <f>700000</f>
        <v>700000</v>
      </c>
      <c r="I255" s="357">
        <v>500000</v>
      </c>
      <c r="J255" s="357">
        <v>500000</v>
      </c>
      <c r="K255" s="357">
        <v>500000</v>
      </c>
      <c r="L255" s="357"/>
      <c r="M255" s="357"/>
      <c r="N255" s="357"/>
      <c r="O255" s="357"/>
      <c r="P255" s="358"/>
      <c r="Q255" s="358"/>
      <c r="R255" s="358"/>
      <c r="S255" s="358"/>
      <c r="T255" s="358"/>
      <c r="U255" s="358"/>
      <c r="V255" s="358"/>
      <c r="W255" s="358"/>
      <c r="X255" s="358"/>
      <c r="Y255" s="358"/>
      <c r="Z255" s="358"/>
      <c r="AA255" s="358"/>
      <c r="AB255" s="358"/>
      <c r="AC255" s="358"/>
      <c r="AD255" s="358"/>
      <c r="AE255" s="358"/>
      <c r="AF255" s="358"/>
      <c r="AG255" s="358"/>
      <c r="AH255" s="358"/>
      <c r="AI255" s="358"/>
      <c r="AJ255" s="358"/>
      <c r="AK255" s="358"/>
      <c r="AL255" s="358"/>
      <c r="AM255" s="581"/>
    </row>
    <row r="256" spans="1:39" ht="9.75" customHeight="1">
      <c r="A256" s="600"/>
      <c r="B256" s="589"/>
      <c r="C256" s="592"/>
      <c r="D256" s="595"/>
      <c r="E256" s="586"/>
      <c r="F256" s="584"/>
      <c r="G256" s="355" t="s">
        <v>116</v>
      </c>
      <c r="H256" s="356"/>
      <c r="I256" s="357"/>
      <c r="J256" s="357"/>
      <c r="K256" s="357"/>
      <c r="L256" s="357"/>
      <c r="M256" s="357"/>
      <c r="N256" s="357"/>
      <c r="O256" s="357"/>
      <c r="P256" s="358"/>
      <c r="Q256" s="358"/>
      <c r="R256" s="358"/>
      <c r="S256" s="358"/>
      <c r="T256" s="358"/>
      <c r="U256" s="358"/>
      <c r="V256" s="358"/>
      <c r="W256" s="358"/>
      <c r="X256" s="358"/>
      <c r="Y256" s="358"/>
      <c r="Z256" s="358"/>
      <c r="AA256" s="358"/>
      <c r="AB256" s="358"/>
      <c r="AC256" s="358"/>
      <c r="AD256" s="358"/>
      <c r="AE256" s="358"/>
      <c r="AF256" s="358"/>
      <c r="AG256" s="358"/>
      <c r="AH256" s="358"/>
      <c r="AI256" s="358"/>
      <c r="AJ256" s="358"/>
      <c r="AK256" s="358"/>
      <c r="AL256" s="358"/>
      <c r="AM256" s="581"/>
    </row>
    <row r="257" spans="1:39" ht="12.75">
      <c r="A257" s="600"/>
      <c r="B257" s="589"/>
      <c r="C257" s="592"/>
      <c r="D257" s="595"/>
      <c r="E257" s="598"/>
      <c r="F257" s="359" t="s">
        <v>117</v>
      </c>
      <c r="G257" s="355" t="s">
        <v>118</v>
      </c>
      <c r="H257" s="356"/>
      <c r="I257" s="357"/>
      <c r="J257" s="357"/>
      <c r="K257" s="357"/>
      <c r="L257" s="357"/>
      <c r="M257" s="357"/>
      <c r="N257" s="357"/>
      <c r="O257" s="357"/>
      <c r="P257" s="358"/>
      <c r="Q257" s="358"/>
      <c r="R257" s="358"/>
      <c r="S257" s="358"/>
      <c r="T257" s="358"/>
      <c r="U257" s="358"/>
      <c r="V257" s="358"/>
      <c r="W257" s="358"/>
      <c r="X257" s="358"/>
      <c r="Y257" s="358"/>
      <c r="Z257" s="358"/>
      <c r="AA257" s="358"/>
      <c r="AB257" s="358"/>
      <c r="AC257" s="358"/>
      <c r="AD257" s="358"/>
      <c r="AE257" s="358"/>
      <c r="AF257" s="358"/>
      <c r="AG257" s="358"/>
      <c r="AH257" s="358"/>
      <c r="AI257" s="358"/>
      <c r="AJ257" s="358"/>
      <c r="AK257" s="358"/>
      <c r="AL257" s="358"/>
      <c r="AM257" s="581"/>
    </row>
    <row r="258" spans="1:39" ht="12.75">
      <c r="A258" s="600"/>
      <c r="B258" s="589"/>
      <c r="C258" s="592"/>
      <c r="D258" s="595"/>
      <c r="E258" s="585">
        <v>2014</v>
      </c>
      <c r="F258" s="583">
        <f>SUM(H261:AL261)</f>
        <v>2200000</v>
      </c>
      <c r="G258" s="355" t="s">
        <v>122</v>
      </c>
      <c r="H258" s="356"/>
      <c r="I258" s="357"/>
      <c r="J258" s="357"/>
      <c r="K258" s="357"/>
      <c r="L258" s="357"/>
      <c r="M258" s="357"/>
      <c r="N258" s="357"/>
      <c r="O258" s="357"/>
      <c r="P258" s="358"/>
      <c r="Q258" s="358"/>
      <c r="R258" s="358"/>
      <c r="S258" s="358"/>
      <c r="T258" s="358"/>
      <c r="U258" s="358"/>
      <c r="V258" s="358"/>
      <c r="W258" s="358"/>
      <c r="X258" s="358"/>
      <c r="Y258" s="358"/>
      <c r="Z258" s="358"/>
      <c r="AA258" s="358"/>
      <c r="AB258" s="358"/>
      <c r="AC258" s="358"/>
      <c r="AD258" s="358"/>
      <c r="AE258" s="358"/>
      <c r="AF258" s="358"/>
      <c r="AG258" s="358"/>
      <c r="AH258" s="358"/>
      <c r="AI258" s="358"/>
      <c r="AJ258" s="358"/>
      <c r="AK258" s="358"/>
      <c r="AL258" s="358"/>
      <c r="AM258" s="581"/>
    </row>
    <row r="259" spans="1:39" ht="12.75">
      <c r="A259" s="600"/>
      <c r="B259" s="589"/>
      <c r="C259" s="592"/>
      <c r="D259" s="595"/>
      <c r="E259" s="586"/>
      <c r="F259" s="584"/>
      <c r="G259" s="355" t="s">
        <v>123</v>
      </c>
      <c r="H259" s="356"/>
      <c r="I259" s="357"/>
      <c r="J259" s="357"/>
      <c r="K259" s="357"/>
      <c r="L259" s="357"/>
      <c r="M259" s="357"/>
      <c r="N259" s="357"/>
      <c r="O259" s="357"/>
      <c r="P259" s="358"/>
      <c r="Q259" s="358"/>
      <c r="R259" s="358"/>
      <c r="S259" s="358"/>
      <c r="T259" s="358"/>
      <c r="U259" s="358"/>
      <c r="V259" s="358"/>
      <c r="W259" s="358"/>
      <c r="X259" s="358"/>
      <c r="Y259" s="358"/>
      <c r="Z259" s="358"/>
      <c r="AA259" s="358"/>
      <c r="AB259" s="358"/>
      <c r="AC259" s="358"/>
      <c r="AD259" s="358"/>
      <c r="AE259" s="358"/>
      <c r="AF259" s="358"/>
      <c r="AG259" s="358"/>
      <c r="AH259" s="358"/>
      <c r="AI259" s="358"/>
      <c r="AJ259" s="358"/>
      <c r="AK259" s="358"/>
      <c r="AL259" s="358"/>
      <c r="AM259" s="581"/>
    </row>
    <row r="260" spans="1:39" ht="12.75">
      <c r="A260" s="600"/>
      <c r="B260" s="589"/>
      <c r="C260" s="592"/>
      <c r="D260" s="595"/>
      <c r="E260" s="586"/>
      <c r="F260" s="359" t="s">
        <v>121</v>
      </c>
      <c r="G260" s="355" t="s">
        <v>124</v>
      </c>
      <c r="H260" s="360">
        <f aca="true" t="shared" si="62" ref="H260:AL260">H254+H256+H258</f>
        <v>0</v>
      </c>
      <c r="I260" s="361">
        <f t="shared" si="62"/>
        <v>0</v>
      </c>
      <c r="J260" s="361">
        <f t="shared" si="62"/>
        <v>0</v>
      </c>
      <c r="K260" s="361">
        <f t="shared" si="62"/>
        <v>0</v>
      </c>
      <c r="L260" s="361">
        <f t="shared" si="62"/>
        <v>0</v>
      </c>
      <c r="M260" s="361">
        <f t="shared" si="62"/>
        <v>0</v>
      </c>
      <c r="N260" s="361">
        <f t="shared" si="62"/>
        <v>0</v>
      </c>
      <c r="O260" s="361">
        <f t="shared" si="62"/>
        <v>0</v>
      </c>
      <c r="P260" s="361">
        <f t="shared" si="62"/>
        <v>0</v>
      </c>
      <c r="Q260" s="361">
        <f t="shared" si="62"/>
        <v>0</v>
      </c>
      <c r="R260" s="361">
        <f t="shared" si="62"/>
        <v>0</v>
      </c>
      <c r="S260" s="361">
        <f t="shared" si="62"/>
        <v>0</v>
      </c>
      <c r="T260" s="361">
        <f t="shared" si="62"/>
        <v>0</v>
      </c>
      <c r="U260" s="361">
        <f t="shared" si="62"/>
        <v>0</v>
      </c>
      <c r="V260" s="361">
        <f t="shared" si="62"/>
        <v>0</v>
      </c>
      <c r="W260" s="361">
        <f t="shared" si="62"/>
        <v>0</v>
      </c>
      <c r="X260" s="361">
        <f t="shared" si="62"/>
        <v>0</v>
      </c>
      <c r="Y260" s="361">
        <f t="shared" si="62"/>
        <v>0</v>
      </c>
      <c r="Z260" s="361">
        <f t="shared" si="62"/>
        <v>0</v>
      </c>
      <c r="AA260" s="361">
        <f t="shared" si="62"/>
        <v>0</v>
      </c>
      <c r="AB260" s="361">
        <f t="shared" si="62"/>
        <v>0</v>
      </c>
      <c r="AC260" s="361">
        <f t="shared" si="62"/>
        <v>0</v>
      </c>
      <c r="AD260" s="361">
        <f t="shared" si="62"/>
        <v>0</v>
      </c>
      <c r="AE260" s="361">
        <f t="shared" si="62"/>
        <v>0</v>
      </c>
      <c r="AF260" s="361">
        <f t="shared" si="62"/>
        <v>0</v>
      </c>
      <c r="AG260" s="361">
        <f t="shared" si="62"/>
        <v>0</v>
      </c>
      <c r="AH260" s="361">
        <f t="shared" si="62"/>
        <v>0</v>
      </c>
      <c r="AI260" s="361">
        <f t="shared" si="62"/>
        <v>0</v>
      </c>
      <c r="AJ260" s="361">
        <f t="shared" si="62"/>
        <v>0</v>
      </c>
      <c r="AK260" s="361">
        <f t="shared" si="62"/>
        <v>0</v>
      </c>
      <c r="AL260" s="361">
        <f t="shared" si="62"/>
        <v>0</v>
      </c>
      <c r="AM260" s="581"/>
    </row>
    <row r="261" spans="1:39" ht="13.5" thickBot="1">
      <c r="A261" s="601"/>
      <c r="B261" s="590"/>
      <c r="C261" s="593"/>
      <c r="D261" s="596"/>
      <c r="E261" s="587"/>
      <c r="F261" s="363">
        <f>F255+F258</f>
        <v>2200000</v>
      </c>
      <c r="G261" s="364" t="s">
        <v>125</v>
      </c>
      <c r="H261" s="365">
        <f aca="true" t="shared" si="63" ref="H261:AL261">H255+H257+H259</f>
        <v>700000</v>
      </c>
      <c r="I261" s="366">
        <f t="shared" si="63"/>
        <v>500000</v>
      </c>
      <c r="J261" s="366">
        <f t="shared" si="63"/>
        <v>500000</v>
      </c>
      <c r="K261" s="366">
        <f t="shared" si="63"/>
        <v>500000</v>
      </c>
      <c r="L261" s="366">
        <f t="shared" si="63"/>
        <v>0</v>
      </c>
      <c r="M261" s="366">
        <f t="shared" si="63"/>
        <v>0</v>
      </c>
      <c r="N261" s="366">
        <f t="shared" si="63"/>
        <v>0</v>
      </c>
      <c r="O261" s="366">
        <f t="shared" si="63"/>
        <v>0</v>
      </c>
      <c r="P261" s="366">
        <f t="shared" si="63"/>
        <v>0</v>
      </c>
      <c r="Q261" s="366">
        <f t="shared" si="63"/>
        <v>0</v>
      </c>
      <c r="R261" s="366">
        <f t="shared" si="63"/>
        <v>0</v>
      </c>
      <c r="S261" s="366">
        <f t="shared" si="63"/>
        <v>0</v>
      </c>
      <c r="T261" s="366">
        <f t="shared" si="63"/>
        <v>0</v>
      </c>
      <c r="U261" s="366">
        <f t="shared" si="63"/>
        <v>0</v>
      </c>
      <c r="V261" s="366">
        <f t="shared" si="63"/>
        <v>0</v>
      </c>
      <c r="W261" s="366">
        <f t="shared" si="63"/>
        <v>0</v>
      </c>
      <c r="X261" s="366">
        <f t="shared" si="63"/>
        <v>0</v>
      </c>
      <c r="Y261" s="366">
        <f t="shared" si="63"/>
        <v>0</v>
      </c>
      <c r="Z261" s="366">
        <f t="shared" si="63"/>
        <v>0</v>
      </c>
      <c r="AA261" s="366">
        <f t="shared" si="63"/>
        <v>0</v>
      </c>
      <c r="AB261" s="366">
        <f t="shared" si="63"/>
        <v>0</v>
      </c>
      <c r="AC261" s="366">
        <f t="shared" si="63"/>
        <v>0</v>
      </c>
      <c r="AD261" s="366">
        <f t="shared" si="63"/>
        <v>0</v>
      </c>
      <c r="AE261" s="366">
        <f t="shared" si="63"/>
        <v>0</v>
      </c>
      <c r="AF261" s="366">
        <f t="shared" si="63"/>
        <v>0</v>
      </c>
      <c r="AG261" s="366">
        <f t="shared" si="63"/>
        <v>0</v>
      </c>
      <c r="AH261" s="366">
        <f t="shared" si="63"/>
        <v>0</v>
      </c>
      <c r="AI261" s="366">
        <f t="shared" si="63"/>
        <v>0</v>
      </c>
      <c r="AJ261" s="366">
        <f t="shared" si="63"/>
        <v>0</v>
      </c>
      <c r="AK261" s="366">
        <f t="shared" si="63"/>
        <v>0</v>
      </c>
      <c r="AL261" s="366">
        <f t="shared" si="63"/>
        <v>0</v>
      </c>
      <c r="AM261" s="582"/>
    </row>
    <row r="262" spans="1:39" ht="12.75" customHeight="1">
      <c r="A262" s="599">
        <v>33</v>
      </c>
      <c r="B262" s="588" t="s">
        <v>216</v>
      </c>
      <c r="C262" s="591">
        <v>90015</v>
      </c>
      <c r="D262" s="594" t="s">
        <v>188</v>
      </c>
      <c r="E262" s="597">
        <v>2012</v>
      </c>
      <c r="F262" s="350" t="s">
        <v>113</v>
      </c>
      <c r="G262" s="351" t="s">
        <v>114</v>
      </c>
      <c r="H262" s="352"/>
      <c r="I262" s="353"/>
      <c r="J262" s="353"/>
      <c r="K262" s="353"/>
      <c r="L262" s="353"/>
      <c r="M262" s="353"/>
      <c r="N262" s="353"/>
      <c r="O262" s="353"/>
      <c r="P262" s="354"/>
      <c r="Q262" s="354"/>
      <c r="R262" s="354"/>
      <c r="S262" s="354"/>
      <c r="T262" s="354"/>
      <c r="U262" s="354"/>
      <c r="V262" s="354"/>
      <c r="W262" s="354"/>
      <c r="X262" s="354"/>
      <c r="Y262" s="354"/>
      <c r="Z262" s="354"/>
      <c r="AA262" s="354"/>
      <c r="AB262" s="354"/>
      <c r="AC262" s="354"/>
      <c r="AD262" s="354"/>
      <c r="AE262" s="354"/>
      <c r="AF262" s="354"/>
      <c r="AG262" s="354"/>
      <c r="AH262" s="354"/>
      <c r="AI262" s="354"/>
      <c r="AJ262" s="354"/>
      <c r="AK262" s="354"/>
      <c r="AL262" s="354"/>
      <c r="AM262" s="580">
        <f>SUM(J268:AL269)</f>
        <v>100000</v>
      </c>
    </row>
    <row r="263" spans="1:39" ht="12.75">
      <c r="A263" s="600"/>
      <c r="B263" s="589"/>
      <c r="C263" s="592"/>
      <c r="D263" s="595"/>
      <c r="E263" s="586"/>
      <c r="F263" s="583">
        <f>SUM(H268:AL268)</f>
        <v>0</v>
      </c>
      <c r="G263" s="355" t="s">
        <v>201</v>
      </c>
      <c r="H263" s="356"/>
      <c r="I263" s="357">
        <v>50000</v>
      </c>
      <c r="J263" s="357">
        <v>50000</v>
      </c>
      <c r="K263" s="357">
        <v>50000</v>
      </c>
      <c r="L263" s="357"/>
      <c r="M263" s="357"/>
      <c r="N263" s="357"/>
      <c r="O263" s="357"/>
      <c r="P263" s="358"/>
      <c r="Q263" s="358"/>
      <c r="R263" s="358"/>
      <c r="S263" s="358"/>
      <c r="T263" s="358"/>
      <c r="U263" s="358"/>
      <c r="V263" s="358"/>
      <c r="W263" s="358"/>
      <c r="X263" s="358"/>
      <c r="Y263" s="358"/>
      <c r="Z263" s="358"/>
      <c r="AA263" s="358"/>
      <c r="AB263" s="358"/>
      <c r="AC263" s="358"/>
      <c r="AD263" s="358"/>
      <c r="AE263" s="358"/>
      <c r="AF263" s="358"/>
      <c r="AG263" s="358"/>
      <c r="AH263" s="358"/>
      <c r="AI263" s="358"/>
      <c r="AJ263" s="358"/>
      <c r="AK263" s="358"/>
      <c r="AL263" s="358"/>
      <c r="AM263" s="581"/>
    </row>
    <row r="264" spans="1:39" ht="12.75">
      <c r="A264" s="600"/>
      <c r="B264" s="589"/>
      <c r="C264" s="592"/>
      <c r="D264" s="595"/>
      <c r="E264" s="586"/>
      <c r="F264" s="584"/>
      <c r="G264" s="355" t="s">
        <v>116</v>
      </c>
      <c r="H264" s="356"/>
      <c r="I264" s="357"/>
      <c r="J264" s="357"/>
      <c r="K264" s="357"/>
      <c r="L264" s="357"/>
      <c r="M264" s="357"/>
      <c r="N264" s="357"/>
      <c r="O264" s="357"/>
      <c r="P264" s="358"/>
      <c r="Q264" s="358"/>
      <c r="R264" s="358"/>
      <c r="S264" s="358"/>
      <c r="T264" s="358"/>
      <c r="U264" s="358"/>
      <c r="V264" s="358"/>
      <c r="W264" s="358"/>
      <c r="X264" s="358"/>
      <c r="Y264" s="358"/>
      <c r="Z264" s="358"/>
      <c r="AA264" s="358"/>
      <c r="AB264" s="358"/>
      <c r="AC264" s="358"/>
      <c r="AD264" s="358"/>
      <c r="AE264" s="358"/>
      <c r="AF264" s="358"/>
      <c r="AG264" s="358"/>
      <c r="AH264" s="358"/>
      <c r="AI264" s="358"/>
      <c r="AJ264" s="358"/>
      <c r="AK264" s="358"/>
      <c r="AL264" s="358"/>
      <c r="AM264" s="581"/>
    </row>
    <row r="265" spans="1:39" ht="12.75">
      <c r="A265" s="600"/>
      <c r="B265" s="589"/>
      <c r="C265" s="592"/>
      <c r="D265" s="595"/>
      <c r="E265" s="598"/>
      <c r="F265" s="359" t="s">
        <v>117</v>
      </c>
      <c r="G265" s="355" t="s">
        <v>118</v>
      </c>
      <c r="H265" s="356"/>
      <c r="I265" s="357"/>
      <c r="J265" s="357"/>
      <c r="K265" s="357"/>
      <c r="L265" s="357"/>
      <c r="M265" s="357"/>
      <c r="N265" s="357"/>
      <c r="O265" s="357"/>
      <c r="P265" s="358"/>
      <c r="Q265" s="358"/>
      <c r="R265" s="358"/>
      <c r="S265" s="358"/>
      <c r="T265" s="358"/>
      <c r="U265" s="358"/>
      <c r="V265" s="358"/>
      <c r="W265" s="358"/>
      <c r="X265" s="358"/>
      <c r="Y265" s="358"/>
      <c r="Z265" s="358"/>
      <c r="AA265" s="358"/>
      <c r="AB265" s="358"/>
      <c r="AC265" s="358"/>
      <c r="AD265" s="358"/>
      <c r="AE265" s="358"/>
      <c r="AF265" s="358"/>
      <c r="AG265" s="358"/>
      <c r="AH265" s="358"/>
      <c r="AI265" s="358"/>
      <c r="AJ265" s="358"/>
      <c r="AK265" s="358"/>
      <c r="AL265" s="358"/>
      <c r="AM265" s="581"/>
    </row>
    <row r="266" spans="1:39" ht="12.75">
      <c r="A266" s="600"/>
      <c r="B266" s="589"/>
      <c r="C266" s="592"/>
      <c r="D266" s="595"/>
      <c r="E266" s="585">
        <v>2014</v>
      </c>
      <c r="F266" s="583">
        <f>SUM(H269:AL269)</f>
        <v>150000</v>
      </c>
      <c r="G266" s="355" t="s">
        <v>122</v>
      </c>
      <c r="H266" s="356"/>
      <c r="I266" s="357"/>
      <c r="J266" s="357"/>
      <c r="K266" s="357"/>
      <c r="L266" s="357"/>
      <c r="M266" s="357"/>
      <c r="N266" s="357"/>
      <c r="O266" s="357"/>
      <c r="P266" s="358"/>
      <c r="Q266" s="358"/>
      <c r="R266" s="358"/>
      <c r="S266" s="358"/>
      <c r="T266" s="358"/>
      <c r="U266" s="358"/>
      <c r="V266" s="358"/>
      <c r="W266" s="358"/>
      <c r="X266" s="358"/>
      <c r="Y266" s="358"/>
      <c r="Z266" s="358"/>
      <c r="AA266" s="358"/>
      <c r="AB266" s="358"/>
      <c r="AC266" s="358"/>
      <c r="AD266" s="358"/>
      <c r="AE266" s="358"/>
      <c r="AF266" s="358"/>
      <c r="AG266" s="358"/>
      <c r="AH266" s="358"/>
      <c r="AI266" s="358"/>
      <c r="AJ266" s="358"/>
      <c r="AK266" s="358"/>
      <c r="AL266" s="358"/>
      <c r="AM266" s="581"/>
    </row>
    <row r="267" spans="1:39" ht="12.75">
      <c r="A267" s="600"/>
      <c r="B267" s="589"/>
      <c r="C267" s="592"/>
      <c r="D267" s="595"/>
      <c r="E267" s="586"/>
      <c r="F267" s="584"/>
      <c r="G267" s="355" t="s">
        <v>123</v>
      </c>
      <c r="H267" s="356"/>
      <c r="I267" s="357"/>
      <c r="J267" s="357"/>
      <c r="K267" s="357"/>
      <c r="L267" s="357"/>
      <c r="M267" s="357"/>
      <c r="N267" s="357"/>
      <c r="O267" s="357"/>
      <c r="P267" s="358"/>
      <c r="Q267" s="358"/>
      <c r="R267" s="358"/>
      <c r="S267" s="358"/>
      <c r="T267" s="358"/>
      <c r="U267" s="358"/>
      <c r="V267" s="358"/>
      <c r="W267" s="358"/>
      <c r="X267" s="358"/>
      <c r="Y267" s="358"/>
      <c r="Z267" s="358"/>
      <c r="AA267" s="358"/>
      <c r="AB267" s="358"/>
      <c r="AC267" s="358"/>
      <c r="AD267" s="358"/>
      <c r="AE267" s="358"/>
      <c r="AF267" s="358"/>
      <c r="AG267" s="358"/>
      <c r="AH267" s="358"/>
      <c r="AI267" s="358"/>
      <c r="AJ267" s="358"/>
      <c r="AK267" s="358"/>
      <c r="AL267" s="358"/>
      <c r="AM267" s="581"/>
    </row>
    <row r="268" spans="1:39" ht="12.75">
      <c r="A268" s="600"/>
      <c r="B268" s="589"/>
      <c r="C268" s="592"/>
      <c r="D268" s="595"/>
      <c r="E268" s="586"/>
      <c r="F268" s="359" t="s">
        <v>121</v>
      </c>
      <c r="G268" s="355" t="s">
        <v>124</v>
      </c>
      <c r="H268" s="360">
        <f aca="true" t="shared" si="64" ref="H268:AL268">H262+H264+H266</f>
        <v>0</v>
      </c>
      <c r="I268" s="361">
        <f t="shared" si="64"/>
        <v>0</v>
      </c>
      <c r="J268" s="361">
        <f t="shared" si="64"/>
        <v>0</v>
      </c>
      <c r="K268" s="361">
        <f t="shared" si="64"/>
        <v>0</v>
      </c>
      <c r="L268" s="361">
        <f t="shared" si="64"/>
        <v>0</v>
      </c>
      <c r="M268" s="361">
        <f t="shared" si="64"/>
        <v>0</v>
      </c>
      <c r="N268" s="361">
        <f t="shared" si="64"/>
        <v>0</v>
      </c>
      <c r="O268" s="361">
        <f t="shared" si="64"/>
        <v>0</v>
      </c>
      <c r="P268" s="361">
        <f t="shared" si="64"/>
        <v>0</v>
      </c>
      <c r="Q268" s="361">
        <f t="shared" si="64"/>
        <v>0</v>
      </c>
      <c r="R268" s="361">
        <f t="shared" si="64"/>
        <v>0</v>
      </c>
      <c r="S268" s="361">
        <f t="shared" si="64"/>
        <v>0</v>
      </c>
      <c r="T268" s="361">
        <f t="shared" si="64"/>
        <v>0</v>
      </c>
      <c r="U268" s="361">
        <f t="shared" si="64"/>
        <v>0</v>
      </c>
      <c r="V268" s="361">
        <f t="shared" si="64"/>
        <v>0</v>
      </c>
      <c r="W268" s="361">
        <f t="shared" si="64"/>
        <v>0</v>
      </c>
      <c r="X268" s="361">
        <f t="shared" si="64"/>
        <v>0</v>
      </c>
      <c r="Y268" s="361">
        <f t="shared" si="64"/>
        <v>0</v>
      </c>
      <c r="Z268" s="361">
        <f t="shared" si="64"/>
        <v>0</v>
      </c>
      <c r="AA268" s="361">
        <f t="shared" si="64"/>
        <v>0</v>
      </c>
      <c r="AB268" s="361">
        <f t="shared" si="64"/>
        <v>0</v>
      </c>
      <c r="AC268" s="361">
        <f t="shared" si="64"/>
        <v>0</v>
      </c>
      <c r="AD268" s="361">
        <f t="shared" si="64"/>
        <v>0</v>
      </c>
      <c r="AE268" s="361">
        <f t="shared" si="64"/>
        <v>0</v>
      </c>
      <c r="AF268" s="361">
        <f t="shared" si="64"/>
        <v>0</v>
      </c>
      <c r="AG268" s="361">
        <f t="shared" si="64"/>
        <v>0</v>
      </c>
      <c r="AH268" s="361">
        <f t="shared" si="64"/>
        <v>0</v>
      </c>
      <c r="AI268" s="361">
        <f t="shared" si="64"/>
        <v>0</v>
      </c>
      <c r="AJ268" s="361">
        <f t="shared" si="64"/>
        <v>0</v>
      </c>
      <c r="AK268" s="361">
        <f t="shared" si="64"/>
        <v>0</v>
      </c>
      <c r="AL268" s="361">
        <f t="shared" si="64"/>
        <v>0</v>
      </c>
      <c r="AM268" s="581"/>
    </row>
    <row r="269" spans="1:39" ht="13.5" thickBot="1">
      <c r="A269" s="601"/>
      <c r="B269" s="590"/>
      <c r="C269" s="593"/>
      <c r="D269" s="596"/>
      <c r="E269" s="587"/>
      <c r="F269" s="363">
        <f>F263+F266</f>
        <v>150000</v>
      </c>
      <c r="G269" s="364" t="s">
        <v>125</v>
      </c>
      <c r="H269" s="365">
        <f aca="true" t="shared" si="65" ref="H269:AL269">H263+H265+H267</f>
        <v>0</v>
      </c>
      <c r="I269" s="366">
        <f t="shared" si="65"/>
        <v>50000</v>
      </c>
      <c r="J269" s="366">
        <f t="shared" si="65"/>
        <v>50000</v>
      </c>
      <c r="K269" s="366">
        <f t="shared" si="65"/>
        <v>50000</v>
      </c>
      <c r="L269" s="366">
        <f t="shared" si="65"/>
        <v>0</v>
      </c>
      <c r="M269" s="366">
        <f t="shared" si="65"/>
        <v>0</v>
      </c>
      <c r="N269" s="366">
        <f t="shared" si="65"/>
        <v>0</v>
      </c>
      <c r="O269" s="366">
        <f t="shared" si="65"/>
        <v>0</v>
      </c>
      <c r="P269" s="366">
        <f t="shared" si="65"/>
        <v>0</v>
      </c>
      <c r="Q269" s="366">
        <f t="shared" si="65"/>
        <v>0</v>
      </c>
      <c r="R269" s="366">
        <f t="shared" si="65"/>
        <v>0</v>
      </c>
      <c r="S269" s="366">
        <f t="shared" si="65"/>
        <v>0</v>
      </c>
      <c r="T269" s="366">
        <f t="shared" si="65"/>
        <v>0</v>
      </c>
      <c r="U269" s="366">
        <f t="shared" si="65"/>
        <v>0</v>
      </c>
      <c r="V269" s="366">
        <f t="shared" si="65"/>
        <v>0</v>
      </c>
      <c r="W269" s="366">
        <f t="shared" si="65"/>
        <v>0</v>
      </c>
      <c r="X269" s="366">
        <f t="shared" si="65"/>
        <v>0</v>
      </c>
      <c r="Y269" s="366">
        <f t="shared" si="65"/>
        <v>0</v>
      </c>
      <c r="Z269" s="366">
        <f t="shared" si="65"/>
        <v>0</v>
      </c>
      <c r="AA269" s="366">
        <f t="shared" si="65"/>
        <v>0</v>
      </c>
      <c r="AB269" s="366">
        <f t="shared" si="65"/>
        <v>0</v>
      </c>
      <c r="AC269" s="366">
        <f t="shared" si="65"/>
        <v>0</v>
      </c>
      <c r="AD269" s="366">
        <f t="shared" si="65"/>
        <v>0</v>
      </c>
      <c r="AE269" s="366">
        <f t="shared" si="65"/>
        <v>0</v>
      </c>
      <c r="AF269" s="366">
        <f t="shared" si="65"/>
        <v>0</v>
      </c>
      <c r="AG269" s="366">
        <f t="shared" si="65"/>
        <v>0</v>
      </c>
      <c r="AH269" s="366">
        <f t="shared" si="65"/>
        <v>0</v>
      </c>
      <c r="AI269" s="366">
        <f t="shared" si="65"/>
        <v>0</v>
      </c>
      <c r="AJ269" s="366">
        <f t="shared" si="65"/>
        <v>0</v>
      </c>
      <c r="AK269" s="366">
        <f t="shared" si="65"/>
        <v>0</v>
      </c>
      <c r="AL269" s="366">
        <f t="shared" si="65"/>
        <v>0</v>
      </c>
      <c r="AM269" s="582"/>
    </row>
    <row r="270" spans="1:39" ht="12.75" customHeight="1">
      <c r="A270" s="599">
        <v>34</v>
      </c>
      <c r="B270" s="588" t="s">
        <v>199</v>
      </c>
      <c r="C270" s="591">
        <v>90015</v>
      </c>
      <c r="D270" s="594" t="s">
        <v>188</v>
      </c>
      <c r="E270" s="597">
        <v>2012</v>
      </c>
      <c r="F270" s="350" t="s">
        <v>113</v>
      </c>
      <c r="G270" s="351" t="s">
        <v>114</v>
      </c>
      <c r="H270" s="352"/>
      <c r="I270" s="353"/>
      <c r="J270" s="353"/>
      <c r="K270" s="353"/>
      <c r="L270" s="353"/>
      <c r="M270" s="353"/>
      <c r="N270" s="353"/>
      <c r="O270" s="353"/>
      <c r="P270" s="354"/>
      <c r="Q270" s="354"/>
      <c r="R270" s="354"/>
      <c r="S270" s="354"/>
      <c r="T270" s="354"/>
      <c r="U270" s="354"/>
      <c r="V270" s="354"/>
      <c r="W270" s="354"/>
      <c r="X270" s="354"/>
      <c r="Y270" s="354"/>
      <c r="Z270" s="354"/>
      <c r="AA270" s="354"/>
      <c r="AB270" s="354"/>
      <c r="AC270" s="354"/>
      <c r="AD270" s="354"/>
      <c r="AE270" s="354"/>
      <c r="AF270" s="354"/>
      <c r="AG270" s="354"/>
      <c r="AH270" s="354"/>
      <c r="AI270" s="354"/>
      <c r="AJ270" s="354"/>
      <c r="AK270" s="354"/>
      <c r="AL270" s="354"/>
      <c r="AM270" s="580">
        <f>SUM(J276:AL277)</f>
        <v>150000</v>
      </c>
    </row>
    <row r="271" spans="1:39" ht="12.75">
      <c r="A271" s="600"/>
      <c r="B271" s="589"/>
      <c r="C271" s="592"/>
      <c r="D271" s="595"/>
      <c r="E271" s="586"/>
      <c r="F271" s="583">
        <f>SUM(H276:AL276)</f>
        <v>0</v>
      </c>
      <c r="G271" s="355" t="s">
        <v>115</v>
      </c>
      <c r="H271" s="356"/>
      <c r="I271" s="357">
        <f>200000-50000</f>
        <v>150000</v>
      </c>
      <c r="J271" s="357">
        <f>50000+25000</f>
        <v>75000</v>
      </c>
      <c r="K271" s="357">
        <f>50000+25000</f>
        <v>75000</v>
      </c>
      <c r="L271" s="357"/>
      <c r="M271" s="357"/>
      <c r="N271" s="357"/>
      <c r="O271" s="357"/>
      <c r="P271" s="358"/>
      <c r="Q271" s="358"/>
      <c r="R271" s="358"/>
      <c r="S271" s="358"/>
      <c r="T271" s="358"/>
      <c r="U271" s="358"/>
      <c r="V271" s="358"/>
      <c r="W271" s="358"/>
      <c r="X271" s="358"/>
      <c r="Y271" s="358"/>
      <c r="Z271" s="358"/>
      <c r="AA271" s="358"/>
      <c r="AB271" s="358"/>
      <c r="AC271" s="358"/>
      <c r="AD271" s="358"/>
      <c r="AE271" s="358"/>
      <c r="AF271" s="358"/>
      <c r="AG271" s="358"/>
      <c r="AH271" s="358"/>
      <c r="AI271" s="358"/>
      <c r="AJ271" s="358"/>
      <c r="AK271" s="358"/>
      <c r="AL271" s="358"/>
      <c r="AM271" s="581"/>
    </row>
    <row r="272" spans="1:39" ht="9.75" customHeight="1">
      <c r="A272" s="600"/>
      <c r="B272" s="589"/>
      <c r="C272" s="592"/>
      <c r="D272" s="595"/>
      <c r="E272" s="586"/>
      <c r="F272" s="584"/>
      <c r="G272" s="355" t="s">
        <v>116</v>
      </c>
      <c r="H272" s="356"/>
      <c r="I272" s="357"/>
      <c r="J272" s="357"/>
      <c r="K272" s="357"/>
      <c r="L272" s="357"/>
      <c r="M272" s="357"/>
      <c r="N272" s="357"/>
      <c r="O272" s="357"/>
      <c r="P272" s="358"/>
      <c r="Q272" s="358"/>
      <c r="R272" s="358"/>
      <c r="S272" s="358"/>
      <c r="T272" s="358"/>
      <c r="U272" s="358"/>
      <c r="V272" s="358"/>
      <c r="W272" s="358"/>
      <c r="X272" s="358"/>
      <c r="Y272" s="358"/>
      <c r="Z272" s="358"/>
      <c r="AA272" s="358"/>
      <c r="AB272" s="358"/>
      <c r="AC272" s="358"/>
      <c r="AD272" s="358"/>
      <c r="AE272" s="358"/>
      <c r="AF272" s="358"/>
      <c r="AG272" s="358"/>
      <c r="AH272" s="358"/>
      <c r="AI272" s="358"/>
      <c r="AJ272" s="358"/>
      <c r="AK272" s="358"/>
      <c r="AL272" s="358"/>
      <c r="AM272" s="581"/>
    </row>
    <row r="273" spans="1:39" ht="12.75">
      <c r="A273" s="600"/>
      <c r="B273" s="589"/>
      <c r="C273" s="592"/>
      <c r="D273" s="595"/>
      <c r="E273" s="598"/>
      <c r="F273" s="359" t="s">
        <v>117</v>
      </c>
      <c r="G273" s="355" t="s">
        <v>118</v>
      </c>
      <c r="H273" s="356"/>
      <c r="I273" s="357"/>
      <c r="J273" s="357"/>
      <c r="K273" s="357"/>
      <c r="L273" s="357"/>
      <c r="M273" s="357"/>
      <c r="N273" s="357"/>
      <c r="O273" s="357"/>
      <c r="P273" s="358"/>
      <c r="Q273" s="358"/>
      <c r="R273" s="358"/>
      <c r="S273" s="358"/>
      <c r="T273" s="358"/>
      <c r="U273" s="358"/>
      <c r="V273" s="358"/>
      <c r="W273" s="358"/>
      <c r="X273" s="358"/>
      <c r="Y273" s="358"/>
      <c r="Z273" s="358"/>
      <c r="AA273" s="358"/>
      <c r="AB273" s="358"/>
      <c r="AC273" s="358"/>
      <c r="AD273" s="358"/>
      <c r="AE273" s="358"/>
      <c r="AF273" s="358"/>
      <c r="AG273" s="358"/>
      <c r="AH273" s="358"/>
      <c r="AI273" s="358"/>
      <c r="AJ273" s="358"/>
      <c r="AK273" s="358"/>
      <c r="AL273" s="358"/>
      <c r="AM273" s="581"/>
    </row>
    <row r="274" spans="1:39" ht="12.75">
      <c r="A274" s="600"/>
      <c r="B274" s="589"/>
      <c r="C274" s="592"/>
      <c r="D274" s="595"/>
      <c r="E274" s="585">
        <v>2014</v>
      </c>
      <c r="F274" s="583">
        <f>SUM(H277:AL277)</f>
        <v>300000</v>
      </c>
      <c r="G274" s="355" t="s">
        <v>122</v>
      </c>
      <c r="H274" s="356"/>
      <c r="I274" s="357"/>
      <c r="J274" s="357"/>
      <c r="K274" s="357"/>
      <c r="L274" s="357"/>
      <c r="M274" s="357"/>
      <c r="N274" s="357"/>
      <c r="O274" s="357"/>
      <c r="P274" s="358"/>
      <c r="Q274" s="358"/>
      <c r="R274" s="358"/>
      <c r="S274" s="358"/>
      <c r="T274" s="358"/>
      <c r="U274" s="358"/>
      <c r="V274" s="358"/>
      <c r="W274" s="358"/>
      <c r="X274" s="358"/>
      <c r="Y274" s="358"/>
      <c r="Z274" s="358"/>
      <c r="AA274" s="358"/>
      <c r="AB274" s="358"/>
      <c r="AC274" s="358"/>
      <c r="AD274" s="358"/>
      <c r="AE274" s="358"/>
      <c r="AF274" s="358"/>
      <c r="AG274" s="358"/>
      <c r="AH274" s="358"/>
      <c r="AI274" s="358"/>
      <c r="AJ274" s="358"/>
      <c r="AK274" s="358"/>
      <c r="AL274" s="358"/>
      <c r="AM274" s="581"/>
    </row>
    <row r="275" spans="1:39" ht="12.75">
      <c r="A275" s="600"/>
      <c r="B275" s="589"/>
      <c r="C275" s="592"/>
      <c r="D275" s="595"/>
      <c r="E275" s="586"/>
      <c r="F275" s="584"/>
      <c r="G275" s="355" t="s">
        <v>123</v>
      </c>
      <c r="H275" s="356"/>
      <c r="I275" s="357"/>
      <c r="J275" s="357"/>
      <c r="K275" s="357"/>
      <c r="L275" s="357"/>
      <c r="M275" s="357"/>
      <c r="N275" s="357"/>
      <c r="O275" s="357"/>
      <c r="P275" s="358"/>
      <c r="Q275" s="358"/>
      <c r="R275" s="358"/>
      <c r="S275" s="358"/>
      <c r="T275" s="358"/>
      <c r="U275" s="358"/>
      <c r="V275" s="358"/>
      <c r="W275" s="358"/>
      <c r="X275" s="358"/>
      <c r="Y275" s="358"/>
      <c r="Z275" s="358"/>
      <c r="AA275" s="358"/>
      <c r="AB275" s="358"/>
      <c r="AC275" s="358"/>
      <c r="AD275" s="358"/>
      <c r="AE275" s="358"/>
      <c r="AF275" s="358"/>
      <c r="AG275" s="358"/>
      <c r="AH275" s="358"/>
      <c r="AI275" s="358"/>
      <c r="AJ275" s="358"/>
      <c r="AK275" s="358"/>
      <c r="AL275" s="358"/>
      <c r="AM275" s="581"/>
    </row>
    <row r="276" spans="1:39" ht="12.75">
      <c r="A276" s="600"/>
      <c r="B276" s="589"/>
      <c r="C276" s="592"/>
      <c r="D276" s="595"/>
      <c r="E276" s="586"/>
      <c r="F276" s="359" t="s">
        <v>121</v>
      </c>
      <c r="G276" s="355" t="s">
        <v>124</v>
      </c>
      <c r="H276" s="360">
        <f aca="true" t="shared" si="66" ref="H276:AL276">H270+H272+H274</f>
        <v>0</v>
      </c>
      <c r="I276" s="361">
        <f t="shared" si="66"/>
        <v>0</v>
      </c>
      <c r="J276" s="361">
        <f t="shared" si="66"/>
        <v>0</v>
      </c>
      <c r="K276" s="361">
        <f t="shared" si="66"/>
        <v>0</v>
      </c>
      <c r="L276" s="361">
        <f t="shared" si="66"/>
        <v>0</v>
      </c>
      <c r="M276" s="361">
        <f t="shared" si="66"/>
        <v>0</v>
      </c>
      <c r="N276" s="361">
        <f t="shared" si="66"/>
        <v>0</v>
      </c>
      <c r="O276" s="361">
        <f t="shared" si="66"/>
        <v>0</v>
      </c>
      <c r="P276" s="361">
        <f t="shared" si="66"/>
        <v>0</v>
      </c>
      <c r="Q276" s="361">
        <f t="shared" si="66"/>
        <v>0</v>
      </c>
      <c r="R276" s="361">
        <f t="shared" si="66"/>
        <v>0</v>
      </c>
      <c r="S276" s="361">
        <f t="shared" si="66"/>
        <v>0</v>
      </c>
      <c r="T276" s="361">
        <f t="shared" si="66"/>
        <v>0</v>
      </c>
      <c r="U276" s="361">
        <f t="shared" si="66"/>
        <v>0</v>
      </c>
      <c r="V276" s="361">
        <f t="shared" si="66"/>
        <v>0</v>
      </c>
      <c r="W276" s="361">
        <f t="shared" si="66"/>
        <v>0</v>
      </c>
      <c r="X276" s="361">
        <f t="shared" si="66"/>
        <v>0</v>
      </c>
      <c r="Y276" s="361">
        <f t="shared" si="66"/>
        <v>0</v>
      </c>
      <c r="Z276" s="361">
        <f t="shared" si="66"/>
        <v>0</v>
      </c>
      <c r="AA276" s="361">
        <f t="shared" si="66"/>
        <v>0</v>
      </c>
      <c r="AB276" s="361">
        <f t="shared" si="66"/>
        <v>0</v>
      </c>
      <c r="AC276" s="361">
        <f t="shared" si="66"/>
        <v>0</v>
      </c>
      <c r="AD276" s="361">
        <f t="shared" si="66"/>
        <v>0</v>
      </c>
      <c r="AE276" s="361">
        <f t="shared" si="66"/>
        <v>0</v>
      </c>
      <c r="AF276" s="361">
        <f t="shared" si="66"/>
        <v>0</v>
      </c>
      <c r="AG276" s="361">
        <f t="shared" si="66"/>
        <v>0</v>
      </c>
      <c r="AH276" s="361">
        <f t="shared" si="66"/>
        <v>0</v>
      </c>
      <c r="AI276" s="361">
        <f t="shared" si="66"/>
        <v>0</v>
      </c>
      <c r="AJ276" s="361">
        <f t="shared" si="66"/>
        <v>0</v>
      </c>
      <c r="AK276" s="361">
        <f t="shared" si="66"/>
        <v>0</v>
      </c>
      <c r="AL276" s="361">
        <f t="shared" si="66"/>
        <v>0</v>
      </c>
      <c r="AM276" s="581"/>
    </row>
    <row r="277" spans="1:39" ht="13.5" thickBot="1">
      <c r="A277" s="601"/>
      <c r="B277" s="590"/>
      <c r="C277" s="593"/>
      <c r="D277" s="596"/>
      <c r="E277" s="587"/>
      <c r="F277" s="363">
        <f>F271+F274</f>
        <v>300000</v>
      </c>
      <c r="G277" s="364" t="s">
        <v>125</v>
      </c>
      <c r="H277" s="365">
        <f aca="true" t="shared" si="67" ref="H277:AL277">H271+H273+H275</f>
        <v>0</v>
      </c>
      <c r="I277" s="366">
        <f t="shared" si="67"/>
        <v>150000</v>
      </c>
      <c r="J277" s="366">
        <f t="shared" si="67"/>
        <v>75000</v>
      </c>
      <c r="K277" s="366">
        <f t="shared" si="67"/>
        <v>75000</v>
      </c>
      <c r="L277" s="366">
        <f t="shared" si="67"/>
        <v>0</v>
      </c>
      <c r="M277" s="366">
        <f t="shared" si="67"/>
        <v>0</v>
      </c>
      <c r="N277" s="366">
        <f t="shared" si="67"/>
        <v>0</v>
      </c>
      <c r="O277" s="366">
        <f t="shared" si="67"/>
        <v>0</v>
      </c>
      <c r="P277" s="366">
        <f t="shared" si="67"/>
        <v>0</v>
      </c>
      <c r="Q277" s="366">
        <f t="shared" si="67"/>
        <v>0</v>
      </c>
      <c r="R277" s="366">
        <f t="shared" si="67"/>
        <v>0</v>
      </c>
      <c r="S277" s="366">
        <f t="shared" si="67"/>
        <v>0</v>
      </c>
      <c r="T277" s="366">
        <f t="shared" si="67"/>
        <v>0</v>
      </c>
      <c r="U277" s="366">
        <f t="shared" si="67"/>
        <v>0</v>
      </c>
      <c r="V277" s="366">
        <f t="shared" si="67"/>
        <v>0</v>
      </c>
      <c r="W277" s="366">
        <f t="shared" si="67"/>
        <v>0</v>
      </c>
      <c r="X277" s="366">
        <f t="shared" si="67"/>
        <v>0</v>
      </c>
      <c r="Y277" s="366">
        <f t="shared" si="67"/>
        <v>0</v>
      </c>
      <c r="Z277" s="366">
        <f t="shared" si="67"/>
        <v>0</v>
      </c>
      <c r="AA277" s="366">
        <f t="shared" si="67"/>
        <v>0</v>
      </c>
      <c r="AB277" s="366">
        <f t="shared" si="67"/>
        <v>0</v>
      </c>
      <c r="AC277" s="366">
        <f t="shared" si="67"/>
        <v>0</v>
      </c>
      <c r="AD277" s="366">
        <f t="shared" si="67"/>
        <v>0</v>
      </c>
      <c r="AE277" s="366">
        <f t="shared" si="67"/>
        <v>0</v>
      </c>
      <c r="AF277" s="366">
        <f t="shared" si="67"/>
        <v>0</v>
      </c>
      <c r="AG277" s="366">
        <f t="shared" si="67"/>
        <v>0</v>
      </c>
      <c r="AH277" s="366">
        <f t="shared" si="67"/>
        <v>0</v>
      </c>
      <c r="AI277" s="366">
        <f t="shared" si="67"/>
        <v>0</v>
      </c>
      <c r="AJ277" s="366">
        <f t="shared" si="67"/>
        <v>0</v>
      </c>
      <c r="AK277" s="366">
        <f t="shared" si="67"/>
        <v>0</v>
      </c>
      <c r="AL277" s="366">
        <f t="shared" si="67"/>
        <v>0</v>
      </c>
      <c r="AM277" s="582"/>
    </row>
    <row r="278" spans="1:39" ht="12.75" customHeight="1">
      <c r="A278" s="599">
        <v>35</v>
      </c>
      <c r="B278" s="588" t="s">
        <v>213</v>
      </c>
      <c r="C278" s="591">
        <v>90095</v>
      </c>
      <c r="D278" s="594" t="s">
        <v>188</v>
      </c>
      <c r="E278" s="597">
        <v>2011</v>
      </c>
      <c r="F278" s="350" t="s">
        <v>113</v>
      </c>
      <c r="G278" s="351" t="s">
        <v>114</v>
      </c>
      <c r="H278" s="352"/>
      <c r="I278" s="353"/>
      <c r="J278" s="353"/>
      <c r="K278" s="353"/>
      <c r="L278" s="353"/>
      <c r="M278" s="353"/>
      <c r="N278" s="353"/>
      <c r="O278" s="353"/>
      <c r="P278" s="354"/>
      <c r="Q278" s="354"/>
      <c r="R278" s="354"/>
      <c r="S278" s="354"/>
      <c r="T278" s="354"/>
      <c r="U278" s="354"/>
      <c r="V278" s="354"/>
      <c r="W278" s="354"/>
      <c r="X278" s="354"/>
      <c r="Y278" s="354"/>
      <c r="Z278" s="354"/>
      <c r="AA278" s="354"/>
      <c r="AB278" s="354"/>
      <c r="AC278" s="354"/>
      <c r="AD278" s="354"/>
      <c r="AE278" s="354"/>
      <c r="AF278" s="354"/>
      <c r="AG278" s="354"/>
      <c r="AH278" s="354"/>
      <c r="AI278" s="354"/>
      <c r="AJ278" s="354"/>
      <c r="AK278" s="354"/>
      <c r="AL278" s="354"/>
      <c r="AM278" s="580">
        <f>SUM(J284:AL285)</f>
        <v>200000</v>
      </c>
    </row>
    <row r="279" spans="1:39" ht="12.75">
      <c r="A279" s="600"/>
      <c r="B279" s="589"/>
      <c r="C279" s="592"/>
      <c r="D279" s="595"/>
      <c r="E279" s="586"/>
      <c r="F279" s="583">
        <f>SUM(H284:AL284)</f>
        <v>0</v>
      </c>
      <c r="G279" s="355" t="s">
        <v>115</v>
      </c>
      <c r="H279" s="356">
        <f>5000</f>
        <v>5000</v>
      </c>
      <c r="I279" s="357">
        <v>50000</v>
      </c>
      <c r="J279" s="357">
        <v>100000</v>
      </c>
      <c r="K279" s="357">
        <v>100000</v>
      </c>
      <c r="L279" s="357"/>
      <c r="M279" s="357"/>
      <c r="N279" s="357"/>
      <c r="O279" s="357"/>
      <c r="P279" s="358"/>
      <c r="Q279" s="358"/>
      <c r="R279" s="358"/>
      <c r="S279" s="358"/>
      <c r="T279" s="358"/>
      <c r="U279" s="358"/>
      <c r="V279" s="358"/>
      <c r="W279" s="358"/>
      <c r="X279" s="358"/>
      <c r="Y279" s="358"/>
      <c r="Z279" s="358"/>
      <c r="AA279" s="358"/>
      <c r="AB279" s="358"/>
      <c r="AC279" s="358"/>
      <c r="AD279" s="358"/>
      <c r="AE279" s="358"/>
      <c r="AF279" s="358"/>
      <c r="AG279" s="358"/>
      <c r="AH279" s="358"/>
      <c r="AI279" s="358"/>
      <c r="AJ279" s="358"/>
      <c r="AK279" s="358"/>
      <c r="AL279" s="358"/>
      <c r="AM279" s="581"/>
    </row>
    <row r="280" spans="1:39" ht="12.75">
      <c r="A280" s="600"/>
      <c r="B280" s="589"/>
      <c r="C280" s="592"/>
      <c r="D280" s="595"/>
      <c r="E280" s="586"/>
      <c r="F280" s="584"/>
      <c r="G280" s="355" t="s">
        <v>116</v>
      </c>
      <c r="H280" s="356"/>
      <c r="I280" s="357"/>
      <c r="J280" s="357"/>
      <c r="K280" s="357"/>
      <c r="L280" s="357"/>
      <c r="M280" s="357"/>
      <c r="N280" s="357"/>
      <c r="O280" s="357"/>
      <c r="P280" s="358"/>
      <c r="Q280" s="358"/>
      <c r="R280" s="358"/>
      <c r="S280" s="358"/>
      <c r="T280" s="358"/>
      <c r="U280" s="358"/>
      <c r="V280" s="358"/>
      <c r="W280" s="358"/>
      <c r="X280" s="358"/>
      <c r="Y280" s="358"/>
      <c r="Z280" s="358"/>
      <c r="AA280" s="358"/>
      <c r="AB280" s="358"/>
      <c r="AC280" s="358"/>
      <c r="AD280" s="358"/>
      <c r="AE280" s="358"/>
      <c r="AF280" s="358"/>
      <c r="AG280" s="358"/>
      <c r="AH280" s="358"/>
      <c r="AI280" s="358"/>
      <c r="AJ280" s="358"/>
      <c r="AK280" s="358"/>
      <c r="AL280" s="358"/>
      <c r="AM280" s="581"/>
    </row>
    <row r="281" spans="1:39" ht="12.75">
      <c r="A281" s="600"/>
      <c r="B281" s="589"/>
      <c r="C281" s="592"/>
      <c r="D281" s="595"/>
      <c r="E281" s="598"/>
      <c r="F281" s="359" t="s">
        <v>117</v>
      </c>
      <c r="G281" s="355" t="s">
        <v>118</v>
      </c>
      <c r="H281" s="356"/>
      <c r="I281" s="357"/>
      <c r="J281" s="357"/>
      <c r="K281" s="357"/>
      <c r="L281" s="357"/>
      <c r="M281" s="357"/>
      <c r="N281" s="357"/>
      <c r="O281" s="357"/>
      <c r="P281" s="358"/>
      <c r="Q281" s="358"/>
      <c r="R281" s="358"/>
      <c r="S281" s="358"/>
      <c r="T281" s="358"/>
      <c r="U281" s="358"/>
      <c r="V281" s="358"/>
      <c r="W281" s="358"/>
      <c r="X281" s="358"/>
      <c r="Y281" s="358"/>
      <c r="Z281" s="358"/>
      <c r="AA281" s="358"/>
      <c r="AB281" s="358"/>
      <c r="AC281" s="358"/>
      <c r="AD281" s="358"/>
      <c r="AE281" s="358"/>
      <c r="AF281" s="358"/>
      <c r="AG281" s="358"/>
      <c r="AH281" s="358"/>
      <c r="AI281" s="358"/>
      <c r="AJ281" s="358"/>
      <c r="AK281" s="358"/>
      <c r="AL281" s="358"/>
      <c r="AM281" s="581"/>
    </row>
    <row r="282" spans="1:39" ht="12.75">
      <c r="A282" s="600"/>
      <c r="B282" s="589"/>
      <c r="C282" s="592"/>
      <c r="D282" s="595"/>
      <c r="E282" s="585">
        <v>2014</v>
      </c>
      <c r="F282" s="583">
        <f>SUM(H285:AL285)</f>
        <v>255000</v>
      </c>
      <c r="G282" s="355" t="s">
        <v>122</v>
      </c>
      <c r="H282" s="356"/>
      <c r="I282" s="357"/>
      <c r="J282" s="357"/>
      <c r="K282" s="357"/>
      <c r="L282" s="357"/>
      <c r="M282" s="357"/>
      <c r="N282" s="357"/>
      <c r="O282" s="357"/>
      <c r="P282" s="358"/>
      <c r="Q282" s="358"/>
      <c r="R282" s="358"/>
      <c r="S282" s="358"/>
      <c r="T282" s="358"/>
      <c r="U282" s="358"/>
      <c r="V282" s="358"/>
      <c r="W282" s="358"/>
      <c r="X282" s="358"/>
      <c r="Y282" s="358"/>
      <c r="Z282" s="358"/>
      <c r="AA282" s="358"/>
      <c r="AB282" s="358"/>
      <c r="AC282" s="358"/>
      <c r="AD282" s="358"/>
      <c r="AE282" s="358"/>
      <c r="AF282" s="358"/>
      <c r="AG282" s="358"/>
      <c r="AH282" s="358"/>
      <c r="AI282" s="358"/>
      <c r="AJ282" s="358"/>
      <c r="AK282" s="358"/>
      <c r="AL282" s="358"/>
      <c r="AM282" s="581"/>
    </row>
    <row r="283" spans="1:39" ht="12.75">
      <c r="A283" s="600"/>
      <c r="B283" s="589"/>
      <c r="C283" s="592"/>
      <c r="D283" s="595"/>
      <c r="E283" s="586"/>
      <c r="F283" s="584"/>
      <c r="G283" s="355" t="s">
        <v>123</v>
      </c>
      <c r="H283" s="356"/>
      <c r="I283" s="357"/>
      <c r="J283" s="357"/>
      <c r="K283" s="357"/>
      <c r="L283" s="357"/>
      <c r="M283" s="357"/>
      <c r="N283" s="357"/>
      <c r="O283" s="357"/>
      <c r="P283" s="358"/>
      <c r="Q283" s="358"/>
      <c r="R283" s="358"/>
      <c r="S283" s="358"/>
      <c r="T283" s="358"/>
      <c r="U283" s="358"/>
      <c r="V283" s="358"/>
      <c r="W283" s="358"/>
      <c r="X283" s="358"/>
      <c r="Y283" s="358"/>
      <c r="Z283" s="358"/>
      <c r="AA283" s="358"/>
      <c r="AB283" s="358"/>
      <c r="AC283" s="358"/>
      <c r="AD283" s="358"/>
      <c r="AE283" s="358"/>
      <c r="AF283" s="358"/>
      <c r="AG283" s="358"/>
      <c r="AH283" s="358"/>
      <c r="AI283" s="358"/>
      <c r="AJ283" s="358"/>
      <c r="AK283" s="358"/>
      <c r="AL283" s="358"/>
      <c r="AM283" s="581"/>
    </row>
    <row r="284" spans="1:39" ht="12.75">
      <c r="A284" s="600"/>
      <c r="B284" s="589"/>
      <c r="C284" s="592"/>
      <c r="D284" s="595"/>
      <c r="E284" s="586"/>
      <c r="F284" s="359" t="s">
        <v>121</v>
      </c>
      <c r="G284" s="355" t="s">
        <v>124</v>
      </c>
      <c r="H284" s="360">
        <f aca="true" t="shared" si="68" ref="H284:AL284">H278+H280+H282</f>
        <v>0</v>
      </c>
      <c r="I284" s="361">
        <f t="shared" si="68"/>
        <v>0</v>
      </c>
      <c r="J284" s="361">
        <f t="shared" si="68"/>
        <v>0</v>
      </c>
      <c r="K284" s="361">
        <f t="shared" si="68"/>
        <v>0</v>
      </c>
      <c r="L284" s="361">
        <f t="shared" si="68"/>
        <v>0</v>
      </c>
      <c r="M284" s="361">
        <f t="shared" si="68"/>
        <v>0</v>
      </c>
      <c r="N284" s="361">
        <f t="shared" si="68"/>
        <v>0</v>
      </c>
      <c r="O284" s="361">
        <f t="shared" si="68"/>
        <v>0</v>
      </c>
      <c r="P284" s="361">
        <f t="shared" si="68"/>
        <v>0</v>
      </c>
      <c r="Q284" s="361">
        <f t="shared" si="68"/>
        <v>0</v>
      </c>
      <c r="R284" s="361">
        <f t="shared" si="68"/>
        <v>0</v>
      </c>
      <c r="S284" s="361">
        <f t="shared" si="68"/>
        <v>0</v>
      </c>
      <c r="T284" s="361">
        <f t="shared" si="68"/>
        <v>0</v>
      </c>
      <c r="U284" s="361">
        <f t="shared" si="68"/>
        <v>0</v>
      </c>
      <c r="V284" s="361">
        <f t="shared" si="68"/>
        <v>0</v>
      </c>
      <c r="W284" s="361">
        <f t="shared" si="68"/>
        <v>0</v>
      </c>
      <c r="X284" s="361">
        <f t="shared" si="68"/>
        <v>0</v>
      </c>
      <c r="Y284" s="361">
        <f t="shared" si="68"/>
        <v>0</v>
      </c>
      <c r="Z284" s="361">
        <f t="shared" si="68"/>
        <v>0</v>
      </c>
      <c r="AA284" s="361">
        <f t="shared" si="68"/>
        <v>0</v>
      </c>
      <c r="AB284" s="361">
        <f t="shared" si="68"/>
        <v>0</v>
      </c>
      <c r="AC284" s="361">
        <f t="shared" si="68"/>
        <v>0</v>
      </c>
      <c r="AD284" s="361">
        <f t="shared" si="68"/>
        <v>0</v>
      </c>
      <c r="AE284" s="361">
        <f t="shared" si="68"/>
        <v>0</v>
      </c>
      <c r="AF284" s="361">
        <f t="shared" si="68"/>
        <v>0</v>
      </c>
      <c r="AG284" s="361">
        <f t="shared" si="68"/>
        <v>0</v>
      </c>
      <c r="AH284" s="361">
        <f t="shared" si="68"/>
        <v>0</v>
      </c>
      <c r="AI284" s="361">
        <f t="shared" si="68"/>
        <v>0</v>
      </c>
      <c r="AJ284" s="361">
        <f t="shared" si="68"/>
        <v>0</v>
      </c>
      <c r="AK284" s="361">
        <f t="shared" si="68"/>
        <v>0</v>
      </c>
      <c r="AL284" s="361">
        <f t="shared" si="68"/>
        <v>0</v>
      </c>
      <c r="AM284" s="581"/>
    </row>
    <row r="285" spans="1:39" ht="13.5" thickBot="1">
      <c r="A285" s="601"/>
      <c r="B285" s="590"/>
      <c r="C285" s="593"/>
      <c r="D285" s="596"/>
      <c r="E285" s="587"/>
      <c r="F285" s="363">
        <f>F279+F282</f>
        <v>255000</v>
      </c>
      <c r="G285" s="364" t="s">
        <v>125</v>
      </c>
      <c r="H285" s="365">
        <f aca="true" t="shared" si="69" ref="H285:AL285">H279+H281+H283</f>
        <v>5000</v>
      </c>
      <c r="I285" s="366">
        <f t="shared" si="69"/>
        <v>50000</v>
      </c>
      <c r="J285" s="366">
        <f t="shared" si="69"/>
        <v>100000</v>
      </c>
      <c r="K285" s="366">
        <f t="shared" si="69"/>
        <v>100000</v>
      </c>
      <c r="L285" s="366">
        <f t="shared" si="69"/>
        <v>0</v>
      </c>
      <c r="M285" s="366">
        <f t="shared" si="69"/>
        <v>0</v>
      </c>
      <c r="N285" s="366">
        <f t="shared" si="69"/>
        <v>0</v>
      </c>
      <c r="O285" s="366">
        <f t="shared" si="69"/>
        <v>0</v>
      </c>
      <c r="P285" s="366">
        <f t="shared" si="69"/>
        <v>0</v>
      </c>
      <c r="Q285" s="366">
        <f t="shared" si="69"/>
        <v>0</v>
      </c>
      <c r="R285" s="366">
        <f t="shared" si="69"/>
        <v>0</v>
      </c>
      <c r="S285" s="366">
        <f t="shared" si="69"/>
        <v>0</v>
      </c>
      <c r="T285" s="366">
        <f t="shared" si="69"/>
        <v>0</v>
      </c>
      <c r="U285" s="366">
        <f t="shared" si="69"/>
        <v>0</v>
      </c>
      <c r="V285" s="366">
        <f t="shared" si="69"/>
        <v>0</v>
      </c>
      <c r="W285" s="366">
        <f t="shared" si="69"/>
        <v>0</v>
      </c>
      <c r="X285" s="366">
        <f t="shared" si="69"/>
        <v>0</v>
      </c>
      <c r="Y285" s="366">
        <f t="shared" si="69"/>
        <v>0</v>
      </c>
      <c r="Z285" s="366">
        <f t="shared" si="69"/>
        <v>0</v>
      </c>
      <c r="AA285" s="366">
        <f t="shared" si="69"/>
        <v>0</v>
      </c>
      <c r="AB285" s="366">
        <f t="shared" si="69"/>
        <v>0</v>
      </c>
      <c r="AC285" s="366">
        <f t="shared" si="69"/>
        <v>0</v>
      </c>
      <c r="AD285" s="366">
        <f t="shared" si="69"/>
        <v>0</v>
      </c>
      <c r="AE285" s="366">
        <f t="shared" si="69"/>
        <v>0</v>
      </c>
      <c r="AF285" s="366">
        <f t="shared" si="69"/>
        <v>0</v>
      </c>
      <c r="AG285" s="366">
        <f t="shared" si="69"/>
        <v>0</v>
      </c>
      <c r="AH285" s="366">
        <f t="shared" si="69"/>
        <v>0</v>
      </c>
      <c r="AI285" s="366">
        <f t="shared" si="69"/>
        <v>0</v>
      </c>
      <c r="AJ285" s="366">
        <f t="shared" si="69"/>
        <v>0</v>
      </c>
      <c r="AK285" s="366">
        <f t="shared" si="69"/>
        <v>0</v>
      </c>
      <c r="AL285" s="366">
        <f t="shared" si="69"/>
        <v>0</v>
      </c>
      <c r="AM285" s="582"/>
    </row>
    <row r="286" spans="1:39" ht="12.75" customHeight="1">
      <c r="A286" s="599">
        <v>36</v>
      </c>
      <c r="B286" s="588" t="s">
        <v>217</v>
      </c>
      <c r="C286" s="591">
        <v>90095</v>
      </c>
      <c r="D286" s="594" t="s">
        <v>188</v>
      </c>
      <c r="E286" s="597">
        <v>2011</v>
      </c>
      <c r="F286" s="350" t="s">
        <v>113</v>
      </c>
      <c r="G286" s="351" t="s">
        <v>114</v>
      </c>
      <c r="H286" s="352"/>
      <c r="I286" s="353"/>
      <c r="J286" s="353"/>
      <c r="K286" s="353"/>
      <c r="L286" s="353"/>
      <c r="M286" s="353"/>
      <c r="N286" s="353"/>
      <c r="O286" s="353"/>
      <c r="P286" s="354"/>
      <c r="Q286" s="354"/>
      <c r="R286" s="354"/>
      <c r="S286" s="354"/>
      <c r="T286" s="354"/>
      <c r="U286" s="354"/>
      <c r="V286" s="354"/>
      <c r="W286" s="354"/>
      <c r="X286" s="354"/>
      <c r="Y286" s="354"/>
      <c r="Z286" s="354"/>
      <c r="AA286" s="354"/>
      <c r="AB286" s="354"/>
      <c r="AC286" s="354"/>
      <c r="AD286" s="354"/>
      <c r="AE286" s="354"/>
      <c r="AF286" s="354"/>
      <c r="AG286" s="354"/>
      <c r="AH286" s="354"/>
      <c r="AI286" s="354"/>
      <c r="AJ286" s="354"/>
      <c r="AK286" s="354"/>
      <c r="AL286" s="354"/>
      <c r="AM286" s="580">
        <f>SUM(J292:AL293)</f>
        <v>0</v>
      </c>
    </row>
    <row r="287" spans="1:39" ht="12.75">
      <c r="A287" s="600"/>
      <c r="B287" s="589"/>
      <c r="C287" s="592"/>
      <c r="D287" s="595"/>
      <c r="E287" s="586"/>
      <c r="F287" s="583">
        <f>SUM(H292:AL292)</f>
        <v>0</v>
      </c>
      <c r="G287" s="355" t="s">
        <v>115</v>
      </c>
      <c r="H287" s="356">
        <f>500000</f>
        <v>500000</v>
      </c>
      <c r="I287" s="357">
        <v>1700000</v>
      </c>
      <c r="J287" s="357"/>
      <c r="K287" s="357"/>
      <c r="L287" s="357"/>
      <c r="M287" s="357"/>
      <c r="N287" s="357"/>
      <c r="O287" s="357"/>
      <c r="P287" s="358"/>
      <c r="Q287" s="358"/>
      <c r="R287" s="358"/>
      <c r="S287" s="358"/>
      <c r="T287" s="358"/>
      <c r="U287" s="358"/>
      <c r="V287" s="358"/>
      <c r="W287" s="358"/>
      <c r="X287" s="358"/>
      <c r="Y287" s="358"/>
      <c r="Z287" s="358"/>
      <c r="AA287" s="358"/>
      <c r="AB287" s="358"/>
      <c r="AC287" s="358"/>
      <c r="AD287" s="358"/>
      <c r="AE287" s="358"/>
      <c r="AF287" s="358"/>
      <c r="AG287" s="358"/>
      <c r="AH287" s="358"/>
      <c r="AI287" s="358"/>
      <c r="AJ287" s="358"/>
      <c r="AK287" s="358"/>
      <c r="AL287" s="358"/>
      <c r="AM287" s="581"/>
    </row>
    <row r="288" spans="1:39" ht="12.75">
      <c r="A288" s="600"/>
      <c r="B288" s="589"/>
      <c r="C288" s="592"/>
      <c r="D288" s="595"/>
      <c r="E288" s="586"/>
      <c r="F288" s="584"/>
      <c r="G288" s="355" t="s">
        <v>116</v>
      </c>
      <c r="H288" s="356"/>
      <c r="I288" s="357"/>
      <c r="J288" s="357"/>
      <c r="K288" s="357"/>
      <c r="L288" s="357"/>
      <c r="M288" s="357"/>
      <c r="N288" s="357"/>
      <c r="O288" s="357"/>
      <c r="P288" s="358"/>
      <c r="Q288" s="358"/>
      <c r="R288" s="358"/>
      <c r="S288" s="358"/>
      <c r="T288" s="358"/>
      <c r="U288" s="358"/>
      <c r="V288" s="358"/>
      <c r="W288" s="358"/>
      <c r="X288" s="358"/>
      <c r="Y288" s="358"/>
      <c r="Z288" s="358"/>
      <c r="AA288" s="358"/>
      <c r="AB288" s="358"/>
      <c r="AC288" s="358"/>
      <c r="AD288" s="358"/>
      <c r="AE288" s="358"/>
      <c r="AF288" s="358"/>
      <c r="AG288" s="358"/>
      <c r="AH288" s="358"/>
      <c r="AI288" s="358"/>
      <c r="AJ288" s="358"/>
      <c r="AK288" s="358"/>
      <c r="AL288" s="358"/>
      <c r="AM288" s="581"/>
    </row>
    <row r="289" spans="1:39" ht="12.75">
      <c r="A289" s="600"/>
      <c r="B289" s="589"/>
      <c r="C289" s="592"/>
      <c r="D289" s="595"/>
      <c r="E289" s="598"/>
      <c r="F289" s="359" t="s">
        <v>117</v>
      </c>
      <c r="G289" s="355" t="s">
        <v>118</v>
      </c>
      <c r="H289" s="356"/>
      <c r="I289" s="357"/>
      <c r="J289" s="357"/>
      <c r="K289" s="357"/>
      <c r="L289" s="357"/>
      <c r="M289" s="357"/>
      <c r="N289" s="357"/>
      <c r="O289" s="357"/>
      <c r="P289" s="358"/>
      <c r="Q289" s="358"/>
      <c r="R289" s="358"/>
      <c r="S289" s="358"/>
      <c r="T289" s="358"/>
      <c r="U289" s="358"/>
      <c r="V289" s="358"/>
      <c r="W289" s="358"/>
      <c r="X289" s="358"/>
      <c r="Y289" s="358"/>
      <c r="Z289" s="358"/>
      <c r="AA289" s="358"/>
      <c r="AB289" s="358"/>
      <c r="AC289" s="358"/>
      <c r="AD289" s="358"/>
      <c r="AE289" s="358"/>
      <c r="AF289" s="358"/>
      <c r="AG289" s="358"/>
      <c r="AH289" s="358"/>
      <c r="AI289" s="358"/>
      <c r="AJ289" s="358"/>
      <c r="AK289" s="358"/>
      <c r="AL289" s="358"/>
      <c r="AM289" s="581"/>
    </row>
    <row r="290" spans="1:39" ht="12.75">
      <c r="A290" s="600"/>
      <c r="B290" s="589"/>
      <c r="C290" s="592"/>
      <c r="D290" s="595"/>
      <c r="E290" s="585">
        <v>2012</v>
      </c>
      <c r="F290" s="583">
        <f>SUM(H293:AL293)</f>
        <v>2200000</v>
      </c>
      <c r="G290" s="355" t="s">
        <v>122</v>
      </c>
      <c r="H290" s="356"/>
      <c r="I290" s="357"/>
      <c r="J290" s="357"/>
      <c r="K290" s="357"/>
      <c r="L290" s="357"/>
      <c r="M290" s="357"/>
      <c r="N290" s="357"/>
      <c r="O290" s="357"/>
      <c r="P290" s="358"/>
      <c r="Q290" s="358"/>
      <c r="R290" s="358"/>
      <c r="S290" s="358"/>
      <c r="T290" s="358"/>
      <c r="U290" s="358"/>
      <c r="V290" s="358"/>
      <c r="W290" s="358"/>
      <c r="X290" s="358"/>
      <c r="Y290" s="358"/>
      <c r="Z290" s="358"/>
      <c r="AA290" s="358"/>
      <c r="AB290" s="358"/>
      <c r="AC290" s="358"/>
      <c r="AD290" s="358"/>
      <c r="AE290" s="358"/>
      <c r="AF290" s="358"/>
      <c r="AG290" s="358"/>
      <c r="AH290" s="358"/>
      <c r="AI290" s="358"/>
      <c r="AJ290" s="358"/>
      <c r="AK290" s="358"/>
      <c r="AL290" s="358"/>
      <c r="AM290" s="581"/>
    </row>
    <row r="291" spans="1:39" ht="12" customHeight="1">
      <c r="A291" s="600"/>
      <c r="B291" s="589"/>
      <c r="C291" s="592"/>
      <c r="D291" s="595"/>
      <c r="E291" s="586"/>
      <c r="F291" s="584"/>
      <c r="G291" s="355" t="s">
        <v>123</v>
      </c>
      <c r="H291" s="356"/>
      <c r="I291" s="357"/>
      <c r="J291" s="357"/>
      <c r="K291" s="357"/>
      <c r="L291" s="357"/>
      <c r="M291" s="357"/>
      <c r="N291" s="357"/>
      <c r="O291" s="357"/>
      <c r="P291" s="358"/>
      <c r="Q291" s="358"/>
      <c r="R291" s="358"/>
      <c r="S291" s="358"/>
      <c r="T291" s="358"/>
      <c r="U291" s="358"/>
      <c r="V291" s="358"/>
      <c r="W291" s="358"/>
      <c r="X291" s="358"/>
      <c r="Y291" s="358"/>
      <c r="Z291" s="358"/>
      <c r="AA291" s="358"/>
      <c r="AB291" s="358"/>
      <c r="AC291" s="358"/>
      <c r="AD291" s="358"/>
      <c r="AE291" s="358"/>
      <c r="AF291" s="358"/>
      <c r="AG291" s="358"/>
      <c r="AH291" s="358"/>
      <c r="AI291" s="358"/>
      <c r="AJ291" s="358"/>
      <c r="AK291" s="358"/>
      <c r="AL291" s="358"/>
      <c r="AM291" s="581"/>
    </row>
    <row r="292" spans="1:39" ht="12.75">
      <c r="A292" s="600"/>
      <c r="B292" s="589"/>
      <c r="C292" s="592"/>
      <c r="D292" s="595"/>
      <c r="E292" s="586"/>
      <c r="F292" s="359" t="s">
        <v>121</v>
      </c>
      <c r="G292" s="355" t="s">
        <v>124</v>
      </c>
      <c r="H292" s="360">
        <f aca="true" t="shared" si="70" ref="H292:AL292">H286+H288+H290</f>
        <v>0</v>
      </c>
      <c r="I292" s="361">
        <f t="shared" si="70"/>
        <v>0</v>
      </c>
      <c r="J292" s="361">
        <f t="shared" si="70"/>
        <v>0</v>
      </c>
      <c r="K292" s="361">
        <f t="shared" si="70"/>
        <v>0</v>
      </c>
      <c r="L292" s="361">
        <f t="shared" si="70"/>
        <v>0</v>
      </c>
      <c r="M292" s="361">
        <f t="shared" si="70"/>
        <v>0</v>
      </c>
      <c r="N292" s="361">
        <f t="shared" si="70"/>
        <v>0</v>
      </c>
      <c r="O292" s="361">
        <f t="shared" si="70"/>
        <v>0</v>
      </c>
      <c r="P292" s="361">
        <f t="shared" si="70"/>
        <v>0</v>
      </c>
      <c r="Q292" s="361">
        <f t="shared" si="70"/>
        <v>0</v>
      </c>
      <c r="R292" s="361">
        <f t="shared" si="70"/>
        <v>0</v>
      </c>
      <c r="S292" s="361">
        <f t="shared" si="70"/>
        <v>0</v>
      </c>
      <c r="T292" s="361">
        <f t="shared" si="70"/>
        <v>0</v>
      </c>
      <c r="U292" s="361">
        <f t="shared" si="70"/>
        <v>0</v>
      </c>
      <c r="V292" s="361">
        <f t="shared" si="70"/>
        <v>0</v>
      </c>
      <c r="W292" s="361">
        <f t="shared" si="70"/>
        <v>0</v>
      </c>
      <c r="X292" s="361">
        <f t="shared" si="70"/>
        <v>0</v>
      </c>
      <c r="Y292" s="361">
        <f t="shared" si="70"/>
        <v>0</v>
      </c>
      <c r="Z292" s="361">
        <f t="shared" si="70"/>
        <v>0</v>
      </c>
      <c r="AA292" s="361">
        <f t="shared" si="70"/>
        <v>0</v>
      </c>
      <c r="AB292" s="361">
        <f t="shared" si="70"/>
        <v>0</v>
      </c>
      <c r="AC292" s="361">
        <f t="shared" si="70"/>
        <v>0</v>
      </c>
      <c r="AD292" s="361">
        <f t="shared" si="70"/>
        <v>0</v>
      </c>
      <c r="AE292" s="361">
        <f t="shared" si="70"/>
        <v>0</v>
      </c>
      <c r="AF292" s="361">
        <f t="shared" si="70"/>
        <v>0</v>
      </c>
      <c r="AG292" s="361">
        <f t="shared" si="70"/>
        <v>0</v>
      </c>
      <c r="AH292" s="361">
        <f t="shared" si="70"/>
        <v>0</v>
      </c>
      <c r="AI292" s="361">
        <f t="shared" si="70"/>
        <v>0</v>
      </c>
      <c r="AJ292" s="361">
        <f t="shared" si="70"/>
        <v>0</v>
      </c>
      <c r="AK292" s="361">
        <f t="shared" si="70"/>
        <v>0</v>
      </c>
      <c r="AL292" s="361">
        <f t="shared" si="70"/>
        <v>0</v>
      </c>
      <c r="AM292" s="581"/>
    </row>
    <row r="293" spans="1:39" ht="13.5" thickBot="1">
      <c r="A293" s="601"/>
      <c r="B293" s="590"/>
      <c r="C293" s="593"/>
      <c r="D293" s="596"/>
      <c r="E293" s="587"/>
      <c r="F293" s="363">
        <f>F287+F290</f>
        <v>2200000</v>
      </c>
      <c r="G293" s="364" t="s">
        <v>125</v>
      </c>
      <c r="H293" s="365">
        <f aca="true" t="shared" si="71" ref="H293:AL293">H287+H289+H291</f>
        <v>500000</v>
      </c>
      <c r="I293" s="366">
        <f t="shared" si="71"/>
        <v>1700000</v>
      </c>
      <c r="J293" s="366">
        <f t="shared" si="71"/>
        <v>0</v>
      </c>
      <c r="K293" s="366">
        <f t="shared" si="71"/>
        <v>0</v>
      </c>
      <c r="L293" s="366">
        <f t="shared" si="71"/>
        <v>0</v>
      </c>
      <c r="M293" s="366">
        <f t="shared" si="71"/>
        <v>0</v>
      </c>
      <c r="N293" s="366">
        <f t="shared" si="71"/>
        <v>0</v>
      </c>
      <c r="O293" s="366">
        <f t="shared" si="71"/>
        <v>0</v>
      </c>
      <c r="P293" s="366">
        <f t="shared" si="71"/>
        <v>0</v>
      </c>
      <c r="Q293" s="366">
        <f t="shared" si="71"/>
        <v>0</v>
      </c>
      <c r="R293" s="366">
        <f t="shared" si="71"/>
        <v>0</v>
      </c>
      <c r="S293" s="366">
        <f t="shared" si="71"/>
        <v>0</v>
      </c>
      <c r="T293" s="366">
        <f t="shared" si="71"/>
        <v>0</v>
      </c>
      <c r="U293" s="366">
        <f t="shared" si="71"/>
        <v>0</v>
      </c>
      <c r="V293" s="366">
        <f t="shared" si="71"/>
        <v>0</v>
      </c>
      <c r="W293" s="366">
        <f t="shared" si="71"/>
        <v>0</v>
      </c>
      <c r="X293" s="366">
        <f t="shared" si="71"/>
        <v>0</v>
      </c>
      <c r="Y293" s="366">
        <f t="shared" si="71"/>
        <v>0</v>
      </c>
      <c r="Z293" s="366">
        <f t="shared" si="71"/>
        <v>0</v>
      </c>
      <c r="AA293" s="366">
        <f t="shared" si="71"/>
        <v>0</v>
      </c>
      <c r="AB293" s="366">
        <f t="shared" si="71"/>
        <v>0</v>
      </c>
      <c r="AC293" s="366">
        <f t="shared" si="71"/>
        <v>0</v>
      </c>
      <c r="AD293" s="366">
        <f t="shared" si="71"/>
        <v>0</v>
      </c>
      <c r="AE293" s="366">
        <f t="shared" si="71"/>
        <v>0</v>
      </c>
      <c r="AF293" s="366">
        <f t="shared" si="71"/>
        <v>0</v>
      </c>
      <c r="AG293" s="366">
        <f t="shared" si="71"/>
        <v>0</v>
      </c>
      <c r="AH293" s="366">
        <f t="shared" si="71"/>
        <v>0</v>
      </c>
      <c r="AI293" s="366">
        <f t="shared" si="71"/>
        <v>0</v>
      </c>
      <c r="AJ293" s="366">
        <f t="shared" si="71"/>
        <v>0</v>
      </c>
      <c r="AK293" s="366">
        <f t="shared" si="71"/>
        <v>0</v>
      </c>
      <c r="AL293" s="366">
        <f t="shared" si="71"/>
        <v>0</v>
      </c>
      <c r="AM293" s="582"/>
    </row>
    <row r="294" spans="1:39" ht="13.5" customHeight="1">
      <c r="A294" s="599">
        <v>37</v>
      </c>
      <c r="B294" s="588" t="s">
        <v>218</v>
      </c>
      <c r="C294" s="591">
        <v>90095</v>
      </c>
      <c r="D294" s="594" t="s">
        <v>188</v>
      </c>
      <c r="E294" s="597">
        <v>2011</v>
      </c>
      <c r="F294" s="350" t="s">
        <v>113</v>
      </c>
      <c r="G294" s="351" t="s">
        <v>114</v>
      </c>
      <c r="H294" s="352"/>
      <c r="I294" s="353"/>
      <c r="J294" s="353"/>
      <c r="K294" s="353"/>
      <c r="L294" s="353"/>
      <c r="M294" s="353"/>
      <c r="N294" s="353"/>
      <c r="O294" s="353"/>
      <c r="P294" s="354"/>
      <c r="Q294" s="354"/>
      <c r="R294" s="354"/>
      <c r="S294" s="354"/>
      <c r="T294" s="354"/>
      <c r="U294" s="354"/>
      <c r="V294" s="354"/>
      <c r="W294" s="354"/>
      <c r="X294" s="354"/>
      <c r="Y294" s="354"/>
      <c r="Z294" s="354"/>
      <c r="AA294" s="354"/>
      <c r="AB294" s="354"/>
      <c r="AC294" s="354"/>
      <c r="AD294" s="354"/>
      <c r="AE294" s="354"/>
      <c r="AF294" s="354"/>
      <c r="AG294" s="354"/>
      <c r="AH294" s="354"/>
      <c r="AI294" s="354"/>
      <c r="AJ294" s="354"/>
      <c r="AK294" s="354"/>
      <c r="AL294" s="354"/>
      <c r="AM294" s="580">
        <f>SUM(J300:AL301)</f>
        <v>700000</v>
      </c>
    </row>
    <row r="295" spans="1:39" ht="12.75">
      <c r="A295" s="600"/>
      <c r="B295" s="589"/>
      <c r="C295" s="592"/>
      <c r="D295" s="595"/>
      <c r="E295" s="586"/>
      <c r="F295" s="583">
        <f>SUM(H300:AL300)</f>
        <v>0</v>
      </c>
      <c r="G295" s="355" t="s">
        <v>115</v>
      </c>
      <c r="H295" s="356">
        <f>500000</f>
        <v>500000</v>
      </c>
      <c r="I295" s="357">
        <f>500000-200000</f>
        <v>300000</v>
      </c>
      <c r="J295" s="357">
        <f>500000+200000</f>
        <v>700000</v>
      </c>
      <c r="K295" s="357"/>
      <c r="L295" s="357"/>
      <c r="M295" s="357"/>
      <c r="N295" s="357"/>
      <c r="O295" s="357"/>
      <c r="P295" s="358"/>
      <c r="Q295" s="358"/>
      <c r="R295" s="358"/>
      <c r="S295" s="358"/>
      <c r="T295" s="358"/>
      <c r="U295" s="358"/>
      <c r="V295" s="358"/>
      <c r="W295" s="358"/>
      <c r="X295" s="358"/>
      <c r="Y295" s="358"/>
      <c r="Z295" s="358"/>
      <c r="AA295" s="358"/>
      <c r="AB295" s="358"/>
      <c r="AC295" s="358"/>
      <c r="AD295" s="358"/>
      <c r="AE295" s="358"/>
      <c r="AF295" s="358"/>
      <c r="AG295" s="358"/>
      <c r="AH295" s="358"/>
      <c r="AI295" s="358"/>
      <c r="AJ295" s="358"/>
      <c r="AK295" s="358"/>
      <c r="AL295" s="358"/>
      <c r="AM295" s="581"/>
    </row>
    <row r="296" spans="1:39" ht="12.75">
      <c r="A296" s="600"/>
      <c r="B296" s="589"/>
      <c r="C296" s="592"/>
      <c r="D296" s="595"/>
      <c r="E296" s="586"/>
      <c r="F296" s="584"/>
      <c r="G296" s="355" t="s">
        <v>116</v>
      </c>
      <c r="H296" s="356"/>
      <c r="I296" s="357"/>
      <c r="J296" s="357"/>
      <c r="K296" s="357"/>
      <c r="L296" s="357"/>
      <c r="M296" s="357"/>
      <c r="N296" s="357"/>
      <c r="O296" s="357"/>
      <c r="P296" s="358"/>
      <c r="Q296" s="358"/>
      <c r="R296" s="358"/>
      <c r="S296" s="358"/>
      <c r="T296" s="358"/>
      <c r="U296" s="358"/>
      <c r="V296" s="358"/>
      <c r="W296" s="358"/>
      <c r="X296" s="358"/>
      <c r="Y296" s="358"/>
      <c r="Z296" s="358"/>
      <c r="AA296" s="358"/>
      <c r="AB296" s="358"/>
      <c r="AC296" s="358"/>
      <c r="AD296" s="358"/>
      <c r="AE296" s="358"/>
      <c r="AF296" s="358"/>
      <c r="AG296" s="358"/>
      <c r="AH296" s="358"/>
      <c r="AI296" s="358"/>
      <c r="AJ296" s="358"/>
      <c r="AK296" s="358"/>
      <c r="AL296" s="358"/>
      <c r="AM296" s="581"/>
    </row>
    <row r="297" spans="1:39" ht="12.75">
      <c r="A297" s="600"/>
      <c r="B297" s="589"/>
      <c r="C297" s="592"/>
      <c r="D297" s="595"/>
      <c r="E297" s="598"/>
      <c r="F297" s="359" t="s">
        <v>117</v>
      </c>
      <c r="G297" s="355" t="s">
        <v>118</v>
      </c>
      <c r="H297" s="356"/>
      <c r="I297" s="357"/>
      <c r="J297" s="357"/>
      <c r="K297" s="357"/>
      <c r="L297" s="357"/>
      <c r="M297" s="357"/>
      <c r="N297" s="357"/>
      <c r="O297" s="357"/>
      <c r="P297" s="358"/>
      <c r="Q297" s="358"/>
      <c r="R297" s="358"/>
      <c r="S297" s="358"/>
      <c r="T297" s="358"/>
      <c r="U297" s="358"/>
      <c r="V297" s="358"/>
      <c r="W297" s="358"/>
      <c r="X297" s="358"/>
      <c r="Y297" s="358"/>
      <c r="Z297" s="358"/>
      <c r="AA297" s="358"/>
      <c r="AB297" s="358"/>
      <c r="AC297" s="358"/>
      <c r="AD297" s="358"/>
      <c r="AE297" s="358"/>
      <c r="AF297" s="358"/>
      <c r="AG297" s="358"/>
      <c r="AH297" s="358"/>
      <c r="AI297" s="358"/>
      <c r="AJ297" s="358"/>
      <c r="AK297" s="358"/>
      <c r="AL297" s="358"/>
      <c r="AM297" s="581"/>
    </row>
    <row r="298" spans="1:39" ht="12.75">
      <c r="A298" s="600"/>
      <c r="B298" s="589"/>
      <c r="C298" s="592"/>
      <c r="D298" s="595"/>
      <c r="E298" s="585">
        <v>2013</v>
      </c>
      <c r="F298" s="583">
        <f>SUM(H301:AL301)</f>
        <v>1500000</v>
      </c>
      <c r="G298" s="355" t="s">
        <v>122</v>
      </c>
      <c r="H298" s="356"/>
      <c r="I298" s="357"/>
      <c r="J298" s="357"/>
      <c r="K298" s="357"/>
      <c r="L298" s="357"/>
      <c r="M298" s="357"/>
      <c r="N298" s="357"/>
      <c r="O298" s="357"/>
      <c r="P298" s="358"/>
      <c r="Q298" s="358"/>
      <c r="R298" s="358"/>
      <c r="S298" s="358"/>
      <c r="T298" s="358"/>
      <c r="U298" s="358"/>
      <c r="V298" s="358"/>
      <c r="W298" s="358"/>
      <c r="X298" s="358"/>
      <c r="Y298" s="358"/>
      <c r="Z298" s="358"/>
      <c r="AA298" s="358"/>
      <c r="AB298" s="358"/>
      <c r="AC298" s="358"/>
      <c r="AD298" s="358"/>
      <c r="AE298" s="358"/>
      <c r="AF298" s="358"/>
      <c r="AG298" s="358"/>
      <c r="AH298" s="358"/>
      <c r="AI298" s="358"/>
      <c r="AJ298" s="358"/>
      <c r="AK298" s="358"/>
      <c r="AL298" s="358"/>
      <c r="AM298" s="581"/>
    </row>
    <row r="299" spans="1:39" ht="12.75">
      <c r="A299" s="600"/>
      <c r="B299" s="589"/>
      <c r="C299" s="592"/>
      <c r="D299" s="595"/>
      <c r="E299" s="586"/>
      <c r="F299" s="584"/>
      <c r="G299" s="355" t="s">
        <v>123</v>
      </c>
      <c r="H299" s="356"/>
      <c r="I299" s="357"/>
      <c r="J299" s="357"/>
      <c r="K299" s="357"/>
      <c r="L299" s="357"/>
      <c r="M299" s="357"/>
      <c r="N299" s="357"/>
      <c r="O299" s="357"/>
      <c r="P299" s="358"/>
      <c r="Q299" s="358"/>
      <c r="R299" s="358"/>
      <c r="S299" s="358"/>
      <c r="T299" s="358"/>
      <c r="U299" s="358"/>
      <c r="V299" s="358"/>
      <c r="W299" s="358"/>
      <c r="X299" s="358"/>
      <c r="Y299" s="358"/>
      <c r="Z299" s="358"/>
      <c r="AA299" s="358"/>
      <c r="AB299" s="358"/>
      <c r="AC299" s="358"/>
      <c r="AD299" s="358"/>
      <c r="AE299" s="358"/>
      <c r="AF299" s="358"/>
      <c r="AG299" s="358"/>
      <c r="AH299" s="358"/>
      <c r="AI299" s="358"/>
      <c r="AJ299" s="358"/>
      <c r="AK299" s="358"/>
      <c r="AL299" s="358"/>
      <c r="AM299" s="581"/>
    </row>
    <row r="300" spans="1:39" ht="12.75">
      <c r="A300" s="600"/>
      <c r="B300" s="589"/>
      <c r="C300" s="592"/>
      <c r="D300" s="595"/>
      <c r="E300" s="586"/>
      <c r="F300" s="359" t="s">
        <v>121</v>
      </c>
      <c r="G300" s="355" t="s">
        <v>124</v>
      </c>
      <c r="H300" s="360">
        <f aca="true" t="shared" si="72" ref="H300:AL300">H294+H296+H298</f>
        <v>0</v>
      </c>
      <c r="I300" s="361">
        <f t="shared" si="72"/>
        <v>0</v>
      </c>
      <c r="J300" s="361">
        <f t="shared" si="72"/>
        <v>0</v>
      </c>
      <c r="K300" s="361">
        <f t="shared" si="72"/>
        <v>0</v>
      </c>
      <c r="L300" s="361">
        <f t="shared" si="72"/>
        <v>0</v>
      </c>
      <c r="M300" s="361">
        <f t="shared" si="72"/>
        <v>0</v>
      </c>
      <c r="N300" s="361">
        <f t="shared" si="72"/>
        <v>0</v>
      </c>
      <c r="O300" s="361">
        <f t="shared" si="72"/>
        <v>0</v>
      </c>
      <c r="P300" s="361">
        <f t="shared" si="72"/>
        <v>0</v>
      </c>
      <c r="Q300" s="361">
        <f t="shared" si="72"/>
        <v>0</v>
      </c>
      <c r="R300" s="361">
        <f t="shared" si="72"/>
        <v>0</v>
      </c>
      <c r="S300" s="361">
        <f t="shared" si="72"/>
        <v>0</v>
      </c>
      <c r="T300" s="361">
        <f t="shared" si="72"/>
        <v>0</v>
      </c>
      <c r="U300" s="361">
        <f t="shared" si="72"/>
        <v>0</v>
      </c>
      <c r="V300" s="361">
        <f t="shared" si="72"/>
        <v>0</v>
      </c>
      <c r="W300" s="361">
        <f t="shared" si="72"/>
        <v>0</v>
      </c>
      <c r="X300" s="361">
        <f t="shared" si="72"/>
        <v>0</v>
      </c>
      <c r="Y300" s="361">
        <f t="shared" si="72"/>
        <v>0</v>
      </c>
      <c r="Z300" s="361">
        <f t="shared" si="72"/>
        <v>0</v>
      </c>
      <c r="AA300" s="361">
        <f t="shared" si="72"/>
        <v>0</v>
      </c>
      <c r="AB300" s="361">
        <f t="shared" si="72"/>
        <v>0</v>
      </c>
      <c r="AC300" s="361">
        <f t="shared" si="72"/>
        <v>0</v>
      </c>
      <c r="AD300" s="361">
        <f t="shared" si="72"/>
        <v>0</v>
      </c>
      <c r="AE300" s="361">
        <f t="shared" si="72"/>
        <v>0</v>
      </c>
      <c r="AF300" s="361">
        <f t="shared" si="72"/>
        <v>0</v>
      </c>
      <c r="AG300" s="361">
        <f t="shared" si="72"/>
        <v>0</v>
      </c>
      <c r="AH300" s="361">
        <f t="shared" si="72"/>
        <v>0</v>
      </c>
      <c r="AI300" s="361">
        <f t="shared" si="72"/>
        <v>0</v>
      </c>
      <c r="AJ300" s="361">
        <f t="shared" si="72"/>
        <v>0</v>
      </c>
      <c r="AK300" s="361">
        <f t="shared" si="72"/>
        <v>0</v>
      </c>
      <c r="AL300" s="361">
        <f t="shared" si="72"/>
        <v>0</v>
      </c>
      <c r="AM300" s="581"/>
    </row>
    <row r="301" spans="1:39" ht="13.5" thickBot="1">
      <c r="A301" s="601"/>
      <c r="B301" s="590"/>
      <c r="C301" s="593"/>
      <c r="D301" s="596"/>
      <c r="E301" s="587"/>
      <c r="F301" s="363">
        <f>F295+F298</f>
        <v>1500000</v>
      </c>
      <c r="G301" s="364" t="s">
        <v>125</v>
      </c>
      <c r="H301" s="365">
        <f aca="true" t="shared" si="73" ref="H301:AL301">H295+H297+H299</f>
        <v>500000</v>
      </c>
      <c r="I301" s="366">
        <f t="shared" si="73"/>
        <v>300000</v>
      </c>
      <c r="J301" s="366">
        <f t="shared" si="73"/>
        <v>700000</v>
      </c>
      <c r="K301" s="366">
        <f t="shared" si="73"/>
        <v>0</v>
      </c>
      <c r="L301" s="366">
        <f t="shared" si="73"/>
        <v>0</v>
      </c>
      <c r="M301" s="366">
        <f t="shared" si="73"/>
        <v>0</v>
      </c>
      <c r="N301" s="366">
        <f t="shared" si="73"/>
        <v>0</v>
      </c>
      <c r="O301" s="366">
        <f t="shared" si="73"/>
        <v>0</v>
      </c>
      <c r="P301" s="366">
        <f t="shared" si="73"/>
        <v>0</v>
      </c>
      <c r="Q301" s="366">
        <f t="shared" si="73"/>
        <v>0</v>
      </c>
      <c r="R301" s="366">
        <f t="shared" si="73"/>
        <v>0</v>
      </c>
      <c r="S301" s="366">
        <f t="shared" si="73"/>
        <v>0</v>
      </c>
      <c r="T301" s="366">
        <f t="shared" si="73"/>
        <v>0</v>
      </c>
      <c r="U301" s="366">
        <f t="shared" si="73"/>
        <v>0</v>
      </c>
      <c r="V301" s="366">
        <f t="shared" si="73"/>
        <v>0</v>
      </c>
      <c r="W301" s="366">
        <f t="shared" si="73"/>
        <v>0</v>
      </c>
      <c r="X301" s="366">
        <f t="shared" si="73"/>
        <v>0</v>
      </c>
      <c r="Y301" s="366">
        <f t="shared" si="73"/>
        <v>0</v>
      </c>
      <c r="Z301" s="366">
        <f t="shared" si="73"/>
        <v>0</v>
      </c>
      <c r="AA301" s="366">
        <f t="shared" si="73"/>
        <v>0</v>
      </c>
      <c r="AB301" s="366">
        <f t="shared" si="73"/>
        <v>0</v>
      </c>
      <c r="AC301" s="366">
        <f t="shared" si="73"/>
        <v>0</v>
      </c>
      <c r="AD301" s="366">
        <f t="shared" si="73"/>
        <v>0</v>
      </c>
      <c r="AE301" s="366">
        <f t="shared" si="73"/>
        <v>0</v>
      </c>
      <c r="AF301" s="366">
        <f t="shared" si="73"/>
        <v>0</v>
      </c>
      <c r="AG301" s="366">
        <f t="shared" si="73"/>
        <v>0</v>
      </c>
      <c r="AH301" s="366">
        <f t="shared" si="73"/>
        <v>0</v>
      </c>
      <c r="AI301" s="366">
        <f t="shared" si="73"/>
        <v>0</v>
      </c>
      <c r="AJ301" s="366">
        <f t="shared" si="73"/>
        <v>0</v>
      </c>
      <c r="AK301" s="366">
        <f t="shared" si="73"/>
        <v>0</v>
      </c>
      <c r="AL301" s="366">
        <f t="shared" si="73"/>
        <v>0</v>
      </c>
      <c r="AM301" s="582"/>
    </row>
    <row r="302" spans="1:39" ht="12.75">
      <c r="A302" s="599">
        <v>38</v>
      </c>
      <c r="B302" s="588" t="s">
        <v>219</v>
      </c>
      <c r="C302" s="591">
        <v>92106</v>
      </c>
      <c r="D302" s="594" t="s">
        <v>188</v>
      </c>
      <c r="E302" s="597">
        <v>2010</v>
      </c>
      <c r="F302" s="350" t="s">
        <v>113</v>
      </c>
      <c r="G302" s="351" t="s">
        <v>114</v>
      </c>
      <c r="H302" s="352"/>
      <c r="I302" s="353"/>
      <c r="J302" s="353"/>
      <c r="K302" s="353"/>
      <c r="L302" s="353"/>
      <c r="M302" s="353"/>
      <c r="N302" s="353"/>
      <c r="O302" s="353"/>
      <c r="P302" s="354"/>
      <c r="Q302" s="354"/>
      <c r="R302" s="354"/>
      <c r="S302" s="354"/>
      <c r="T302" s="354"/>
      <c r="U302" s="354"/>
      <c r="V302" s="354"/>
      <c r="W302" s="354"/>
      <c r="X302" s="354"/>
      <c r="Y302" s="354"/>
      <c r="Z302" s="354"/>
      <c r="AA302" s="354"/>
      <c r="AB302" s="354"/>
      <c r="AC302" s="354"/>
      <c r="AD302" s="354"/>
      <c r="AE302" s="354"/>
      <c r="AF302" s="354"/>
      <c r="AG302" s="354"/>
      <c r="AH302" s="354"/>
      <c r="AI302" s="354"/>
      <c r="AJ302" s="354"/>
      <c r="AK302" s="354"/>
      <c r="AL302" s="354"/>
      <c r="AM302" s="580">
        <f>SUM(J308:AL309)</f>
        <v>3930076</v>
      </c>
    </row>
    <row r="303" spans="1:39" ht="12.75">
      <c r="A303" s="600"/>
      <c r="B303" s="589"/>
      <c r="C303" s="592"/>
      <c r="D303" s="595"/>
      <c r="E303" s="586"/>
      <c r="F303" s="583">
        <f>SUM(H308:AL308)</f>
        <v>0</v>
      </c>
      <c r="G303" s="355" t="s">
        <v>115</v>
      </c>
      <c r="H303" s="356">
        <f>910400+3619430</f>
        <v>4529830</v>
      </c>
      <c r="I303" s="357">
        <v>4293498</v>
      </c>
      <c r="J303" s="357">
        <v>3930076</v>
      </c>
      <c r="K303" s="357"/>
      <c r="L303" s="357"/>
      <c r="M303" s="357"/>
      <c r="N303" s="357"/>
      <c r="O303" s="357"/>
      <c r="P303" s="358"/>
      <c r="Q303" s="358"/>
      <c r="R303" s="358"/>
      <c r="S303" s="358"/>
      <c r="T303" s="358"/>
      <c r="U303" s="358"/>
      <c r="V303" s="358"/>
      <c r="W303" s="358"/>
      <c r="X303" s="358"/>
      <c r="Y303" s="358"/>
      <c r="Z303" s="358"/>
      <c r="AA303" s="358"/>
      <c r="AB303" s="358"/>
      <c r="AC303" s="358"/>
      <c r="AD303" s="358"/>
      <c r="AE303" s="358"/>
      <c r="AF303" s="358"/>
      <c r="AG303" s="358"/>
      <c r="AH303" s="358"/>
      <c r="AI303" s="358"/>
      <c r="AJ303" s="358"/>
      <c r="AK303" s="358"/>
      <c r="AL303" s="358"/>
      <c r="AM303" s="581"/>
    </row>
    <row r="304" spans="1:39" ht="12.75">
      <c r="A304" s="600"/>
      <c r="B304" s="589"/>
      <c r="C304" s="592"/>
      <c r="D304" s="595"/>
      <c r="E304" s="586"/>
      <c r="F304" s="584"/>
      <c r="G304" s="355" t="s">
        <v>116</v>
      </c>
      <c r="H304" s="356"/>
      <c r="I304" s="357"/>
      <c r="J304" s="357"/>
      <c r="K304" s="357"/>
      <c r="L304" s="357"/>
      <c r="M304" s="357"/>
      <c r="N304" s="357"/>
      <c r="O304" s="357"/>
      <c r="P304" s="358"/>
      <c r="Q304" s="358"/>
      <c r="R304" s="358"/>
      <c r="S304" s="358"/>
      <c r="T304" s="358"/>
      <c r="U304" s="358"/>
      <c r="V304" s="358"/>
      <c r="W304" s="358"/>
      <c r="X304" s="358"/>
      <c r="Y304" s="358"/>
      <c r="Z304" s="358"/>
      <c r="AA304" s="358"/>
      <c r="AB304" s="358"/>
      <c r="AC304" s="358"/>
      <c r="AD304" s="358"/>
      <c r="AE304" s="358"/>
      <c r="AF304" s="358"/>
      <c r="AG304" s="358"/>
      <c r="AH304" s="358"/>
      <c r="AI304" s="358"/>
      <c r="AJ304" s="358"/>
      <c r="AK304" s="358"/>
      <c r="AL304" s="358"/>
      <c r="AM304" s="581"/>
    </row>
    <row r="305" spans="1:39" ht="12.75">
      <c r="A305" s="600"/>
      <c r="B305" s="589"/>
      <c r="C305" s="592"/>
      <c r="D305" s="595"/>
      <c r="E305" s="598"/>
      <c r="F305" s="359" t="s">
        <v>117</v>
      </c>
      <c r="G305" s="355" t="s">
        <v>118</v>
      </c>
      <c r="H305" s="356"/>
      <c r="I305" s="357"/>
      <c r="J305" s="357"/>
      <c r="K305" s="357"/>
      <c r="L305" s="357"/>
      <c r="M305" s="357"/>
      <c r="N305" s="357"/>
      <c r="O305" s="357"/>
      <c r="P305" s="358"/>
      <c r="Q305" s="358"/>
      <c r="R305" s="358"/>
      <c r="S305" s="358"/>
      <c r="T305" s="358"/>
      <c r="U305" s="358"/>
      <c r="V305" s="358"/>
      <c r="W305" s="358"/>
      <c r="X305" s="358"/>
      <c r="Y305" s="358"/>
      <c r="Z305" s="358"/>
      <c r="AA305" s="358"/>
      <c r="AB305" s="358"/>
      <c r="AC305" s="358"/>
      <c r="AD305" s="358"/>
      <c r="AE305" s="358"/>
      <c r="AF305" s="358"/>
      <c r="AG305" s="358"/>
      <c r="AH305" s="358"/>
      <c r="AI305" s="358"/>
      <c r="AJ305" s="358"/>
      <c r="AK305" s="358"/>
      <c r="AL305" s="358"/>
      <c r="AM305" s="581"/>
    </row>
    <row r="306" spans="1:39" ht="12.75">
      <c r="A306" s="600"/>
      <c r="B306" s="589"/>
      <c r="C306" s="592"/>
      <c r="D306" s="595"/>
      <c r="E306" s="585">
        <v>2013</v>
      </c>
      <c r="F306" s="583">
        <f>SUM(H309:AL309)</f>
        <v>12753404</v>
      </c>
      <c r="G306" s="355" t="s">
        <v>122</v>
      </c>
      <c r="H306" s="356"/>
      <c r="I306" s="357"/>
      <c r="J306" s="357"/>
      <c r="K306" s="357"/>
      <c r="L306" s="357"/>
      <c r="M306" s="357"/>
      <c r="N306" s="357"/>
      <c r="O306" s="357"/>
      <c r="P306" s="358"/>
      <c r="Q306" s="358"/>
      <c r="R306" s="358"/>
      <c r="S306" s="358"/>
      <c r="T306" s="358"/>
      <c r="U306" s="358"/>
      <c r="V306" s="358"/>
      <c r="W306" s="358"/>
      <c r="X306" s="358"/>
      <c r="Y306" s="358"/>
      <c r="Z306" s="358"/>
      <c r="AA306" s="358"/>
      <c r="AB306" s="358"/>
      <c r="AC306" s="358"/>
      <c r="AD306" s="358"/>
      <c r="AE306" s="358"/>
      <c r="AF306" s="358"/>
      <c r="AG306" s="358"/>
      <c r="AH306" s="358"/>
      <c r="AI306" s="358"/>
      <c r="AJ306" s="358"/>
      <c r="AK306" s="358"/>
      <c r="AL306" s="358"/>
      <c r="AM306" s="581"/>
    </row>
    <row r="307" spans="1:39" ht="12.75">
      <c r="A307" s="600"/>
      <c r="B307" s="589"/>
      <c r="C307" s="592"/>
      <c r="D307" s="595"/>
      <c r="E307" s="586"/>
      <c r="F307" s="584"/>
      <c r="G307" s="355" t="s">
        <v>123</v>
      </c>
      <c r="H307" s="356"/>
      <c r="I307" s="357"/>
      <c r="J307" s="357"/>
      <c r="K307" s="357"/>
      <c r="L307" s="357"/>
      <c r="M307" s="357"/>
      <c r="N307" s="357"/>
      <c r="O307" s="357"/>
      <c r="P307" s="358"/>
      <c r="Q307" s="358"/>
      <c r="R307" s="358"/>
      <c r="S307" s="358"/>
      <c r="T307" s="358"/>
      <c r="U307" s="358"/>
      <c r="V307" s="358"/>
      <c r="W307" s="358"/>
      <c r="X307" s="358"/>
      <c r="Y307" s="358"/>
      <c r="Z307" s="358"/>
      <c r="AA307" s="358"/>
      <c r="AB307" s="358"/>
      <c r="AC307" s="358"/>
      <c r="AD307" s="358"/>
      <c r="AE307" s="358"/>
      <c r="AF307" s="358"/>
      <c r="AG307" s="358"/>
      <c r="AH307" s="358"/>
      <c r="AI307" s="358"/>
      <c r="AJ307" s="358"/>
      <c r="AK307" s="358"/>
      <c r="AL307" s="358"/>
      <c r="AM307" s="581"/>
    </row>
    <row r="308" spans="1:39" ht="11.25" customHeight="1">
      <c r="A308" s="600"/>
      <c r="B308" s="589"/>
      <c r="C308" s="592"/>
      <c r="D308" s="595"/>
      <c r="E308" s="586"/>
      <c r="F308" s="359" t="s">
        <v>121</v>
      </c>
      <c r="G308" s="355" t="s">
        <v>124</v>
      </c>
      <c r="H308" s="360">
        <f aca="true" t="shared" si="74" ref="H308:AL308">H302+H304+H306</f>
        <v>0</v>
      </c>
      <c r="I308" s="361">
        <f t="shared" si="74"/>
        <v>0</v>
      </c>
      <c r="J308" s="361">
        <f t="shared" si="74"/>
        <v>0</v>
      </c>
      <c r="K308" s="361">
        <f t="shared" si="74"/>
        <v>0</v>
      </c>
      <c r="L308" s="361">
        <f t="shared" si="74"/>
        <v>0</v>
      </c>
      <c r="M308" s="361">
        <f t="shared" si="74"/>
        <v>0</v>
      </c>
      <c r="N308" s="361">
        <f t="shared" si="74"/>
        <v>0</v>
      </c>
      <c r="O308" s="361">
        <f t="shared" si="74"/>
        <v>0</v>
      </c>
      <c r="P308" s="361">
        <f t="shared" si="74"/>
        <v>0</v>
      </c>
      <c r="Q308" s="361">
        <f t="shared" si="74"/>
        <v>0</v>
      </c>
      <c r="R308" s="361">
        <f t="shared" si="74"/>
        <v>0</v>
      </c>
      <c r="S308" s="361">
        <f t="shared" si="74"/>
        <v>0</v>
      </c>
      <c r="T308" s="361">
        <f t="shared" si="74"/>
        <v>0</v>
      </c>
      <c r="U308" s="361">
        <f t="shared" si="74"/>
        <v>0</v>
      </c>
      <c r="V308" s="361">
        <f t="shared" si="74"/>
        <v>0</v>
      </c>
      <c r="W308" s="361">
        <f t="shared" si="74"/>
        <v>0</v>
      </c>
      <c r="X308" s="361">
        <f t="shared" si="74"/>
        <v>0</v>
      </c>
      <c r="Y308" s="361">
        <f t="shared" si="74"/>
        <v>0</v>
      </c>
      <c r="Z308" s="361">
        <f t="shared" si="74"/>
        <v>0</v>
      </c>
      <c r="AA308" s="361">
        <f t="shared" si="74"/>
        <v>0</v>
      </c>
      <c r="AB308" s="361">
        <f t="shared" si="74"/>
        <v>0</v>
      </c>
      <c r="AC308" s="361">
        <f t="shared" si="74"/>
        <v>0</v>
      </c>
      <c r="AD308" s="361">
        <f t="shared" si="74"/>
        <v>0</v>
      </c>
      <c r="AE308" s="361">
        <f t="shared" si="74"/>
        <v>0</v>
      </c>
      <c r="AF308" s="361">
        <f t="shared" si="74"/>
        <v>0</v>
      </c>
      <c r="AG308" s="361">
        <f t="shared" si="74"/>
        <v>0</v>
      </c>
      <c r="AH308" s="361">
        <f t="shared" si="74"/>
        <v>0</v>
      </c>
      <c r="AI308" s="361">
        <f t="shared" si="74"/>
        <v>0</v>
      </c>
      <c r="AJ308" s="361">
        <f t="shared" si="74"/>
        <v>0</v>
      </c>
      <c r="AK308" s="361">
        <f t="shared" si="74"/>
        <v>0</v>
      </c>
      <c r="AL308" s="361">
        <f t="shared" si="74"/>
        <v>0</v>
      </c>
      <c r="AM308" s="581"/>
    </row>
    <row r="309" spans="1:39" ht="13.5" thickBot="1">
      <c r="A309" s="601"/>
      <c r="B309" s="590"/>
      <c r="C309" s="593"/>
      <c r="D309" s="596"/>
      <c r="E309" s="587"/>
      <c r="F309" s="363">
        <f>F303+F306</f>
        <v>12753404</v>
      </c>
      <c r="G309" s="364" t="s">
        <v>125</v>
      </c>
      <c r="H309" s="365">
        <f aca="true" t="shared" si="75" ref="H309:AL309">H303+H305+H307</f>
        <v>4529830</v>
      </c>
      <c r="I309" s="366">
        <f t="shared" si="75"/>
        <v>4293498</v>
      </c>
      <c r="J309" s="366">
        <f t="shared" si="75"/>
        <v>3930076</v>
      </c>
      <c r="K309" s="366">
        <f t="shared" si="75"/>
        <v>0</v>
      </c>
      <c r="L309" s="366">
        <f t="shared" si="75"/>
        <v>0</v>
      </c>
      <c r="M309" s="366">
        <f t="shared" si="75"/>
        <v>0</v>
      </c>
      <c r="N309" s="366">
        <f t="shared" si="75"/>
        <v>0</v>
      </c>
      <c r="O309" s="366">
        <f t="shared" si="75"/>
        <v>0</v>
      </c>
      <c r="P309" s="366">
        <f t="shared" si="75"/>
        <v>0</v>
      </c>
      <c r="Q309" s="366">
        <f t="shared" si="75"/>
        <v>0</v>
      </c>
      <c r="R309" s="366">
        <f t="shared" si="75"/>
        <v>0</v>
      </c>
      <c r="S309" s="366">
        <f t="shared" si="75"/>
        <v>0</v>
      </c>
      <c r="T309" s="366">
        <f t="shared" si="75"/>
        <v>0</v>
      </c>
      <c r="U309" s="366">
        <f t="shared" si="75"/>
        <v>0</v>
      </c>
      <c r="V309" s="366">
        <f t="shared" si="75"/>
        <v>0</v>
      </c>
      <c r="W309" s="366">
        <f t="shared" si="75"/>
        <v>0</v>
      </c>
      <c r="X309" s="366">
        <f t="shared" si="75"/>
        <v>0</v>
      </c>
      <c r="Y309" s="366">
        <f t="shared" si="75"/>
        <v>0</v>
      </c>
      <c r="Z309" s="366">
        <f t="shared" si="75"/>
        <v>0</v>
      </c>
      <c r="AA309" s="366">
        <f t="shared" si="75"/>
        <v>0</v>
      </c>
      <c r="AB309" s="366">
        <f t="shared" si="75"/>
        <v>0</v>
      </c>
      <c r="AC309" s="366">
        <f t="shared" si="75"/>
        <v>0</v>
      </c>
      <c r="AD309" s="366">
        <f t="shared" si="75"/>
        <v>0</v>
      </c>
      <c r="AE309" s="366">
        <f t="shared" si="75"/>
        <v>0</v>
      </c>
      <c r="AF309" s="366">
        <f t="shared" si="75"/>
        <v>0</v>
      </c>
      <c r="AG309" s="366">
        <f t="shared" si="75"/>
        <v>0</v>
      </c>
      <c r="AH309" s="366">
        <f t="shared" si="75"/>
        <v>0</v>
      </c>
      <c r="AI309" s="366">
        <f t="shared" si="75"/>
        <v>0</v>
      </c>
      <c r="AJ309" s="366">
        <f t="shared" si="75"/>
        <v>0</v>
      </c>
      <c r="AK309" s="366">
        <f t="shared" si="75"/>
        <v>0</v>
      </c>
      <c r="AL309" s="366">
        <f t="shared" si="75"/>
        <v>0</v>
      </c>
      <c r="AM309" s="582"/>
    </row>
    <row r="310" spans="1:39" ht="12.75">
      <c r="A310" s="599">
        <v>39</v>
      </c>
      <c r="B310" s="588" t="s">
        <v>220</v>
      </c>
      <c r="C310" s="591">
        <v>92116</v>
      </c>
      <c r="D310" s="594" t="s">
        <v>188</v>
      </c>
      <c r="E310" s="597">
        <v>2011</v>
      </c>
      <c r="F310" s="350" t="s">
        <v>113</v>
      </c>
      <c r="G310" s="351" t="s">
        <v>114</v>
      </c>
      <c r="H310" s="352"/>
      <c r="I310" s="353"/>
      <c r="J310" s="353"/>
      <c r="K310" s="353"/>
      <c r="L310" s="353"/>
      <c r="M310" s="353"/>
      <c r="N310" s="353"/>
      <c r="O310" s="353"/>
      <c r="P310" s="354"/>
      <c r="Q310" s="354"/>
      <c r="R310" s="354"/>
      <c r="S310" s="354"/>
      <c r="T310" s="354"/>
      <c r="U310" s="354"/>
      <c r="V310" s="354"/>
      <c r="W310" s="354"/>
      <c r="X310" s="354"/>
      <c r="Y310" s="354"/>
      <c r="Z310" s="354"/>
      <c r="AA310" s="354"/>
      <c r="AB310" s="354"/>
      <c r="AC310" s="354"/>
      <c r="AD310" s="354"/>
      <c r="AE310" s="354"/>
      <c r="AF310" s="354"/>
      <c r="AG310" s="354"/>
      <c r="AH310" s="354"/>
      <c r="AI310" s="354"/>
      <c r="AJ310" s="354"/>
      <c r="AK310" s="354"/>
      <c r="AL310" s="354"/>
      <c r="AM310" s="580">
        <f>SUM(J316:AL317)</f>
        <v>0</v>
      </c>
    </row>
    <row r="311" spans="1:39" ht="12.75">
      <c r="A311" s="600"/>
      <c r="B311" s="589"/>
      <c r="C311" s="592"/>
      <c r="D311" s="595"/>
      <c r="E311" s="586"/>
      <c r="F311" s="583">
        <f>SUM(H316:AL316)</f>
        <v>0</v>
      </c>
      <c r="G311" s="355" t="s">
        <v>115</v>
      </c>
      <c r="H311" s="356">
        <f>900000</f>
        <v>900000</v>
      </c>
      <c r="I311" s="357">
        <v>200000</v>
      </c>
      <c r="J311" s="357"/>
      <c r="K311" s="357"/>
      <c r="L311" s="357"/>
      <c r="M311" s="357"/>
      <c r="N311" s="357"/>
      <c r="O311" s="357"/>
      <c r="P311" s="358"/>
      <c r="Q311" s="358"/>
      <c r="R311" s="358"/>
      <c r="S311" s="358"/>
      <c r="T311" s="358"/>
      <c r="U311" s="358"/>
      <c r="V311" s="358"/>
      <c r="W311" s="358"/>
      <c r="X311" s="358"/>
      <c r="Y311" s="358"/>
      <c r="Z311" s="358"/>
      <c r="AA311" s="358"/>
      <c r="AB311" s="358"/>
      <c r="AC311" s="358"/>
      <c r="AD311" s="358"/>
      <c r="AE311" s="358"/>
      <c r="AF311" s="358"/>
      <c r="AG311" s="358"/>
      <c r="AH311" s="358"/>
      <c r="AI311" s="358"/>
      <c r="AJ311" s="358"/>
      <c r="AK311" s="358"/>
      <c r="AL311" s="358"/>
      <c r="AM311" s="581"/>
    </row>
    <row r="312" spans="1:39" ht="12.75">
      <c r="A312" s="600"/>
      <c r="B312" s="589"/>
      <c r="C312" s="592"/>
      <c r="D312" s="595"/>
      <c r="E312" s="586"/>
      <c r="F312" s="584"/>
      <c r="G312" s="355" t="s">
        <v>116</v>
      </c>
      <c r="H312" s="356"/>
      <c r="I312" s="357"/>
      <c r="J312" s="357"/>
      <c r="K312" s="357"/>
      <c r="L312" s="357"/>
      <c r="M312" s="357"/>
      <c r="N312" s="357"/>
      <c r="O312" s="357"/>
      <c r="P312" s="358"/>
      <c r="Q312" s="358"/>
      <c r="R312" s="358"/>
      <c r="S312" s="358"/>
      <c r="T312" s="358"/>
      <c r="U312" s="358"/>
      <c r="V312" s="358"/>
      <c r="W312" s="358"/>
      <c r="X312" s="358"/>
      <c r="Y312" s="358"/>
      <c r="Z312" s="358"/>
      <c r="AA312" s="358"/>
      <c r="AB312" s="358"/>
      <c r="AC312" s="358"/>
      <c r="AD312" s="358"/>
      <c r="AE312" s="358"/>
      <c r="AF312" s="358"/>
      <c r="AG312" s="358"/>
      <c r="AH312" s="358"/>
      <c r="AI312" s="358"/>
      <c r="AJ312" s="358"/>
      <c r="AK312" s="358"/>
      <c r="AL312" s="358"/>
      <c r="AM312" s="581"/>
    </row>
    <row r="313" spans="1:39" ht="12.75">
      <c r="A313" s="600"/>
      <c r="B313" s="589"/>
      <c r="C313" s="592"/>
      <c r="D313" s="595"/>
      <c r="E313" s="598"/>
      <c r="F313" s="359" t="s">
        <v>117</v>
      </c>
      <c r="G313" s="355" t="s">
        <v>118</v>
      </c>
      <c r="H313" s="356"/>
      <c r="I313" s="357"/>
      <c r="J313" s="357"/>
      <c r="K313" s="357"/>
      <c r="L313" s="357"/>
      <c r="M313" s="357"/>
      <c r="N313" s="357"/>
      <c r="O313" s="357"/>
      <c r="P313" s="358"/>
      <c r="Q313" s="358"/>
      <c r="R313" s="358"/>
      <c r="S313" s="358"/>
      <c r="T313" s="358"/>
      <c r="U313" s="358"/>
      <c r="V313" s="358"/>
      <c r="W313" s="358"/>
      <c r="X313" s="358"/>
      <c r="Y313" s="358"/>
      <c r="Z313" s="358"/>
      <c r="AA313" s="358"/>
      <c r="AB313" s="358"/>
      <c r="AC313" s="358"/>
      <c r="AD313" s="358"/>
      <c r="AE313" s="358"/>
      <c r="AF313" s="358"/>
      <c r="AG313" s="358"/>
      <c r="AH313" s="358"/>
      <c r="AI313" s="358"/>
      <c r="AJ313" s="358"/>
      <c r="AK313" s="358"/>
      <c r="AL313" s="358"/>
      <c r="AM313" s="581"/>
    </row>
    <row r="314" spans="1:39" ht="12.75">
      <c r="A314" s="600"/>
      <c r="B314" s="589"/>
      <c r="C314" s="592"/>
      <c r="D314" s="595"/>
      <c r="E314" s="585">
        <v>2012</v>
      </c>
      <c r="F314" s="583">
        <f>SUM(H317:AL317)</f>
        <v>1100000</v>
      </c>
      <c r="G314" s="355" t="s">
        <v>122</v>
      </c>
      <c r="H314" s="356"/>
      <c r="I314" s="357"/>
      <c r="J314" s="357"/>
      <c r="K314" s="357"/>
      <c r="L314" s="357"/>
      <c r="M314" s="357"/>
      <c r="N314" s="357"/>
      <c r="O314" s="357"/>
      <c r="P314" s="358"/>
      <c r="Q314" s="358"/>
      <c r="R314" s="358"/>
      <c r="S314" s="358"/>
      <c r="T314" s="358"/>
      <c r="U314" s="358"/>
      <c r="V314" s="358"/>
      <c r="W314" s="358"/>
      <c r="X314" s="358"/>
      <c r="Y314" s="358"/>
      <c r="Z314" s="358"/>
      <c r="AA314" s="358"/>
      <c r="AB314" s="358"/>
      <c r="AC314" s="358"/>
      <c r="AD314" s="358"/>
      <c r="AE314" s="358"/>
      <c r="AF314" s="358"/>
      <c r="AG314" s="358"/>
      <c r="AH314" s="358"/>
      <c r="AI314" s="358"/>
      <c r="AJ314" s="358"/>
      <c r="AK314" s="358"/>
      <c r="AL314" s="358"/>
      <c r="AM314" s="581"/>
    </row>
    <row r="315" spans="1:39" ht="12.75">
      <c r="A315" s="600"/>
      <c r="B315" s="589"/>
      <c r="C315" s="592"/>
      <c r="D315" s="595"/>
      <c r="E315" s="586"/>
      <c r="F315" s="584"/>
      <c r="G315" s="355" t="s">
        <v>123</v>
      </c>
      <c r="H315" s="356"/>
      <c r="I315" s="357"/>
      <c r="J315" s="357"/>
      <c r="K315" s="357"/>
      <c r="L315" s="357"/>
      <c r="M315" s="357"/>
      <c r="N315" s="357"/>
      <c r="O315" s="357"/>
      <c r="P315" s="358"/>
      <c r="Q315" s="358"/>
      <c r="R315" s="358"/>
      <c r="S315" s="358"/>
      <c r="T315" s="358"/>
      <c r="U315" s="358"/>
      <c r="V315" s="358"/>
      <c r="W315" s="358"/>
      <c r="X315" s="358"/>
      <c r="Y315" s="358"/>
      <c r="Z315" s="358"/>
      <c r="AA315" s="358"/>
      <c r="AB315" s="358"/>
      <c r="AC315" s="358"/>
      <c r="AD315" s="358"/>
      <c r="AE315" s="358"/>
      <c r="AF315" s="358"/>
      <c r="AG315" s="358"/>
      <c r="AH315" s="358"/>
      <c r="AI315" s="358"/>
      <c r="AJ315" s="358"/>
      <c r="AK315" s="358"/>
      <c r="AL315" s="358"/>
      <c r="AM315" s="581"/>
    </row>
    <row r="316" spans="1:39" ht="12.75">
      <c r="A316" s="600"/>
      <c r="B316" s="589"/>
      <c r="C316" s="592"/>
      <c r="D316" s="595"/>
      <c r="E316" s="586"/>
      <c r="F316" s="359" t="s">
        <v>121</v>
      </c>
      <c r="G316" s="355" t="s">
        <v>124</v>
      </c>
      <c r="H316" s="360">
        <f aca="true" t="shared" si="76" ref="H316:AL316">H310+H312+H314</f>
        <v>0</v>
      </c>
      <c r="I316" s="361">
        <f t="shared" si="76"/>
        <v>0</v>
      </c>
      <c r="J316" s="361">
        <f t="shared" si="76"/>
        <v>0</v>
      </c>
      <c r="K316" s="361">
        <f t="shared" si="76"/>
        <v>0</v>
      </c>
      <c r="L316" s="361">
        <f t="shared" si="76"/>
        <v>0</v>
      </c>
      <c r="M316" s="361">
        <f t="shared" si="76"/>
        <v>0</v>
      </c>
      <c r="N316" s="361">
        <f t="shared" si="76"/>
        <v>0</v>
      </c>
      <c r="O316" s="361">
        <f t="shared" si="76"/>
        <v>0</v>
      </c>
      <c r="P316" s="361">
        <f t="shared" si="76"/>
        <v>0</v>
      </c>
      <c r="Q316" s="361">
        <f t="shared" si="76"/>
        <v>0</v>
      </c>
      <c r="R316" s="361">
        <f t="shared" si="76"/>
        <v>0</v>
      </c>
      <c r="S316" s="361">
        <f t="shared" si="76"/>
        <v>0</v>
      </c>
      <c r="T316" s="361">
        <f t="shared" si="76"/>
        <v>0</v>
      </c>
      <c r="U316" s="361">
        <f t="shared" si="76"/>
        <v>0</v>
      </c>
      <c r="V316" s="361">
        <f t="shared" si="76"/>
        <v>0</v>
      </c>
      <c r="W316" s="361">
        <f t="shared" si="76"/>
        <v>0</v>
      </c>
      <c r="X316" s="361">
        <f t="shared" si="76"/>
        <v>0</v>
      </c>
      <c r="Y316" s="361">
        <f t="shared" si="76"/>
        <v>0</v>
      </c>
      <c r="Z316" s="361">
        <f t="shared" si="76"/>
        <v>0</v>
      </c>
      <c r="AA316" s="361">
        <f t="shared" si="76"/>
        <v>0</v>
      </c>
      <c r="AB316" s="361">
        <f t="shared" si="76"/>
        <v>0</v>
      </c>
      <c r="AC316" s="361">
        <f t="shared" si="76"/>
        <v>0</v>
      </c>
      <c r="AD316" s="361">
        <f t="shared" si="76"/>
        <v>0</v>
      </c>
      <c r="AE316" s="361">
        <f t="shared" si="76"/>
        <v>0</v>
      </c>
      <c r="AF316" s="361">
        <f t="shared" si="76"/>
        <v>0</v>
      </c>
      <c r="AG316" s="361">
        <f t="shared" si="76"/>
        <v>0</v>
      </c>
      <c r="AH316" s="361">
        <f t="shared" si="76"/>
        <v>0</v>
      </c>
      <c r="AI316" s="361">
        <f t="shared" si="76"/>
        <v>0</v>
      </c>
      <c r="AJ316" s="361">
        <f t="shared" si="76"/>
        <v>0</v>
      </c>
      <c r="AK316" s="361">
        <f t="shared" si="76"/>
        <v>0</v>
      </c>
      <c r="AL316" s="361">
        <f t="shared" si="76"/>
        <v>0</v>
      </c>
      <c r="AM316" s="581"/>
    </row>
    <row r="317" spans="1:39" ht="13.5" thickBot="1">
      <c r="A317" s="601"/>
      <c r="B317" s="590"/>
      <c r="C317" s="593"/>
      <c r="D317" s="596"/>
      <c r="E317" s="587"/>
      <c r="F317" s="363">
        <f>F311+F314</f>
        <v>1100000</v>
      </c>
      <c r="G317" s="364" t="s">
        <v>125</v>
      </c>
      <c r="H317" s="365">
        <f aca="true" t="shared" si="77" ref="H317:AL317">H311+H313+H315</f>
        <v>900000</v>
      </c>
      <c r="I317" s="366">
        <f t="shared" si="77"/>
        <v>200000</v>
      </c>
      <c r="J317" s="366">
        <f t="shared" si="77"/>
        <v>0</v>
      </c>
      <c r="K317" s="366">
        <f t="shared" si="77"/>
        <v>0</v>
      </c>
      <c r="L317" s="366">
        <f t="shared" si="77"/>
        <v>0</v>
      </c>
      <c r="M317" s="366">
        <f t="shared" si="77"/>
        <v>0</v>
      </c>
      <c r="N317" s="366">
        <f t="shared" si="77"/>
        <v>0</v>
      </c>
      <c r="O317" s="366">
        <f t="shared" si="77"/>
        <v>0</v>
      </c>
      <c r="P317" s="366">
        <f t="shared" si="77"/>
        <v>0</v>
      </c>
      <c r="Q317" s="366">
        <f t="shared" si="77"/>
        <v>0</v>
      </c>
      <c r="R317" s="366">
        <f t="shared" si="77"/>
        <v>0</v>
      </c>
      <c r="S317" s="366">
        <f t="shared" si="77"/>
        <v>0</v>
      </c>
      <c r="T317" s="366">
        <f t="shared" si="77"/>
        <v>0</v>
      </c>
      <c r="U317" s="366">
        <f t="shared" si="77"/>
        <v>0</v>
      </c>
      <c r="V317" s="366">
        <f t="shared" si="77"/>
        <v>0</v>
      </c>
      <c r="W317" s="366">
        <f t="shared" si="77"/>
        <v>0</v>
      </c>
      <c r="X317" s="366">
        <f t="shared" si="77"/>
        <v>0</v>
      </c>
      <c r="Y317" s="366">
        <f t="shared" si="77"/>
        <v>0</v>
      </c>
      <c r="Z317" s="366">
        <f t="shared" si="77"/>
        <v>0</v>
      </c>
      <c r="AA317" s="366">
        <f t="shared" si="77"/>
        <v>0</v>
      </c>
      <c r="AB317" s="366">
        <f t="shared" si="77"/>
        <v>0</v>
      </c>
      <c r="AC317" s="366">
        <f t="shared" si="77"/>
        <v>0</v>
      </c>
      <c r="AD317" s="366">
        <f t="shared" si="77"/>
        <v>0</v>
      </c>
      <c r="AE317" s="366">
        <f t="shared" si="77"/>
        <v>0</v>
      </c>
      <c r="AF317" s="366">
        <f t="shared" si="77"/>
        <v>0</v>
      </c>
      <c r="AG317" s="366">
        <f t="shared" si="77"/>
        <v>0</v>
      </c>
      <c r="AH317" s="366">
        <f t="shared" si="77"/>
        <v>0</v>
      </c>
      <c r="AI317" s="366">
        <f t="shared" si="77"/>
        <v>0</v>
      </c>
      <c r="AJ317" s="366">
        <f t="shared" si="77"/>
        <v>0</v>
      </c>
      <c r="AK317" s="366">
        <f t="shared" si="77"/>
        <v>0</v>
      </c>
      <c r="AL317" s="366">
        <f t="shared" si="77"/>
        <v>0</v>
      </c>
      <c r="AM317" s="582"/>
    </row>
    <row r="318" spans="1:39" ht="18" customHeight="1">
      <c r="A318" s="599">
        <v>40</v>
      </c>
      <c r="B318" s="588" t="s">
        <v>221</v>
      </c>
      <c r="C318" s="591">
        <v>92118</v>
      </c>
      <c r="D318" s="594" t="s">
        <v>222</v>
      </c>
      <c r="E318" s="597">
        <v>2013</v>
      </c>
      <c r="F318" s="350" t="s">
        <v>113</v>
      </c>
      <c r="G318" s="351" t="s">
        <v>200</v>
      </c>
      <c r="H318" s="352"/>
      <c r="I318" s="353"/>
      <c r="J318" s="353"/>
      <c r="K318" s="353"/>
      <c r="L318" s="353"/>
      <c r="M318" s="353"/>
      <c r="N318" s="353"/>
      <c r="O318" s="353"/>
      <c r="P318" s="354"/>
      <c r="Q318" s="354"/>
      <c r="R318" s="354"/>
      <c r="S318" s="354"/>
      <c r="T318" s="354"/>
      <c r="U318" s="354"/>
      <c r="V318" s="354"/>
      <c r="W318" s="354"/>
      <c r="X318" s="354"/>
      <c r="Y318" s="354"/>
      <c r="Z318" s="354"/>
      <c r="AA318" s="354"/>
      <c r="AB318" s="354"/>
      <c r="AC318" s="354"/>
      <c r="AD318" s="354"/>
      <c r="AE318" s="354"/>
      <c r="AF318" s="354"/>
      <c r="AG318" s="354"/>
      <c r="AH318" s="354"/>
      <c r="AI318" s="354"/>
      <c r="AJ318" s="354"/>
      <c r="AK318" s="354"/>
      <c r="AL318" s="354"/>
      <c r="AM318" s="580">
        <f>SUM(J324:AL325)</f>
        <v>31692500</v>
      </c>
    </row>
    <row r="319" spans="1:39" ht="12.75">
      <c r="A319" s="600"/>
      <c r="B319" s="589"/>
      <c r="C319" s="592"/>
      <c r="D319" s="595"/>
      <c r="E319" s="586"/>
      <c r="F319" s="583">
        <f>SUM(H324:AL324)</f>
        <v>0</v>
      </c>
      <c r="G319" s="355" t="s">
        <v>201</v>
      </c>
      <c r="H319" s="356"/>
      <c r="I319" s="357"/>
      <c r="J319" s="357">
        <v>5875446</v>
      </c>
      <c r="K319" s="357">
        <v>2047679</v>
      </c>
      <c r="L319" s="357"/>
      <c r="M319" s="357"/>
      <c r="N319" s="357"/>
      <c r="O319" s="357"/>
      <c r="P319" s="358"/>
      <c r="Q319" s="358"/>
      <c r="R319" s="358"/>
      <c r="S319" s="358"/>
      <c r="T319" s="358"/>
      <c r="U319" s="358"/>
      <c r="V319" s="358"/>
      <c r="W319" s="358"/>
      <c r="X319" s="358"/>
      <c r="Y319" s="358"/>
      <c r="Z319" s="358"/>
      <c r="AA319" s="358"/>
      <c r="AB319" s="358"/>
      <c r="AC319" s="358"/>
      <c r="AD319" s="358"/>
      <c r="AE319" s="358"/>
      <c r="AF319" s="358"/>
      <c r="AG319" s="358"/>
      <c r="AH319" s="358"/>
      <c r="AI319" s="358"/>
      <c r="AJ319" s="358"/>
      <c r="AK319" s="358"/>
      <c r="AL319" s="358"/>
      <c r="AM319" s="581"/>
    </row>
    <row r="320" spans="1:39" ht="12.75">
      <c r="A320" s="600"/>
      <c r="B320" s="589"/>
      <c r="C320" s="592"/>
      <c r="D320" s="595"/>
      <c r="E320" s="586"/>
      <c r="F320" s="584"/>
      <c r="G320" s="355" t="s">
        <v>116</v>
      </c>
      <c r="H320" s="356"/>
      <c r="I320" s="357"/>
      <c r="J320" s="357"/>
      <c r="K320" s="357"/>
      <c r="L320" s="357"/>
      <c r="M320" s="357"/>
      <c r="N320" s="357"/>
      <c r="O320" s="357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  <c r="AA320" s="358"/>
      <c r="AB320" s="358"/>
      <c r="AC320" s="358"/>
      <c r="AD320" s="358"/>
      <c r="AE320" s="358"/>
      <c r="AF320" s="358"/>
      <c r="AG320" s="358"/>
      <c r="AH320" s="358"/>
      <c r="AI320" s="358"/>
      <c r="AJ320" s="358"/>
      <c r="AK320" s="358"/>
      <c r="AL320" s="358"/>
      <c r="AM320" s="581"/>
    </row>
    <row r="321" spans="1:39" ht="12.75">
      <c r="A321" s="600"/>
      <c r="B321" s="589"/>
      <c r="C321" s="592"/>
      <c r="D321" s="595"/>
      <c r="E321" s="598"/>
      <c r="F321" s="359" t="s">
        <v>117</v>
      </c>
      <c r="G321" s="355" t="s">
        <v>118</v>
      </c>
      <c r="H321" s="356"/>
      <c r="I321" s="357"/>
      <c r="J321" s="357"/>
      <c r="K321" s="357"/>
      <c r="L321" s="357"/>
      <c r="M321" s="357"/>
      <c r="N321" s="357"/>
      <c r="O321" s="357"/>
      <c r="P321" s="358"/>
      <c r="Q321" s="358"/>
      <c r="R321" s="358"/>
      <c r="S321" s="358"/>
      <c r="T321" s="358"/>
      <c r="U321" s="358"/>
      <c r="V321" s="358"/>
      <c r="W321" s="358"/>
      <c r="X321" s="358"/>
      <c r="Y321" s="358"/>
      <c r="Z321" s="358"/>
      <c r="AA321" s="358"/>
      <c r="AB321" s="358"/>
      <c r="AC321" s="358"/>
      <c r="AD321" s="358"/>
      <c r="AE321" s="358"/>
      <c r="AF321" s="358"/>
      <c r="AG321" s="358"/>
      <c r="AH321" s="358"/>
      <c r="AI321" s="358"/>
      <c r="AJ321" s="358"/>
      <c r="AK321" s="358"/>
      <c r="AL321" s="358"/>
      <c r="AM321" s="581"/>
    </row>
    <row r="322" spans="1:39" ht="12.75">
      <c r="A322" s="600"/>
      <c r="B322" s="589"/>
      <c r="C322" s="592"/>
      <c r="D322" s="595"/>
      <c r="E322" s="585">
        <v>2014</v>
      </c>
      <c r="F322" s="583">
        <f>SUM(H325:AL325)</f>
        <v>31692500</v>
      </c>
      <c r="G322" s="355" t="s">
        <v>122</v>
      </c>
      <c r="H322" s="356"/>
      <c r="I322" s="357"/>
      <c r="J322" s="357"/>
      <c r="K322" s="357"/>
      <c r="L322" s="357"/>
      <c r="M322" s="357"/>
      <c r="N322" s="357"/>
      <c r="O322" s="357"/>
      <c r="P322" s="358"/>
      <c r="Q322" s="358"/>
      <c r="R322" s="358"/>
      <c r="S322" s="358"/>
      <c r="T322" s="358"/>
      <c r="U322" s="358"/>
      <c r="V322" s="358"/>
      <c r="W322" s="358"/>
      <c r="X322" s="358"/>
      <c r="Y322" s="358"/>
      <c r="Z322" s="358"/>
      <c r="AA322" s="358"/>
      <c r="AB322" s="358"/>
      <c r="AC322" s="358"/>
      <c r="AD322" s="358"/>
      <c r="AE322" s="358"/>
      <c r="AF322" s="358"/>
      <c r="AG322" s="358"/>
      <c r="AH322" s="358"/>
      <c r="AI322" s="358"/>
      <c r="AJ322" s="358"/>
      <c r="AK322" s="358"/>
      <c r="AL322" s="358"/>
      <c r="AM322" s="581"/>
    </row>
    <row r="323" spans="1:39" ht="56.25">
      <c r="A323" s="600"/>
      <c r="B323" s="589"/>
      <c r="C323" s="592"/>
      <c r="D323" s="595"/>
      <c r="E323" s="586"/>
      <c r="F323" s="584"/>
      <c r="G323" s="376" t="s">
        <v>223</v>
      </c>
      <c r="H323" s="356"/>
      <c r="I323" s="357"/>
      <c r="J323" s="357">
        <v>17626337</v>
      </c>
      <c r="K323" s="357">
        <v>6143038</v>
      </c>
      <c r="L323" s="357"/>
      <c r="M323" s="357"/>
      <c r="N323" s="357"/>
      <c r="O323" s="357"/>
      <c r="P323" s="358"/>
      <c r="Q323" s="358"/>
      <c r="R323" s="358"/>
      <c r="S323" s="358"/>
      <c r="T323" s="358"/>
      <c r="U323" s="358"/>
      <c r="V323" s="358"/>
      <c r="W323" s="358"/>
      <c r="X323" s="358"/>
      <c r="Y323" s="358"/>
      <c r="Z323" s="358"/>
      <c r="AA323" s="358"/>
      <c r="AB323" s="358"/>
      <c r="AC323" s="358"/>
      <c r="AD323" s="358"/>
      <c r="AE323" s="358"/>
      <c r="AF323" s="358"/>
      <c r="AG323" s="358"/>
      <c r="AH323" s="358"/>
      <c r="AI323" s="358"/>
      <c r="AJ323" s="358"/>
      <c r="AK323" s="358"/>
      <c r="AL323" s="358"/>
      <c r="AM323" s="581"/>
    </row>
    <row r="324" spans="1:39" ht="12.75">
      <c r="A324" s="600"/>
      <c r="B324" s="589"/>
      <c r="C324" s="592"/>
      <c r="D324" s="595"/>
      <c r="E324" s="586"/>
      <c r="F324" s="359" t="s">
        <v>121</v>
      </c>
      <c r="G324" s="355" t="s">
        <v>124</v>
      </c>
      <c r="H324" s="360">
        <f aca="true" t="shared" si="78" ref="H324:AL324">H318+H320+H322</f>
        <v>0</v>
      </c>
      <c r="I324" s="361">
        <f t="shared" si="78"/>
        <v>0</v>
      </c>
      <c r="J324" s="361">
        <f t="shared" si="78"/>
        <v>0</v>
      </c>
      <c r="K324" s="361">
        <f t="shared" si="78"/>
        <v>0</v>
      </c>
      <c r="L324" s="361">
        <f t="shared" si="78"/>
        <v>0</v>
      </c>
      <c r="M324" s="361">
        <f t="shared" si="78"/>
        <v>0</v>
      </c>
      <c r="N324" s="361">
        <f t="shared" si="78"/>
        <v>0</v>
      </c>
      <c r="O324" s="361">
        <f t="shared" si="78"/>
        <v>0</v>
      </c>
      <c r="P324" s="361">
        <f t="shared" si="78"/>
        <v>0</v>
      </c>
      <c r="Q324" s="361">
        <f t="shared" si="78"/>
        <v>0</v>
      </c>
      <c r="R324" s="361">
        <f t="shared" si="78"/>
        <v>0</v>
      </c>
      <c r="S324" s="361">
        <f t="shared" si="78"/>
        <v>0</v>
      </c>
      <c r="T324" s="361">
        <f t="shared" si="78"/>
        <v>0</v>
      </c>
      <c r="U324" s="361">
        <f t="shared" si="78"/>
        <v>0</v>
      </c>
      <c r="V324" s="361">
        <f t="shared" si="78"/>
        <v>0</v>
      </c>
      <c r="W324" s="361">
        <f t="shared" si="78"/>
        <v>0</v>
      </c>
      <c r="X324" s="361">
        <f t="shared" si="78"/>
        <v>0</v>
      </c>
      <c r="Y324" s="361">
        <f t="shared" si="78"/>
        <v>0</v>
      </c>
      <c r="Z324" s="361">
        <f t="shared" si="78"/>
        <v>0</v>
      </c>
      <c r="AA324" s="361">
        <f t="shared" si="78"/>
        <v>0</v>
      </c>
      <c r="AB324" s="361">
        <f t="shared" si="78"/>
        <v>0</v>
      </c>
      <c r="AC324" s="361">
        <f t="shared" si="78"/>
        <v>0</v>
      </c>
      <c r="AD324" s="361">
        <f t="shared" si="78"/>
        <v>0</v>
      </c>
      <c r="AE324" s="361">
        <f t="shared" si="78"/>
        <v>0</v>
      </c>
      <c r="AF324" s="361">
        <f t="shared" si="78"/>
        <v>0</v>
      </c>
      <c r="AG324" s="361">
        <f t="shared" si="78"/>
        <v>0</v>
      </c>
      <c r="AH324" s="361">
        <f t="shared" si="78"/>
        <v>0</v>
      </c>
      <c r="AI324" s="361">
        <f t="shared" si="78"/>
        <v>0</v>
      </c>
      <c r="AJ324" s="361">
        <f t="shared" si="78"/>
        <v>0</v>
      </c>
      <c r="AK324" s="361">
        <f t="shared" si="78"/>
        <v>0</v>
      </c>
      <c r="AL324" s="361">
        <f t="shared" si="78"/>
        <v>0</v>
      </c>
      <c r="AM324" s="581"/>
    </row>
    <row r="325" spans="1:39" ht="13.5" thickBot="1">
      <c r="A325" s="601"/>
      <c r="B325" s="590"/>
      <c r="C325" s="593"/>
      <c r="D325" s="596"/>
      <c r="E325" s="587"/>
      <c r="F325" s="363">
        <f>F319+F322</f>
        <v>31692500</v>
      </c>
      <c r="G325" s="364" t="s">
        <v>125</v>
      </c>
      <c r="H325" s="365">
        <f aca="true" t="shared" si="79" ref="H325:AL325">H319+H321+H323</f>
        <v>0</v>
      </c>
      <c r="I325" s="366">
        <f t="shared" si="79"/>
        <v>0</v>
      </c>
      <c r="J325" s="366">
        <f t="shared" si="79"/>
        <v>23501783</v>
      </c>
      <c r="K325" s="366">
        <f t="shared" si="79"/>
        <v>8190717</v>
      </c>
      <c r="L325" s="366">
        <f t="shared" si="79"/>
        <v>0</v>
      </c>
      <c r="M325" s="366">
        <f t="shared" si="79"/>
        <v>0</v>
      </c>
      <c r="N325" s="366">
        <f t="shared" si="79"/>
        <v>0</v>
      </c>
      <c r="O325" s="366">
        <f t="shared" si="79"/>
        <v>0</v>
      </c>
      <c r="P325" s="366">
        <f t="shared" si="79"/>
        <v>0</v>
      </c>
      <c r="Q325" s="366">
        <f t="shared" si="79"/>
        <v>0</v>
      </c>
      <c r="R325" s="366">
        <f t="shared" si="79"/>
        <v>0</v>
      </c>
      <c r="S325" s="366">
        <f t="shared" si="79"/>
        <v>0</v>
      </c>
      <c r="T325" s="366">
        <f t="shared" si="79"/>
        <v>0</v>
      </c>
      <c r="U325" s="366">
        <f t="shared" si="79"/>
        <v>0</v>
      </c>
      <c r="V325" s="366">
        <f t="shared" si="79"/>
        <v>0</v>
      </c>
      <c r="W325" s="366">
        <f t="shared" si="79"/>
        <v>0</v>
      </c>
      <c r="X325" s="366">
        <f t="shared" si="79"/>
        <v>0</v>
      </c>
      <c r="Y325" s="366">
        <f t="shared" si="79"/>
        <v>0</v>
      </c>
      <c r="Z325" s="366">
        <f t="shared" si="79"/>
        <v>0</v>
      </c>
      <c r="AA325" s="366">
        <f t="shared" si="79"/>
        <v>0</v>
      </c>
      <c r="AB325" s="366">
        <f t="shared" si="79"/>
        <v>0</v>
      </c>
      <c r="AC325" s="366">
        <f t="shared" si="79"/>
        <v>0</v>
      </c>
      <c r="AD325" s="366">
        <f t="shared" si="79"/>
        <v>0</v>
      </c>
      <c r="AE325" s="366">
        <f t="shared" si="79"/>
        <v>0</v>
      </c>
      <c r="AF325" s="366">
        <f t="shared" si="79"/>
        <v>0</v>
      </c>
      <c r="AG325" s="366">
        <f t="shared" si="79"/>
        <v>0</v>
      </c>
      <c r="AH325" s="366">
        <f t="shared" si="79"/>
        <v>0</v>
      </c>
      <c r="AI325" s="366">
        <f t="shared" si="79"/>
        <v>0</v>
      </c>
      <c r="AJ325" s="366">
        <f t="shared" si="79"/>
        <v>0</v>
      </c>
      <c r="AK325" s="366">
        <f t="shared" si="79"/>
        <v>0</v>
      </c>
      <c r="AL325" s="366">
        <f t="shared" si="79"/>
        <v>0</v>
      </c>
      <c r="AM325" s="582"/>
    </row>
    <row r="326" spans="1:39" ht="12.75" customHeight="1">
      <c r="A326" s="599">
        <v>41</v>
      </c>
      <c r="B326" s="588" t="s">
        <v>224</v>
      </c>
      <c r="C326" s="591">
        <v>92118</v>
      </c>
      <c r="D326" s="594" t="s">
        <v>222</v>
      </c>
      <c r="E326" s="597">
        <v>2012</v>
      </c>
      <c r="F326" s="350" t="s">
        <v>113</v>
      </c>
      <c r="G326" s="351" t="s">
        <v>200</v>
      </c>
      <c r="H326" s="352"/>
      <c r="I326" s="353">
        <v>292500</v>
      </c>
      <c r="J326" s="353"/>
      <c r="K326" s="353"/>
      <c r="L326" s="353"/>
      <c r="M326" s="353"/>
      <c r="N326" s="353"/>
      <c r="O326" s="353"/>
      <c r="P326" s="354"/>
      <c r="Q326" s="354"/>
      <c r="R326" s="354"/>
      <c r="S326" s="354"/>
      <c r="T326" s="354"/>
      <c r="U326" s="354"/>
      <c r="V326" s="354"/>
      <c r="W326" s="354"/>
      <c r="X326" s="354"/>
      <c r="Y326" s="354"/>
      <c r="Z326" s="354"/>
      <c r="AA326" s="354"/>
      <c r="AB326" s="354"/>
      <c r="AC326" s="354"/>
      <c r="AD326" s="354"/>
      <c r="AE326" s="354"/>
      <c r="AF326" s="354"/>
      <c r="AG326" s="354"/>
      <c r="AH326" s="354"/>
      <c r="AI326" s="354"/>
      <c r="AJ326" s="354"/>
      <c r="AK326" s="354"/>
      <c r="AL326" s="354"/>
      <c r="AM326" s="580">
        <f>SUM(J332:AL333)</f>
        <v>17007500</v>
      </c>
    </row>
    <row r="327" spans="1:39" ht="12.75">
      <c r="A327" s="600"/>
      <c r="B327" s="589"/>
      <c r="C327" s="592"/>
      <c r="D327" s="595"/>
      <c r="E327" s="586"/>
      <c r="F327" s="583">
        <f>SUM(H332:AL332)</f>
        <v>292500</v>
      </c>
      <c r="G327" s="355" t="s">
        <v>201</v>
      </c>
      <c r="H327" s="356"/>
      <c r="I327" s="357"/>
      <c r="J327" s="357">
        <v>4877500</v>
      </c>
      <c r="K327" s="357">
        <v>12130000</v>
      </c>
      <c r="L327" s="357"/>
      <c r="M327" s="357"/>
      <c r="N327" s="357"/>
      <c r="O327" s="357"/>
      <c r="P327" s="358"/>
      <c r="Q327" s="358"/>
      <c r="R327" s="358"/>
      <c r="S327" s="358"/>
      <c r="T327" s="358"/>
      <c r="U327" s="358"/>
      <c r="V327" s="358"/>
      <c r="W327" s="358"/>
      <c r="X327" s="358"/>
      <c r="Y327" s="358"/>
      <c r="Z327" s="358"/>
      <c r="AA327" s="358"/>
      <c r="AB327" s="358"/>
      <c r="AC327" s="358"/>
      <c r="AD327" s="358"/>
      <c r="AE327" s="358"/>
      <c r="AF327" s="358"/>
      <c r="AG327" s="358"/>
      <c r="AH327" s="358"/>
      <c r="AI327" s="358"/>
      <c r="AJ327" s="358"/>
      <c r="AK327" s="358"/>
      <c r="AL327" s="358"/>
      <c r="AM327" s="581"/>
    </row>
    <row r="328" spans="1:39" ht="12.75">
      <c r="A328" s="600"/>
      <c r="B328" s="589"/>
      <c r="C328" s="592"/>
      <c r="D328" s="595"/>
      <c r="E328" s="586"/>
      <c r="F328" s="584"/>
      <c r="G328" s="355" t="s">
        <v>116</v>
      </c>
      <c r="H328" s="356"/>
      <c r="I328" s="357"/>
      <c r="J328" s="357"/>
      <c r="K328" s="357"/>
      <c r="L328" s="357"/>
      <c r="M328" s="357"/>
      <c r="N328" s="357"/>
      <c r="O328" s="357"/>
      <c r="P328" s="358"/>
      <c r="Q328" s="358"/>
      <c r="R328" s="358"/>
      <c r="S328" s="358"/>
      <c r="T328" s="358"/>
      <c r="U328" s="358"/>
      <c r="V328" s="358"/>
      <c r="W328" s="358"/>
      <c r="X328" s="358"/>
      <c r="Y328" s="358"/>
      <c r="Z328" s="358"/>
      <c r="AA328" s="358"/>
      <c r="AB328" s="358"/>
      <c r="AC328" s="358"/>
      <c r="AD328" s="358"/>
      <c r="AE328" s="358"/>
      <c r="AF328" s="358"/>
      <c r="AG328" s="358"/>
      <c r="AH328" s="358"/>
      <c r="AI328" s="358"/>
      <c r="AJ328" s="358"/>
      <c r="AK328" s="358"/>
      <c r="AL328" s="358"/>
      <c r="AM328" s="581"/>
    </row>
    <row r="329" spans="1:39" ht="12.75">
      <c r="A329" s="600"/>
      <c r="B329" s="589"/>
      <c r="C329" s="592"/>
      <c r="D329" s="595"/>
      <c r="E329" s="598"/>
      <c r="F329" s="359" t="s">
        <v>117</v>
      </c>
      <c r="G329" s="355" t="s">
        <v>118</v>
      </c>
      <c r="H329" s="356"/>
      <c r="I329" s="357"/>
      <c r="J329" s="357"/>
      <c r="K329" s="357"/>
      <c r="L329" s="357"/>
      <c r="M329" s="357"/>
      <c r="N329" s="357"/>
      <c r="O329" s="357"/>
      <c r="P329" s="358"/>
      <c r="Q329" s="358"/>
      <c r="R329" s="358"/>
      <c r="S329" s="358"/>
      <c r="T329" s="358"/>
      <c r="U329" s="358"/>
      <c r="V329" s="358"/>
      <c r="W329" s="358"/>
      <c r="X329" s="358"/>
      <c r="Y329" s="358"/>
      <c r="Z329" s="358"/>
      <c r="AA329" s="358"/>
      <c r="AB329" s="358"/>
      <c r="AC329" s="358"/>
      <c r="AD329" s="358"/>
      <c r="AE329" s="358"/>
      <c r="AF329" s="358"/>
      <c r="AG329" s="358"/>
      <c r="AH329" s="358"/>
      <c r="AI329" s="358"/>
      <c r="AJ329" s="358"/>
      <c r="AK329" s="358"/>
      <c r="AL329" s="358"/>
      <c r="AM329" s="581"/>
    </row>
    <row r="330" spans="1:39" ht="12.75">
      <c r="A330" s="600"/>
      <c r="B330" s="589"/>
      <c r="C330" s="592"/>
      <c r="D330" s="595"/>
      <c r="E330" s="585">
        <v>2014</v>
      </c>
      <c r="F330" s="583">
        <f>SUM(H333:AL333)</f>
        <v>17007500</v>
      </c>
      <c r="G330" s="355" t="s">
        <v>122</v>
      </c>
      <c r="H330" s="356"/>
      <c r="I330" s="357"/>
      <c r="J330" s="357"/>
      <c r="K330" s="357"/>
      <c r="L330" s="357"/>
      <c r="M330" s="357"/>
      <c r="N330" s="357"/>
      <c r="O330" s="357"/>
      <c r="P330" s="358"/>
      <c r="Q330" s="358"/>
      <c r="R330" s="358"/>
      <c r="S330" s="358"/>
      <c r="T330" s="358"/>
      <c r="U330" s="358"/>
      <c r="V330" s="358"/>
      <c r="W330" s="358"/>
      <c r="X330" s="358"/>
      <c r="Y330" s="358"/>
      <c r="Z330" s="358"/>
      <c r="AA330" s="358"/>
      <c r="AB330" s="358"/>
      <c r="AC330" s="358"/>
      <c r="AD330" s="358"/>
      <c r="AE330" s="358"/>
      <c r="AF330" s="358"/>
      <c r="AG330" s="358"/>
      <c r="AH330" s="358"/>
      <c r="AI330" s="358"/>
      <c r="AJ330" s="358"/>
      <c r="AK330" s="358"/>
      <c r="AL330" s="358"/>
      <c r="AM330" s="581"/>
    </row>
    <row r="331" spans="1:39" ht="12.75">
      <c r="A331" s="600"/>
      <c r="B331" s="589"/>
      <c r="C331" s="592"/>
      <c r="D331" s="595"/>
      <c r="E331" s="586"/>
      <c r="F331" s="584"/>
      <c r="G331" s="355" t="s">
        <v>123</v>
      </c>
      <c r="H331" s="356"/>
      <c r="I331" s="357"/>
      <c r="J331" s="357"/>
      <c r="K331" s="357"/>
      <c r="L331" s="357"/>
      <c r="M331" s="357"/>
      <c r="N331" s="357"/>
      <c r="O331" s="357"/>
      <c r="P331" s="358"/>
      <c r="Q331" s="358"/>
      <c r="R331" s="358"/>
      <c r="S331" s="358"/>
      <c r="T331" s="358"/>
      <c r="U331" s="358"/>
      <c r="V331" s="358"/>
      <c r="W331" s="358"/>
      <c r="X331" s="358"/>
      <c r="Y331" s="358"/>
      <c r="Z331" s="358"/>
      <c r="AA331" s="358"/>
      <c r="AB331" s="358"/>
      <c r="AC331" s="358"/>
      <c r="AD331" s="358"/>
      <c r="AE331" s="358"/>
      <c r="AF331" s="358"/>
      <c r="AG331" s="358"/>
      <c r="AH331" s="358"/>
      <c r="AI331" s="358"/>
      <c r="AJ331" s="358"/>
      <c r="AK331" s="358"/>
      <c r="AL331" s="358"/>
      <c r="AM331" s="581"/>
    </row>
    <row r="332" spans="1:39" ht="12.75">
      <c r="A332" s="600"/>
      <c r="B332" s="589"/>
      <c r="C332" s="592"/>
      <c r="D332" s="595"/>
      <c r="E332" s="586"/>
      <c r="F332" s="359" t="s">
        <v>121</v>
      </c>
      <c r="G332" s="355" t="s">
        <v>124</v>
      </c>
      <c r="H332" s="360">
        <f aca="true" t="shared" si="80" ref="H332:AL332">H326+H328+H330</f>
        <v>0</v>
      </c>
      <c r="I332" s="361">
        <f t="shared" si="80"/>
        <v>292500</v>
      </c>
      <c r="J332" s="361">
        <f t="shared" si="80"/>
        <v>0</v>
      </c>
      <c r="K332" s="361">
        <f t="shared" si="80"/>
        <v>0</v>
      </c>
      <c r="L332" s="361">
        <f t="shared" si="80"/>
        <v>0</v>
      </c>
      <c r="M332" s="361">
        <f t="shared" si="80"/>
        <v>0</v>
      </c>
      <c r="N332" s="361">
        <f t="shared" si="80"/>
        <v>0</v>
      </c>
      <c r="O332" s="361">
        <f t="shared" si="80"/>
        <v>0</v>
      </c>
      <c r="P332" s="361">
        <f t="shared" si="80"/>
        <v>0</v>
      </c>
      <c r="Q332" s="361">
        <f t="shared" si="80"/>
        <v>0</v>
      </c>
      <c r="R332" s="361">
        <f t="shared" si="80"/>
        <v>0</v>
      </c>
      <c r="S332" s="361">
        <f t="shared" si="80"/>
        <v>0</v>
      </c>
      <c r="T332" s="361">
        <f t="shared" si="80"/>
        <v>0</v>
      </c>
      <c r="U332" s="361">
        <f t="shared" si="80"/>
        <v>0</v>
      </c>
      <c r="V332" s="361">
        <f t="shared" si="80"/>
        <v>0</v>
      </c>
      <c r="W332" s="361">
        <f t="shared" si="80"/>
        <v>0</v>
      </c>
      <c r="X332" s="361">
        <f t="shared" si="80"/>
        <v>0</v>
      </c>
      <c r="Y332" s="361">
        <f t="shared" si="80"/>
        <v>0</v>
      </c>
      <c r="Z332" s="361">
        <f t="shared" si="80"/>
        <v>0</v>
      </c>
      <c r="AA332" s="361">
        <f t="shared" si="80"/>
        <v>0</v>
      </c>
      <c r="AB332" s="361">
        <f t="shared" si="80"/>
        <v>0</v>
      </c>
      <c r="AC332" s="361">
        <f t="shared" si="80"/>
        <v>0</v>
      </c>
      <c r="AD332" s="361">
        <f t="shared" si="80"/>
        <v>0</v>
      </c>
      <c r="AE332" s="361">
        <f t="shared" si="80"/>
        <v>0</v>
      </c>
      <c r="AF332" s="361">
        <f t="shared" si="80"/>
        <v>0</v>
      </c>
      <c r="AG332" s="361">
        <f t="shared" si="80"/>
        <v>0</v>
      </c>
      <c r="AH332" s="361">
        <f t="shared" si="80"/>
        <v>0</v>
      </c>
      <c r="AI332" s="361">
        <f t="shared" si="80"/>
        <v>0</v>
      </c>
      <c r="AJ332" s="361">
        <f t="shared" si="80"/>
        <v>0</v>
      </c>
      <c r="AK332" s="361">
        <f t="shared" si="80"/>
        <v>0</v>
      </c>
      <c r="AL332" s="361">
        <f t="shared" si="80"/>
        <v>0</v>
      </c>
      <c r="AM332" s="581"/>
    </row>
    <row r="333" spans="1:39" ht="13.5" thickBot="1">
      <c r="A333" s="601"/>
      <c r="B333" s="590"/>
      <c r="C333" s="593"/>
      <c r="D333" s="596"/>
      <c r="E333" s="587"/>
      <c r="F333" s="363">
        <f>F327+F330</f>
        <v>17300000</v>
      </c>
      <c r="G333" s="364" t="s">
        <v>125</v>
      </c>
      <c r="H333" s="365">
        <f aca="true" t="shared" si="81" ref="H333:AL333">H327+H329+H331</f>
        <v>0</v>
      </c>
      <c r="I333" s="366">
        <f t="shared" si="81"/>
        <v>0</v>
      </c>
      <c r="J333" s="366">
        <f t="shared" si="81"/>
        <v>4877500</v>
      </c>
      <c r="K333" s="366">
        <f t="shared" si="81"/>
        <v>12130000</v>
      </c>
      <c r="L333" s="366">
        <f t="shared" si="81"/>
        <v>0</v>
      </c>
      <c r="M333" s="366">
        <f t="shared" si="81"/>
        <v>0</v>
      </c>
      <c r="N333" s="366">
        <f t="shared" si="81"/>
        <v>0</v>
      </c>
      <c r="O333" s="366">
        <f t="shared" si="81"/>
        <v>0</v>
      </c>
      <c r="P333" s="366">
        <f t="shared" si="81"/>
        <v>0</v>
      </c>
      <c r="Q333" s="366">
        <f t="shared" si="81"/>
        <v>0</v>
      </c>
      <c r="R333" s="366">
        <f t="shared" si="81"/>
        <v>0</v>
      </c>
      <c r="S333" s="366">
        <f t="shared" si="81"/>
        <v>0</v>
      </c>
      <c r="T333" s="366">
        <f t="shared" si="81"/>
        <v>0</v>
      </c>
      <c r="U333" s="366">
        <f t="shared" si="81"/>
        <v>0</v>
      </c>
      <c r="V333" s="366">
        <f t="shared" si="81"/>
        <v>0</v>
      </c>
      <c r="W333" s="366">
        <f t="shared" si="81"/>
        <v>0</v>
      </c>
      <c r="X333" s="366">
        <f t="shared" si="81"/>
        <v>0</v>
      </c>
      <c r="Y333" s="366">
        <f t="shared" si="81"/>
        <v>0</v>
      </c>
      <c r="Z333" s="366">
        <f t="shared" si="81"/>
        <v>0</v>
      </c>
      <c r="AA333" s="366">
        <f t="shared" si="81"/>
        <v>0</v>
      </c>
      <c r="AB333" s="366">
        <f t="shared" si="81"/>
        <v>0</v>
      </c>
      <c r="AC333" s="366">
        <f t="shared" si="81"/>
        <v>0</v>
      </c>
      <c r="AD333" s="366">
        <f t="shared" si="81"/>
        <v>0</v>
      </c>
      <c r="AE333" s="366">
        <f t="shared" si="81"/>
        <v>0</v>
      </c>
      <c r="AF333" s="366">
        <f t="shared" si="81"/>
        <v>0</v>
      </c>
      <c r="AG333" s="366">
        <f t="shared" si="81"/>
        <v>0</v>
      </c>
      <c r="AH333" s="366">
        <f t="shared" si="81"/>
        <v>0</v>
      </c>
      <c r="AI333" s="366">
        <f t="shared" si="81"/>
        <v>0</v>
      </c>
      <c r="AJ333" s="366">
        <f t="shared" si="81"/>
        <v>0</v>
      </c>
      <c r="AK333" s="366">
        <f t="shared" si="81"/>
        <v>0</v>
      </c>
      <c r="AL333" s="366">
        <f t="shared" si="81"/>
        <v>0</v>
      </c>
      <c r="AM333" s="582"/>
    </row>
    <row r="334" spans="1:39" ht="12.75" customHeight="1">
      <c r="A334" s="599">
        <v>42</v>
      </c>
      <c r="B334" s="588" t="s">
        <v>225</v>
      </c>
      <c r="C334" s="591">
        <v>92601</v>
      </c>
      <c r="D334" s="594" t="s">
        <v>226</v>
      </c>
      <c r="E334" s="597">
        <v>2011</v>
      </c>
      <c r="F334" s="350" t="s">
        <v>113</v>
      </c>
      <c r="G334" s="351" t="s">
        <v>200</v>
      </c>
      <c r="H334" s="352"/>
      <c r="I334" s="353"/>
      <c r="J334" s="353"/>
      <c r="K334" s="353"/>
      <c r="L334" s="353"/>
      <c r="M334" s="353"/>
      <c r="N334" s="353"/>
      <c r="O334" s="353"/>
      <c r="P334" s="354"/>
      <c r="Q334" s="354"/>
      <c r="R334" s="354"/>
      <c r="S334" s="354"/>
      <c r="T334" s="354"/>
      <c r="U334" s="354"/>
      <c r="V334" s="354"/>
      <c r="W334" s="354"/>
      <c r="X334" s="354"/>
      <c r="Y334" s="354"/>
      <c r="Z334" s="354"/>
      <c r="AA334" s="354"/>
      <c r="AB334" s="354"/>
      <c r="AC334" s="354"/>
      <c r="AD334" s="354"/>
      <c r="AE334" s="354"/>
      <c r="AF334" s="354"/>
      <c r="AG334" s="354"/>
      <c r="AH334" s="354"/>
      <c r="AI334" s="354"/>
      <c r="AJ334" s="354"/>
      <c r="AK334" s="354"/>
      <c r="AL334" s="354"/>
      <c r="AM334" s="580">
        <f>SUM(J340:AL341)</f>
        <v>14000000</v>
      </c>
    </row>
    <row r="335" spans="1:39" ht="12.75">
      <c r="A335" s="600"/>
      <c r="B335" s="589"/>
      <c r="C335" s="592"/>
      <c r="D335" s="595"/>
      <c r="E335" s="586"/>
      <c r="F335" s="583">
        <f>SUM(H340:AL340)</f>
        <v>0</v>
      </c>
      <c r="G335" s="355" t="s">
        <v>201</v>
      </c>
      <c r="H335" s="356">
        <f>240000</f>
        <v>240000</v>
      </c>
      <c r="I335" s="357">
        <v>1000000</v>
      </c>
      <c r="J335" s="357">
        <v>10000000</v>
      </c>
      <c r="K335" s="357">
        <v>4000000</v>
      </c>
      <c r="L335" s="357"/>
      <c r="M335" s="357"/>
      <c r="N335" s="357"/>
      <c r="O335" s="357"/>
      <c r="P335" s="358"/>
      <c r="Q335" s="358"/>
      <c r="R335" s="358"/>
      <c r="S335" s="358"/>
      <c r="T335" s="358"/>
      <c r="U335" s="358"/>
      <c r="V335" s="358"/>
      <c r="W335" s="358"/>
      <c r="X335" s="358"/>
      <c r="Y335" s="358"/>
      <c r="Z335" s="358"/>
      <c r="AA335" s="358"/>
      <c r="AB335" s="358"/>
      <c r="AC335" s="358"/>
      <c r="AD335" s="358"/>
      <c r="AE335" s="358"/>
      <c r="AF335" s="358"/>
      <c r="AG335" s="358"/>
      <c r="AH335" s="358"/>
      <c r="AI335" s="358"/>
      <c r="AJ335" s="358"/>
      <c r="AK335" s="358"/>
      <c r="AL335" s="358"/>
      <c r="AM335" s="581"/>
    </row>
    <row r="336" spans="1:39" ht="12.75">
      <c r="A336" s="600"/>
      <c r="B336" s="589"/>
      <c r="C336" s="592"/>
      <c r="D336" s="595"/>
      <c r="E336" s="586"/>
      <c r="F336" s="584"/>
      <c r="G336" s="355" t="s">
        <v>116</v>
      </c>
      <c r="H336" s="356"/>
      <c r="I336" s="357"/>
      <c r="J336" s="357"/>
      <c r="K336" s="357"/>
      <c r="L336" s="357"/>
      <c r="M336" s="357"/>
      <c r="N336" s="357"/>
      <c r="O336" s="357"/>
      <c r="P336" s="358"/>
      <c r="Q336" s="358"/>
      <c r="R336" s="358"/>
      <c r="S336" s="358"/>
      <c r="T336" s="358"/>
      <c r="U336" s="358"/>
      <c r="V336" s="358"/>
      <c r="W336" s="358"/>
      <c r="X336" s="358"/>
      <c r="Y336" s="358"/>
      <c r="Z336" s="358"/>
      <c r="AA336" s="358"/>
      <c r="AB336" s="358"/>
      <c r="AC336" s="358"/>
      <c r="AD336" s="358"/>
      <c r="AE336" s="358"/>
      <c r="AF336" s="358"/>
      <c r="AG336" s="358"/>
      <c r="AH336" s="358"/>
      <c r="AI336" s="358"/>
      <c r="AJ336" s="358"/>
      <c r="AK336" s="358"/>
      <c r="AL336" s="358"/>
      <c r="AM336" s="581"/>
    </row>
    <row r="337" spans="1:39" ht="12.75">
      <c r="A337" s="600"/>
      <c r="B337" s="589"/>
      <c r="C337" s="592"/>
      <c r="D337" s="595"/>
      <c r="E337" s="598"/>
      <c r="F337" s="359" t="s">
        <v>117</v>
      </c>
      <c r="G337" s="355" t="s">
        <v>118</v>
      </c>
      <c r="H337" s="356"/>
      <c r="I337" s="357"/>
      <c r="J337" s="357"/>
      <c r="K337" s="357"/>
      <c r="L337" s="357"/>
      <c r="M337" s="357"/>
      <c r="N337" s="357"/>
      <c r="O337" s="357"/>
      <c r="P337" s="358"/>
      <c r="Q337" s="358"/>
      <c r="R337" s="358"/>
      <c r="S337" s="358"/>
      <c r="T337" s="358"/>
      <c r="U337" s="358"/>
      <c r="V337" s="358"/>
      <c r="W337" s="358"/>
      <c r="X337" s="358"/>
      <c r="Y337" s="358"/>
      <c r="Z337" s="358"/>
      <c r="AA337" s="358"/>
      <c r="AB337" s="358"/>
      <c r="AC337" s="358"/>
      <c r="AD337" s="358"/>
      <c r="AE337" s="358"/>
      <c r="AF337" s="358"/>
      <c r="AG337" s="358"/>
      <c r="AH337" s="358"/>
      <c r="AI337" s="358"/>
      <c r="AJ337" s="358"/>
      <c r="AK337" s="358"/>
      <c r="AL337" s="358"/>
      <c r="AM337" s="581"/>
    </row>
    <row r="338" spans="1:39" ht="12.75">
      <c r="A338" s="600"/>
      <c r="B338" s="589"/>
      <c r="C338" s="592"/>
      <c r="D338" s="595"/>
      <c r="E338" s="585">
        <v>2014</v>
      </c>
      <c r="F338" s="583">
        <f>SUM(H341:AL341)</f>
        <v>15240000</v>
      </c>
      <c r="G338" s="355" t="s">
        <v>122</v>
      </c>
      <c r="H338" s="356"/>
      <c r="I338" s="357"/>
      <c r="J338" s="357"/>
      <c r="K338" s="357"/>
      <c r="L338" s="357"/>
      <c r="M338" s="357"/>
      <c r="N338" s="357"/>
      <c r="O338" s="357"/>
      <c r="P338" s="358"/>
      <c r="Q338" s="358"/>
      <c r="R338" s="358"/>
      <c r="S338" s="358"/>
      <c r="T338" s="358"/>
      <c r="U338" s="358"/>
      <c r="V338" s="358"/>
      <c r="W338" s="358"/>
      <c r="X338" s="358"/>
      <c r="Y338" s="358"/>
      <c r="Z338" s="358"/>
      <c r="AA338" s="358"/>
      <c r="AB338" s="358"/>
      <c r="AC338" s="358"/>
      <c r="AD338" s="358"/>
      <c r="AE338" s="358"/>
      <c r="AF338" s="358"/>
      <c r="AG338" s="358"/>
      <c r="AH338" s="358"/>
      <c r="AI338" s="358"/>
      <c r="AJ338" s="358"/>
      <c r="AK338" s="358"/>
      <c r="AL338" s="358"/>
      <c r="AM338" s="581"/>
    </row>
    <row r="339" spans="1:39" ht="12.75">
      <c r="A339" s="600"/>
      <c r="B339" s="589"/>
      <c r="C339" s="592"/>
      <c r="D339" s="595"/>
      <c r="E339" s="586"/>
      <c r="F339" s="584"/>
      <c r="G339" s="355" t="s">
        <v>123</v>
      </c>
      <c r="H339" s="356"/>
      <c r="I339" s="357"/>
      <c r="J339" s="357"/>
      <c r="K339" s="357"/>
      <c r="L339" s="357"/>
      <c r="M339" s="357"/>
      <c r="N339" s="357"/>
      <c r="O339" s="357"/>
      <c r="P339" s="358"/>
      <c r="Q339" s="358"/>
      <c r="R339" s="358"/>
      <c r="S339" s="358"/>
      <c r="T339" s="358"/>
      <c r="U339" s="358"/>
      <c r="V339" s="358"/>
      <c r="W339" s="358"/>
      <c r="X339" s="358"/>
      <c r="Y339" s="358"/>
      <c r="Z339" s="358"/>
      <c r="AA339" s="358"/>
      <c r="AB339" s="358"/>
      <c r="AC339" s="358"/>
      <c r="AD339" s="358"/>
      <c r="AE339" s="358"/>
      <c r="AF339" s="358"/>
      <c r="AG339" s="358"/>
      <c r="AH339" s="358"/>
      <c r="AI339" s="358"/>
      <c r="AJ339" s="358"/>
      <c r="AK339" s="358"/>
      <c r="AL339" s="358"/>
      <c r="AM339" s="581"/>
    </row>
    <row r="340" spans="1:39" ht="12.75">
      <c r="A340" s="600"/>
      <c r="B340" s="589"/>
      <c r="C340" s="592"/>
      <c r="D340" s="595"/>
      <c r="E340" s="586"/>
      <c r="F340" s="359" t="s">
        <v>121</v>
      </c>
      <c r="G340" s="355" t="s">
        <v>124</v>
      </c>
      <c r="H340" s="360">
        <f aca="true" t="shared" si="82" ref="H340:AL340">H334+H336+H338</f>
        <v>0</v>
      </c>
      <c r="I340" s="361">
        <f t="shared" si="82"/>
        <v>0</v>
      </c>
      <c r="J340" s="361">
        <f t="shared" si="82"/>
        <v>0</v>
      </c>
      <c r="K340" s="361">
        <f t="shared" si="82"/>
        <v>0</v>
      </c>
      <c r="L340" s="361">
        <f t="shared" si="82"/>
        <v>0</v>
      </c>
      <c r="M340" s="361">
        <f t="shared" si="82"/>
        <v>0</v>
      </c>
      <c r="N340" s="361">
        <f t="shared" si="82"/>
        <v>0</v>
      </c>
      <c r="O340" s="361">
        <f t="shared" si="82"/>
        <v>0</v>
      </c>
      <c r="P340" s="361">
        <f t="shared" si="82"/>
        <v>0</v>
      </c>
      <c r="Q340" s="361">
        <f t="shared" si="82"/>
        <v>0</v>
      </c>
      <c r="R340" s="361">
        <f t="shared" si="82"/>
        <v>0</v>
      </c>
      <c r="S340" s="361">
        <f t="shared" si="82"/>
        <v>0</v>
      </c>
      <c r="T340" s="361">
        <f t="shared" si="82"/>
        <v>0</v>
      </c>
      <c r="U340" s="361">
        <f t="shared" si="82"/>
        <v>0</v>
      </c>
      <c r="V340" s="361">
        <f t="shared" si="82"/>
        <v>0</v>
      </c>
      <c r="W340" s="361">
        <f t="shared" si="82"/>
        <v>0</v>
      </c>
      <c r="X340" s="361">
        <f t="shared" si="82"/>
        <v>0</v>
      </c>
      <c r="Y340" s="361">
        <f t="shared" si="82"/>
        <v>0</v>
      </c>
      <c r="Z340" s="361">
        <f t="shared" si="82"/>
        <v>0</v>
      </c>
      <c r="AA340" s="361">
        <f t="shared" si="82"/>
        <v>0</v>
      </c>
      <c r="AB340" s="361">
        <f t="shared" si="82"/>
        <v>0</v>
      </c>
      <c r="AC340" s="361">
        <f t="shared" si="82"/>
        <v>0</v>
      </c>
      <c r="AD340" s="361">
        <f t="shared" si="82"/>
        <v>0</v>
      </c>
      <c r="AE340" s="361">
        <f t="shared" si="82"/>
        <v>0</v>
      </c>
      <c r="AF340" s="361">
        <f t="shared" si="82"/>
        <v>0</v>
      </c>
      <c r="AG340" s="361">
        <f t="shared" si="82"/>
        <v>0</v>
      </c>
      <c r="AH340" s="361">
        <f t="shared" si="82"/>
        <v>0</v>
      </c>
      <c r="AI340" s="361">
        <f t="shared" si="82"/>
        <v>0</v>
      </c>
      <c r="AJ340" s="361">
        <f t="shared" si="82"/>
        <v>0</v>
      </c>
      <c r="AK340" s="361">
        <f t="shared" si="82"/>
        <v>0</v>
      </c>
      <c r="AL340" s="361">
        <f t="shared" si="82"/>
        <v>0</v>
      </c>
      <c r="AM340" s="581"/>
    </row>
    <row r="341" spans="1:39" ht="13.5" thickBot="1">
      <c r="A341" s="601"/>
      <c r="B341" s="590"/>
      <c r="C341" s="593"/>
      <c r="D341" s="596"/>
      <c r="E341" s="587"/>
      <c r="F341" s="363">
        <f>F335+F338</f>
        <v>15240000</v>
      </c>
      <c r="G341" s="364" t="s">
        <v>125</v>
      </c>
      <c r="H341" s="365">
        <f aca="true" t="shared" si="83" ref="H341:AL341">H335+H337+H339</f>
        <v>240000</v>
      </c>
      <c r="I341" s="366">
        <f t="shared" si="83"/>
        <v>1000000</v>
      </c>
      <c r="J341" s="366">
        <f t="shared" si="83"/>
        <v>10000000</v>
      </c>
      <c r="K341" s="366">
        <f t="shared" si="83"/>
        <v>4000000</v>
      </c>
      <c r="L341" s="366">
        <f t="shared" si="83"/>
        <v>0</v>
      </c>
      <c r="M341" s="366">
        <f t="shared" si="83"/>
        <v>0</v>
      </c>
      <c r="N341" s="366">
        <f t="shared" si="83"/>
        <v>0</v>
      </c>
      <c r="O341" s="366">
        <f t="shared" si="83"/>
        <v>0</v>
      </c>
      <c r="P341" s="366">
        <f t="shared" si="83"/>
        <v>0</v>
      </c>
      <c r="Q341" s="366">
        <f t="shared" si="83"/>
        <v>0</v>
      </c>
      <c r="R341" s="366">
        <f t="shared" si="83"/>
        <v>0</v>
      </c>
      <c r="S341" s="366">
        <f t="shared" si="83"/>
        <v>0</v>
      </c>
      <c r="T341" s="366">
        <f t="shared" si="83"/>
        <v>0</v>
      </c>
      <c r="U341" s="366">
        <f t="shared" si="83"/>
        <v>0</v>
      </c>
      <c r="V341" s="366">
        <f t="shared" si="83"/>
        <v>0</v>
      </c>
      <c r="W341" s="366">
        <f t="shared" si="83"/>
        <v>0</v>
      </c>
      <c r="X341" s="366">
        <f t="shared" si="83"/>
        <v>0</v>
      </c>
      <c r="Y341" s="366">
        <f t="shared" si="83"/>
        <v>0</v>
      </c>
      <c r="Z341" s="366">
        <f t="shared" si="83"/>
        <v>0</v>
      </c>
      <c r="AA341" s="366">
        <f t="shared" si="83"/>
        <v>0</v>
      </c>
      <c r="AB341" s="366">
        <f t="shared" si="83"/>
        <v>0</v>
      </c>
      <c r="AC341" s="366">
        <f t="shared" si="83"/>
        <v>0</v>
      </c>
      <c r="AD341" s="366">
        <f t="shared" si="83"/>
        <v>0</v>
      </c>
      <c r="AE341" s="366">
        <f t="shared" si="83"/>
        <v>0</v>
      </c>
      <c r="AF341" s="366">
        <f t="shared" si="83"/>
        <v>0</v>
      </c>
      <c r="AG341" s="366">
        <f t="shared" si="83"/>
        <v>0</v>
      </c>
      <c r="AH341" s="366">
        <f t="shared" si="83"/>
        <v>0</v>
      </c>
      <c r="AI341" s="366">
        <f t="shared" si="83"/>
        <v>0</v>
      </c>
      <c r="AJ341" s="366">
        <f t="shared" si="83"/>
        <v>0</v>
      </c>
      <c r="AK341" s="366">
        <f t="shared" si="83"/>
        <v>0</v>
      </c>
      <c r="AL341" s="366">
        <f t="shared" si="83"/>
        <v>0</v>
      </c>
      <c r="AM341" s="582"/>
    </row>
    <row r="342" spans="1:39" ht="12.75">
      <c r="A342" s="377"/>
      <c r="B342" s="378"/>
      <c r="C342" s="379"/>
      <c r="D342" s="380"/>
      <c r="E342" s="381"/>
      <c r="F342" s="382"/>
      <c r="G342" s="383"/>
      <c r="H342" s="384"/>
      <c r="I342" s="384"/>
      <c r="J342" s="384"/>
      <c r="K342" s="384"/>
      <c r="L342" s="384"/>
      <c r="M342" s="384"/>
      <c r="N342" s="384"/>
      <c r="O342" s="384"/>
      <c r="P342" s="384"/>
      <c r="Q342" s="384"/>
      <c r="R342" s="384"/>
      <c r="S342" s="384"/>
      <c r="T342" s="384"/>
      <c r="U342" s="384"/>
      <c r="V342" s="384"/>
      <c r="W342" s="384"/>
      <c r="X342" s="384"/>
      <c r="Y342" s="384"/>
      <c r="Z342" s="384"/>
      <c r="AA342" s="384"/>
      <c r="AB342" s="384"/>
      <c r="AC342" s="384"/>
      <c r="AD342" s="384"/>
      <c r="AE342" s="384"/>
      <c r="AF342" s="384"/>
      <c r="AG342" s="384"/>
      <c r="AH342" s="384"/>
      <c r="AI342" s="384"/>
      <c r="AJ342" s="384"/>
      <c r="AK342" s="384"/>
      <c r="AL342" s="384"/>
      <c r="AM342" s="385"/>
    </row>
    <row r="343" spans="1:39" ht="13.5" thickBot="1">
      <c r="A343" s="386"/>
      <c r="B343" s="387"/>
      <c r="C343" s="388"/>
      <c r="D343" s="389"/>
      <c r="E343" s="390"/>
      <c r="F343" s="382"/>
      <c r="G343" s="383"/>
      <c r="H343" s="391"/>
      <c r="I343" s="392"/>
      <c r="J343" s="392"/>
      <c r="K343" s="392"/>
      <c r="L343" s="392"/>
      <c r="M343" s="391"/>
      <c r="N343" s="391"/>
      <c r="O343" s="391"/>
      <c r="P343" s="391"/>
      <c r="Q343" s="391"/>
      <c r="R343" s="391"/>
      <c r="S343" s="391"/>
      <c r="T343" s="391"/>
      <c r="U343" s="391"/>
      <c r="V343" s="391"/>
      <c r="W343" s="391"/>
      <c r="X343" s="391"/>
      <c r="Y343" s="391"/>
      <c r="Z343" s="391"/>
      <c r="AA343" s="391"/>
      <c r="AB343" s="391"/>
      <c r="AC343" s="391"/>
      <c r="AD343" s="391"/>
      <c r="AE343" s="391"/>
      <c r="AF343" s="391"/>
      <c r="AG343" s="391"/>
      <c r="AH343" s="391"/>
      <c r="AI343" s="391"/>
      <c r="AJ343" s="391"/>
      <c r="AK343" s="391"/>
      <c r="AL343" s="391"/>
      <c r="AM343" s="393"/>
    </row>
    <row r="344" spans="1:39" ht="12.75">
      <c r="A344" s="616" t="s">
        <v>227</v>
      </c>
      <c r="B344" s="617"/>
      <c r="C344" s="617"/>
      <c r="D344" s="617"/>
      <c r="E344" s="618"/>
      <c r="F344" s="350" t="s">
        <v>113</v>
      </c>
      <c r="G344" s="394" t="s">
        <v>114</v>
      </c>
      <c r="H344" s="353">
        <f aca="true" t="shared" si="84" ref="H344:L349">SUM(H6,H14,H22,H30,H38,H46,H54,H62,H70,H78,H86,H94,H102,H110,H118,H126,H134,H142,H150)+SUM(H158,H166,H174,H182,H190,H198,H206,H214,H222,H230,H238,H246,H254,H262,H270,H278,H286,H294,H302,H310,H318,H326,H334)</f>
        <v>0</v>
      </c>
      <c r="I344" s="353">
        <f t="shared" si="84"/>
        <v>292500</v>
      </c>
      <c r="J344" s="353">
        <f t="shared" si="84"/>
        <v>0</v>
      </c>
      <c r="K344" s="353">
        <f t="shared" si="84"/>
        <v>0</v>
      </c>
      <c r="L344" s="353">
        <f t="shared" si="84"/>
        <v>0</v>
      </c>
      <c r="M344" s="353" t="e">
        <f>SUM(M6,M14,M22,M30,M38,M46,#REF!,M70,M78,M86,M94,#REF!,M110,M118,M126,M142,M150,M158,M166,M174)+SUM(M190,M198,M206,M214,M222,M230,M238,M246,M254,M262,M270,M278,M286,M294,M302,M310,M334)</f>
        <v>#REF!</v>
      </c>
      <c r="N344" s="353" t="e">
        <f>SUM(N6,N14,N22,N30,N38,N46,#REF!,N70,N78,N86,N94,#REF!,N110,N118,N126,N142,N150,N158,N166,N174)+SUM(N190,N198,N206,N214,N222,N230,N238,N246,N254,N262,N270,N278,N286,N294,N302,N310,N334)</f>
        <v>#REF!</v>
      </c>
      <c r="O344" s="353" t="e">
        <f>SUM(O6,O14,O22,O30,O38,O46,#REF!,O70,O78,O86,O94,#REF!,O110,O118,O126,O142,O150,O158,O166,O174)+SUM(O190,O198,O206,O214,O222,O230,O238,O246,O254,O262,O270,O278,O286,O294,O302,O310,O334)</f>
        <v>#REF!</v>
      </c>
      <c r="P344" s="353" t="e">
        <f>SUM(P6,P14,P22,P30,P38,P46,#REF!,P70,P78,P86,P94,#REF!,P110,P118,P126,P142,P150,P158,P166,P174)+SUM(P190,P198,P206,P214,P222,P230,P238,P246,P254,P262,P270,P278,P286,P294,P302,P310,P334)</f>
        <v>#REF!</v>
      </c>
      <c r="Q344" s="353" t="e">
        <f>SUM(Q6,Q14,Q22,Q30,Q38,Q46,#REF!,Q70,Q78,Q86,Q94,#REF!,Q110,Q118,Q126,Q142,Q150,Q158,Q166,Q174)+SUM(Q190,Q198,Q206,Q214,Q222,Q230,Q238,Q246,Q254,Q262,Q270,Q278,Q286,Q294,Q302,Q310,Q334)</f>
        <v>#REF!</v>
      </c>
      <c r="R344" s="353" t="e">
        <f>SUM(R6,R14,R22,R30,R38,R46,#REF!,R70,R78,R86,R94,#REF!,R110,R118,R126,R142,R150,R158,R166,R174)+SUM(R190,R198,R206,R214,R222,R230,R238,R246,R254,R262,R270,R278,R286,R294,R302,R310,R334)</f>
        <v>#REF!</v>
      </c>
      <c r="S344" s="353" t="e">
        <f>SUM(S6,S14,S22,S30,S38,S46,#REF!,S70,S78,S86,S94,#REF!,S110,S118,S126,S142,S150,S158,S166,S174)+SUM(S190,S198,S206,S214,S222,S230,S238,S246,S254,S262,S270,S278,S286,S294,S302,S310,S334)</f>
        <v>#REF!</v>
      </c>
      <c r="T344" s="353" t="e">
        <f>SUM(T6,T14,T22,T30,T38,T46,#REF!,T70,T78,T86,T94,#REF!,T110,T118,T126,T142,T150,T158,T166,T174)+SUM(T190,T198,T206,T214,T222,T230,T238,T246,T254,T262,T270,T278,T286,T294,T302,T310,T334)</f>
        <v>#REF!</v>
      </c>
      <c r="U344" s="353" t="e">
        <f>SUM(U6,U14,U22,U30,U38,U46,#REF!,U70,U78,U86,U94,#REF!,U110,U118,U126,U142,U150,U158,U166,U174)+SUM(U190,U198,U206,U214,U222,U230,U238,U246,U254,U262,U270,U278,U286,U294,U302,U310,U334)</f>
        <v>#REF!</v>
      </c>
      <c r="V344" s="353" t="e">
        <f>SUM(V6,V14,V22,V30,V38,V46,#REF!,V70,V78,V86,V94,#REF!,V110,V118,V126,V142,V150,V158,V166,V174)+SUM(V190,V198,V206,V214,V222,V230,V238,V246,V254,V262,V270,V278,V286,V294,V302,V310,V334)</f>
        <v>#REF!</v>
      </c>
      <c r="W344" s="353" t="e">
        <f>SUM(W6,W14,W22,W30,W38,W46,#REF!,W70,W78,W86,W94,#REF!,W110,W118,W126,W142,W150,W158,W166,W174)+SUM(W190,W198,W206,W214,W222,W230,W238,W246,W254,W262,W270,W278,W286,W294,W302,W310,W334)</f>
        <v>#REF!</v>
      </c>
      <c r="X344" s="353" t="e">
        <f>SUM(X6,X14,X22,X30,X38,X46,#REF!,X70,X78,X86,X94,#REF!,X110,X118,X126,X142,X150,X158,X166,X174)+SUM(X190,X198,X206,X214,X222,X230,X238,X246,X254,X262,X270,X278,X286,X294,X302,X310,X334)</f>
        <v>#REF!</v>
      </c>
      <c r="Y344" s="353" t="e">
        <f>SUM(Y6,Y14,Y22,Y30,Y38,Y46,#REF!,Y70,Y78,Y86,Y94,#REF!,Y110,Y118,Y126,Y142,Y150,Y158,Y166,Y174)+SUM(Y190,Y198,Y206,Y214,Y222,Y230,Y238,Y246,Y254,Y262,Y270,Y278,Y286,Y294,Y302,Y310,Y334)</f>
        <v>#REF!</v>
      </c>
      <c r="Z344" s="353" t="e">
        <f>SUM(Z6,Z14,Z22,Z30,Z38,Z46,#REF!,Z70,Z78,Z86,Z94,#REF!,Z110,Z118,Z126,Z142,Z150,Z158,Z166,Z174)+SUM(Z190,Z198,Z206,Z214,Z222,Z230,Z238,Z246,Z254,Z262,Z270,Z278,Z286,Z294,Z302,Z310,Z334)</f>
        <v>#REF!</v>
      </c>
      <c r="AA344" s="353" t="e">
        <f>SUM(AA6,AA14,AA22,AA30,AA38,AA46,#REF!,AA70,AA78,AA86,AA94,#REF!,AA110,AA118,AA126,AA142,AA150,AA158,AA166,AA174)+SUM(AA190,AA198,AA206,AA214,AA222,AA230,AA238,AA246,AA254,AA262,AA270,AA278,AA286,AA294,AA302,AA310,AA334)</f>
        <v>#REF!</v>
      </c>
      <c r="AB344" s="353" t="e">
        <f>SUM(AB6,AB14,AB22,AB30,AB38,AB46,#REF!,AB70,AB78,AB86,AB94,#REF!,AB110,AB118,AB126,AB142,AB150,AB158,AB166,AB174)+SUM(AB190,AB198,AB206,AB214,AB222,AB230,AB238,AB246,AB254,AB262,AB270,AB278,AB286,AB294,AB302,AB310,AB334)</f>
        <v>#REF!</v>
      </c>
      <c r="AC344" s="353" t="e">
        <f>SUM(AC6,AC14,AC22,AC30,AC38,AC46,#REF!,AC70,AC78,AC86,AC94,#REF!,AC110,AC118,AC126,AC142,AC150,AC158,AC166,AC174)+SUM(AC190,AC198,AC206,AC214,AC222,AC230,AC238,AC246,AC254,AC262,AC270,AC278,AC286,AC294,AC302,AC310,AC334)</f>
        <v>#REF!</v>
      </c>
      <c r="AD344" s="353" t="e">
        <f>SUM(AD6,AD14,AD22,AD30,AD38,AD46,#REF!,AD70,AD78,AD86,AD94,#REF!,AD110,AD118,AD126,AD142,AD150,AD158,AD166,AD174)+SUM(AD190,AD198,AD206,AD214,AD222,AD230,AD238,AD246,AD254,AD262,AD270,AD278,AD286,AD294,AD302,AD310,AD334)</f>
        <v>#REF!</v>
      </c>
      <c r="AE344" s="353" t="e">
        <f>SUM(AE6,AE14,AE22,AE30,AE38,AE46,#REF!,AE70,AE78,AE86,AE94,#REF!,AE110,AE118,AE126,AE142,AE150,AE158,AE166,AE174)+SUM(AE190,AE198,AE206,AE214,AE222,AE230,AE238,AE246,AE254,AE262,AE270,AE278,AE286,AE294,AE302,AE310,AE334)</f>
        <v>#REF!</v>
      </c>
      <c r="AF344" s="353" t="e">
        <f>SUM(AF6,AF14,AF22,AF30,AF38,AF46,#REF!,AF70,AF78,AF86,AF94,#REF!,AF110,AF118,AF126,AF142,AF150,AF158,AF166,AF174)+SUM(AF190,AF198,AF206,AF214,AF222,AF230,AF238,AF246,AF254,AF262,AF270,AF278,AF286,AF294,AF302,AF310,AF334)</f>
        <v>#REF!</v>
      </c>
      <c r="AG344" s="353" t="e">
        <f>SUM(AG6,AG14,AG22,AG30,AG38,AG46,#REF!,AG70,AG78,AG86,AG94,#REF!,AG110,AG118,AG126,AG142,AG150,AG158,AG166,AG174)+SUM(AG190,AG198,AG206,AG214,AG222,AG230,AG238,AG246,AG254,AG262,AG270,AG278,AG286,AG294,AG302,AG310,AG334)</f>
        <v>#REF!</v>
      </c>
      <c r="AH344" s="353" t="e">
        <f>SUM(AH6,AH14,AH22,AH30,AH38,AH46,#REF!,AH70,AH78,AH86,AH94,#REF!,AH110,AH118,AH126,AH142,AH150,AH158,AH166,AH174)+SUM(AH190,AH198,AH206,AH214,AH222,AH230,AH238,AH246,AH254,AH262,AH270,AH278,AH286,AH294,AH302,AH310,AH334)</f>
        <v>#REF!</v>
      </c>
      <c r="AI344" s="353" t="e">
        <f>SUM(AI6,AI14,AI22,AI30,AI38,AI46,#REF!,AI70,AI78,AI86,AI94,#REF!,AI110,AI118,AI126,AI142,AI150,AI158,AI166,AI174)+SUM(AI190,AI198,AI206,AI214,AI222,AI230,AI238,AI246,AI254,AI262,AI270,AI278,AI286,AI294,AI302,AI310,AI334)</f>
        <v>#REF!</v>
      </c>
      <c r="AJ344" s="353" t="e">
        <f>SUM(AJ6,AJ14,AJ22,AJ30,AJ38,AJ46,#REF!,AJ70,AJ78,AJ86,AJ94,#REF!,AJ110,AJ118,AJ126,AJ142,AJ150,AJ158,AJ166,AJ174)+SUM(AJ190,AJ198,AJ206,AJ214,AJ222,AJ230,AJ238,AJ246,AJ254,AJ262,AJ270,AJ278,AJ286,AJ294,AJ302,AJ310,AJ334)</f>
        <v>#REF!</v>
      </c>
      <c r="AK344" s="353" t="e">
        <f>SUM(AK6,AK14,AK22,AK30,AK38,AK46,#REF!,AK70,AK78,AK86,AK94,#REF!,AK110,AK118,AK126,AK142,AK150,AK158,AK166,AK174)+SUM(AK190,AK198,AK206,AK214,AK222,AK230,AK238,AK246,AK254,AK262,AK270,AK278,AK286,AK294,AK302,AK310,AK334)</f>
        <v>#REF!</v>
      </c>
      <c r="AL344" s="395" t="e">
        <f>SUM(AL6,AL14,AL22,AL30,AL38,AL46,#REF!,AL70,AL78,AL86,AL94,#REF!,AL110,AL118,AL126,AL142,AL150,AL158,AL166,AL174)+SUM(AL190,AL198,AL206,AL214,AL222,AL230,AL238,AL246,AL254,AL262,AL270,AL278,AL286,AL294,AL302,AL310,AL334)</f>
        <v>#REF!</v>
      </c>
      <c r="AM344" s="580">
        <f>SUM(AM6:AM341)</f>
        <v>314040722</v>
      </c>
    </row>
    <row r="345" spans="1:39" ht="12.75">
      <c r="A345" s="619"/>
      <c r="B345" s="612"/>
      <c r="C345" s="612"/>
      <c r="D345" s="612"/>
      <c r="E345" s="620"/>
      <c r="F345" s="583"/>
      <c r="G345" s="396" t="s">
        <v>115</v>
      </c>
      <c r="H345" s="357">
        <f t="shared" si="84"/>
        <v>115903179</v>
      </c>
      <c r="I345" s="357">
        <f t="shared" si="84"/>
        <v>114286217</v>
      </c>
      <c r="J345" s="357">
        <f t="shared" si="84"/>
        <v>138968668</v>
      </c>
      <c r="K345" s="357">
        <f t="shared" si="84"/>
        <v>139902679</v>
      </c>
      <c r="L345" s="357">
        <f t="shared" si="84"/>
        <v>11400000</v>
      </c>
      <c r="M345" s="357" t="e">
        <f>SUM(M7,M15,M23,M31,M39,M47,#REF!,M71,M79,M87,M95,#REF!,M111,M119,M127,M143,M151,M159,M167,M175)+SUM(M191,M199,M207,M215,M223,M231,M239,M247,M255,M263,M271,M279,M287,M295,M303,M311,M335)</f>
        <v>#REF!</v>
      </c>
      <c r="N345" s="357" t="e">
        <f>SUM(N7,N15,N23,N31,N39,N47,#REF!,N71,N79,N87,N95,#REF!,N111,N119,N127,N143,N151,N159,N167,N175)+SUM(N191,N199,N207,N215,N223,N231,N239,N247,N255,N263,N271,N279,N287,N295,N303,N311,N335)</f>
        <v>#REF!</v>
      </c>
      <c r="O345" s="357" t="e">
        <f>SUM(O7,O15,O23,O31,O39,O47,#REF!,O71,O79,O87,O95,#REF!,O111,O119,O127,O143,O151,O159,O167,O175)+SUM(O191,O199,O207,O215,O223,O231,O239,O247,O255,O263,O271,O279,O287,O295,O303,O311,O335)</f>
        <v>#REF!</v>
      </c>
      <c r="P345" s="357" t="e">
        <f>SUM(P7,P15,P23,P31,P39,P47,#REF!,P71,P79,P87,P95,#REF!,P111,P119,P127,P143,P151,P159,P167,P175)+SUM(P191,P199,P207,P215,P223,P231,P239,P247,P255,P263,P271,P279,P287,P295,P303,P311,P335)</f>
        <v>#REF!</v>
      </c>
      <c r="Q345" s="357" t="e">
        <f>SUM(Q7,Q15,Q23,Q31,Q39,Q47,#REF!,Q71,Q79,Q87,Q95,#REF!,Q111,Q119,Q127,Q143,Q151,Q159,Q167,Q175)+SUM(Q191,Q199,Q207,Q215,Q223,Q231,Q239,Q247,Q255,Q263,Q271,Q279,Q287,Q295,Q303,Q311,Q335)</f>
        <v>#REF!</v>
      </c>
      <c r="R345" s="357" t="e">
        <f>SUM(R7,R15,R23,R31,R39,R47,#REF!,R71,R79,R87,R95,#REF!,R111,R119,R127,R143,R151,R159,R167,R175)+SUM(R191,R199,R207,R215,R223,R231,R239,R247,R255,R263,R271,R279,R287,R295,R303,R311,R335)</f>
        <v>#REF!</v>
      </c>
      <c r="S345" s="357" t="e">
        <f>SUM(S7,S15,S23,S31,S39,S47,#REF!,S71,S79,S87,S95,#REF!,S111,S119,S127,S143,S151,S159,S167,S175)+SUM(S191,S199,S207,S215,S223,S231,S239,S247,S255,S263,S271,S279,S287,S295,S303,S311,S335)</f>
        <v>#REF!</v>
      </c>
      <c r="T345" s="357" t="e">
        <f>SUM(T7,T15,T23,T31,T39,T47,#REF!,T71,T79,T87,T95,#REF!,T111,T119,T127,T143,T151,T159,T167,T175)+SUM(T191,T199,T207,T215,T223,T231,T239,T247,T255,T263,T271,T279,T287,T295,T303,T311,T335)</f>
        <v>#REF!</v>
      </c>
      <c r="U345" s="357" t="e">
        <f>SUM(U7,U15,U23,U31,U39,U47,#REF!,U71,U79,U87,U95,#REF!,U111,U119,U127,U143,U151,U159,U167,U175)+SUM(U191,U199,U207,U215,U223,U231,U239,U247,U255,U263,U271,U279,U287,U295,U303,U311,U335)</f>
        <v>#REF!</v>
      </c>
      <c r="V345" s="357" t="e">
        <f>SUM(V7,V15,V23,V31,V39,V47,#REF!,V71,V79,V87,V95,#REF!,V111,V119,V127,V143,V151,V159,V167,V175)+SUM(V191,V199,V207,V215,V223,V231,V239,V247,V255,V263,V271,V279,V287,V295,V303,V311,V335)</f>
        <v>#REF!</v>
      </c>
      <c r="W345" s="357" t="e">
        <f>SUM(W7,W15,W23,W31,W39,W47,#REF!,W71,W79,W87,W95,#REF!,W111,W119,W127,W143,W151,W159,W167,W175)+SUM(W191,W199,W207,W215,W223,W231,W239,W247,W255,W263,W271,W279,W287,W295,W303,W311,W335)</f>
        <v>#REF!</v>
      </c>
      <c r="X345" s="357" t="e">
        <f>SUM(X7,X15,X23,X31,X39,X47,#REF!,X71,X79,X87,X95,#REF!,X111,X119,X127,X143,X151,X159,X167,X175)+SUM(X191,X199,X207,X215,X223,X231,X239,X247,X255,X263,X271,X279,X287,X295,X303,X311,X335)</f>
        <v>#REF!</v>
      </c>
      <c r="Y345" s="357" t="e">
        <f>SUM(Y7,Y15,Y23,Y31,Y39,Y47,#REF!,Y71,Y79,Y87,Y95,#REF!,Y111,Y119,Y127,Y143,Y151,Y159,Y167,Y175)+SUM(Y191,Y199,Y207,Y215,Y223,Y231,Y239,Y247,Y255,Y263,Y271,Y279,Y287,Y295,Y303,Y311,Y335)</f>
        <v>#REF!</v>
      </c>
      <c r="Z345" s="357" t="e">
        <f>SUM(Z7,Z15,Z23,Z31,Z39,Z47,#REF!,Z71,Z79,Z87,Z95,#REF!,Z111,Z119,Z127,Z143,Z151,Z159,Z167,Z175)+SUM(Z191,Z199,Z207,Z215,Z223,Z231,Z239,Z247,Z255,Z263,Z271,Z279,Z287,Z295,Z303,Z311,Z335)</f>
        <v>#REF!</v>
      </c>
      <c r="AA345" s="357" t="e">
        <f>SUM(AA7,AA15,AA23,AA31,AA39,AA47,#REF!,AA71,AA79,AA87,AA95,#REF!,AA111,AA119,AA127,AA143,AA151,AA159,AA167,AA175)+SUM(AA191,AA199,AA207,AA215,AA223,AA231,AA239,AA247,AA255,AA263,AA271,AA279,AA287,AA295,AA303,AA311,AA335)</f>
        <v>#REF!</v>
      </c>
      <c r="AB345" s="357" t="e">
        <f>SUM(AB7,AB15,AB23,AB31,AB39,AB47,#REF!,AB71,AB79,AB87,AB95,#REF!,AB111,AB119,AB127,AB143,AB151,AB159,AB167,AB175)+SUM(AB191,AB199,AB207,AB215,AB223,AB231,AB239,AB247,AB255,AB263,AB271,AB279,AB287,AB295,AB303,AB311,AB335)</f>
        <v>#REF!</v>
      </c>
      <c r="AC345" s="357" t="e">
        <f>SUM(AC7,AC15,AC23,AC31,AC39,AC47,#REF!,AC71,AC79,AC87,AC95,#REF!,AC111,AC119,AC127,AC143,AC151,AC159,AC167,AC175)+SUM(AC191,AC199,AC207,AC215,AC223,AC231,AC239,AC247,AC255,AC263,AC271,AC279,AC287,AC295,AC303,AC311,AC335)</f>
        <v>#REF!</v>
      </c>
      <c r="AD345" s="357" t="e">
        <f>SUM(AD7,AD15,AD23,AD31,AD39,AD47,#REF!,AD71,AD79,AD87,AD95,#REF!,AD111,AD119,AD127,AD143,AD151,AD159,AD167,AD175)+SUM(AD191,AD199,AD207,AD215,AD223,AD231,AD239,AD247,AD255,AD263,AD271,AD279,AD287,AD295,AD303,AD311,AD335)</f>
        <v>#REF!</v>
      </c>
      <c r="AE345" s="357" t="e">
        <f>SUM(AE7,AE15,AE23,AE31,AE39,AE47,#REF!,AE71,AE79,AE87,AE95,#REF!,AE111,AE119,AE127,AE143,AE151,AE159,AE167,AE175)+SUM(AE191,AE199,AE207,AE215,AE223,AE231,AE239,AE247,AE255,AE263,AE271,AE279,AE287,AE295,AE303,AE311,AE335)</f>
        <v>#REF!</v>
      </c>
      <c r="AF345" s="357" t="e">
        <f>SUM(AF7,AF15,AF23,AF31,AF39,AF47,#REF!,AF71,AF79,AF87,AF95,#REF!,AF111,AF119,AF127,AF143,AF151,AF159,AF167,AF175)+SUM(AF191,AF199,AF207,AF215,AF223,AF231,AF239,AF247,AF255,AF263,AF271,AF279,AF287,AF295,AF303,AF311,AF335)</f>
        <v>#REF!</v>
      </c>
      <c r="AG345" s="357" t="e">
        <f>SUM(AG7,AG15,AG23,AG31,AG39,AG47,#REF!,AG71,AG79,AG87,AG95,#REF!,AG111,AG119,AG127,AG143,AG151,AG159,AG167,AG175)+SUM(AG191,AG199,AG207,AG215,AG223,AG231,AG239,AG247,AG255,AG263,AG271,AG279,AG287,AG295,AG303,AG311,AG335)</f>
        <v>#REF!</v>
      </c>
      <c r="AH345" s="357" t="e">
        <f>SUM(AH7,AH15,AH23,AH31,AH39,AH47,#REF!,AH71,AH79,AH87,AH95,#REF!,AH111,AH119,AH127,AH143,AH151,AH159,AH167,AH175)+SUM(AH191,AH199,AH207,AH215,AH223,AH231,AH239,AH247,AH255,AH263,AH271,AH279,AH287,AH295,AH303,AH311,AH335)</f>
        <v>#REF!</v>
      </c>
      <c r="AI345" s="357" t="e">
        <f>SUM(AI7,AI15,AI23,AI31,AI39,AI47,#REF!,AI71,AI79,AI87,AI95,#REF!,AI111,AI119,AI127,AI143,AI151,AI159,AI167,AI175)+SUM(AI191,AI199,AI207,AI215,AI223,AI231,AI239,AI247,AI255,AI263,AI271,AI279,AI287,AI295,AI303,AI311,AI335)</f>
        <v>#REF!</v>
      </c>
      <c r="AJ345" s="357" t="e">
        <f>SUM(AJ7,AJ15,AJ23,AJ31,AJ39,AJ47,#REF!,AJ71,AJ79,AJ87,AJ95,#REF!,AJ111,AJ119,AJ127,AJ143,AJ151,AJ159,AJ167,AJ175)+SUM(AJ191,AJ199,AJ207,AJ215,AJ223,AJ231,AJ239,AJ247,AJ255,AJ263,AJ271,AJ279,AJ287,AJ295,AJ303,AJ311,AJ335)</f>
        <v>#REF!</v>
      </c>
      <c r="AK345" s="357" t="e">
        <f>SUM(AK7,AK15,AK23,AK31,AK39,AK47,#REF!,AK71,AK79,AK87,AK95,#REF!,AK111,AK119,AK127,AK143,AK151,AK159,AK167,AK175)+SUM(AK191,AK199,AK207,AK215,AK223,AK231,AK239,AK247,AK255,AK263,AK271,AK279,AK287,AK295,AK303,AK311,AK335)</f>
        <v>#REF!</v>
      </c>
      <c r="AL345" s="397" t="e">
        <f>SUM(AL7,AL15,AL23,AL31,AL39,AL47,#REF!,AL71,AL79,AL87,AL95,#REF!,AL111,AL119,AL127,AL143,AL151,AL159,AL167,AL175)+SUM(AL191,AL199,AL207,AL215,AL223,AL231,AL239,AL247,AL255,AL263,AL271,AL279,AL287,AL295,AL303,AL311,AL335)</f>
        <v>#REF!</v>
      </c>
      <c r="AM345" s="581"/>
    </row>
    <row r="346" spans="1:39" ht="12.75">
      <c r="A346" s="619"/>
      <c r="B346" s="612"/>
      <c r="C346" s="612"/>
      <c r="D346" s="612"/>
      <c r="E346" s="620"/>
      <c r="F346" s="584"/>
      <c r="G346" s="396" t="s">
        <v>116</v>
      </c>
      <c r="H346" s="357">
        <f t="shared" si="84"/>
        <v>0</v>
      </c>
      <c r="I346" s="357">
        <f t="shared" si="84"/>
        <v>0</v>
      </c>
      <c r="J346" s="357">
        <f t="shared" si="84"/>
        <v>0</v>
      </c>
      <c r="K346" s="357">
        <f t="shared" si="84"/>
        <v>0</v>
      </c>
      <c r="L346" s="357">
        <f t="shared" si="84"/>
        <v>0</v>
      </c>
      <c r="M346" s="357" t="e">
        <f>SUM(M8,M16,M24,M32,M40,M48,#REF!,M72,M80,M88,M96,#REF!,M112,M120,M128,M144,M152,M160,M168,M176)+SUM(M192,M200,M208,M216,M224,M232,M240,M248,M256,M264,M272,M280,M288,M296,M304,M312,M336)</f>
        <v>#REF!</v>
      </c>
      <c r="N346" s="357" t="e">
        <f>SUM(N8,N16,N24,N32,N40,N48,#REF!,N72,N80,N88,N96,#REF!,N112,N120,N128,N144,N152,N160,N168,N176)+SUM(N192,N200,N208,N216,N224,N232,N240,N248,N256,N264,N272,N280,N288,N296,N304,N312,N336)</f>
        <v>#REF!</v>
      </c>
      <c r="O346" s="357" t="e">
        <f>SUM(O8,O16,O24,O32,O40,O48,#REF!,O72,O80,O88,O96,#REF!,O112,O120,O128,O144,O152,O160,O168,O176)+SUM(O192,O200,O208,O216,O224,O232,O240,O248,O256,O264,O272,O280,O288,O296,O304,O312,O336)</f>
        <v>#REF!</v>
      </c>
      <c r="P346" s="357" t="e">
        <f>SUM(P8,P16,P24,P32,P40,P48,#REF!,P72,P80,P88,P96,#REF!,P112,P120,P128,P144,P152,P160,P168,P176)+SUM(P192,P200,P208,P216,P224,P232,P240,P248,P256,P264,P272,P280,P288,P296,P304,P312,P336)</f>
        <v>#REF!</v>
      </c>
      <c r="Q346" s="357" t="e">
        <f>SUM(Q8,Q16,Q24,Q32,Q40,Q48,#REF!,Q72,Q80,Q88,Q96,#REF!,Q112,Q120,Q128,Q144,Q152,Q160,Q168,Q176)+SUM(Q192,Q200,Q208,Q216,Q224,Q232,Q240,Q248,Q256,Q264,Q272,Q280,Q288,Q296,Q304,Q312,Q336)</f>
        <v>#REF!</v>
      </c>
      <c r="R346" s="357" t="e">
        <f>SUM(R8,R16,R24,R32,R40,R48,#REF!,R72,R80,R88,R96,#REF!,R112,R120,R128,R144,R152,R160,R168,R176)+SUM(R192,R200,R208,R216,R224,R232,R240,R248,R256,R264,R272,R280,R288,R296,R304,R312,R336)</f>
        <v>#REF!</v>
      </c>
      <c r="S346" s="357" t="e">
        <f>SUM(S8,S16,S24,S32,S40,S48,#REF!,S72,S80,S88,S96,#REF!,S112,S120,S128,S144,S152,S160,S168,S176)+SUM(S192,S200,S208,S216,S224,S232,S240,S248,S256,S264,S272,S280,S288,S296,S304,S312,S336)</f>
        <v>#REF!</v>
      </c>
      <c r="T346" s="357" t="e">
        <f>SUM(T8,T16,T24,T32,T40,T48,#REF!,T72,T80,T88,T96,#REF!,T112,T120,T128,T144,T152,T160,T168,T176)+SUM(T192,T200,T208,T216,T224,T232,T240,T248,T256,T264,T272,T280,T288,T296,T304,T312,T336)</f>
        <v>#REF!</v>
      </c>
      <c r="U346" s="357" t="e">
        <f>SUM(U8,U16,U24,U32,U40,U48,#REF!,U72,U80,U88,U96,#REF!,U112,U120,U128,U144,U152,U160,U168,U176)+SUM(U192,U200,U208,U216,U224,U232,U240,U248,U256,U264,U272,U280,U288,U296,U304,U312,U336)</f>
        <v>#REF!</v>
      </c>
      <c r="V346" s="357" t="e">
        <f>SUM(V8,V16,V24,V32,V40,V48,#REF!,V72,V80,V88,V96,#REF!,V112,V120,V128,V144,V152,V160,V168,V176)+SUM(V192,V200,V208,V216,V224,V232,V240,V248,V256,V264,V272,V280,V288,V296,V304,V312,V336)</f>
        <v>#REF!</v>
      </c>
      <c r="W346" s="357" t="e">
        <f>SUM(W8,W16,W24,W32,W40,W48,#REF!,W72,W80,W88,W96,#REF!,W112,W120,W128,W144,W152,W160,W168,W176)+SUM(W192,W200,W208,W216,W224,W232,W240,W248,W256,W264,W272,W280,W288,W296,W304,W312,W336)</f>
        <v>#REF!</v>
      </c>
      <c r="X346" s="357" t="e">
        <f>SUM(X8,X16,X24,X32,X40,X48,#REF!,X72,X80,X88,X96,#REF!,X112,X120,X128,X144,X152,X160,X168,X176)+SUM(X192,X200,X208,X216,X224,X232,X240,X248,X256,X264,X272,X280,X288,X296,X304,X312,X336)</f>
        <v>#REF!</v>
      </c>
      <c r="Y346" s="357" t="e">
        <f>SUM(Y8,Y16,Y24,Y32,Y40,Y48,#REF!,Y72,Y80,Y88,Y96,#REF!,Y112,Y120,Y128,Y144,Y152,Y160,Y168,Y176)+SUM(Y192,Y200,Y208,Y216,Y224,Y232,Y240,Y248,Y256,Y264,Y272,Y280,Y288,Y296,Y304,Y312,Y336)</f>
        <v>#REF!</v>
      </c>
      <c r="Z346" s="357" t="e">
        <f>SUM(Z8,Z16,Z24,Z32,Z40,Z48,#REF!,Z72,Z80,Z88,Z96,#REF!,Z112,Z120,Z128,Z144,Z152,Z160,Z168,Z176)+SUM(Z192,Z200,Z208,Z216,Z224,Z232,Z240,Z248,Z256,Z264,Z272,Z280,Z288,Z296,Z304,Z312,Z336)</f>
        <v>#REF!</v>
      </c>
      <c r="AA346" s="357" t="e">
        <f>SUM(AA8,AA16,AA24,AA32,AA40,AA48,#REF!,AA72,AA80,AA88,AA96,#REF!,AA112,AA120,AA128,AA144,AA152,AA160,AA168,AA176)+SUM(AA192,AA200,AA208,AA216,AA224,AA232,AA240,AA248,AA256,AA264,AA272,AA280,AA288,AA296,AA304,AA312,AA336)</f>
        <v>#REF!</v>
      </c>
      <c r="AB346" s="357" t="e">
        <f>SUM(AB8,AB16,AB24,AB32,AB40,AB48,#REF!,AB72,AB80,AB88,AB96,#REF!,AB112,AB120,AB128,AB144,AB152,AB160,AB168,AB176)+SUM(AB192,AB200,AB208,AB216,AB224,AB232,AB240,AB248,AB256,AB264,AB272,AB280,AB288,AB296,AB304,AB312,AB336)</f>
        <v>#REF!</v>
      </c>
      <c r="AC346" s="357" t="e">
        <f>SUM(AC8,AC16,AC24,AC32,AC40,AC48,#REF!,AC72,AC80,AC88,AC96,#REF!,AC112,AC120,AC128,AC144,AC152,AC160,AC168,AC176)+SUM(AC192,AC200,AC208,AC216,AC224,AC232,AC240,AC248,AC256,AC264,AC272,AC280,AC288,AC296,AC304,AC312,AC336)</f>
        <v>#REF!</v>
      </c>
      <c r="AD346" s="357" t="e">
        <f>SUM(AD8,AD16,AD24,AD32,AD40,AD48,#REF!,AD72,AD80,AD88,AD96,#REF!,AD112,AD120,AD128,AD144,AD152,AD160,AD168,AD176)+SUM(AD192,AD200,AD208,AD216,AD224,AD232,AD240,AD248,AD256,AD264,AD272,AD280,AD288,AD296,AD304,AD312,AD336)</f>
        <v>#REF!</v>
      </c>
      <c r="AE346" s="357" t="e">
        <f>SUM(AE8,AE16,AE24,AE32,AE40,AE48,#REF!,AE72,AE80,AE88,AE96,#REF!,AE112,AE120,AE128,AE144,AE152,AE160,AE168,AE176)+SUM(AE192,AE200,AE208,AE216,AE224,AE232,AE240,AE248,AE256,AE264,AE272,AE280,AE288,AE296,AE304,AE312,AE336)</f>
        <v>#REF!</v>
      </c>
      <c r="AF346" s="357" t="e">
        <f>SUM(AF8,AF16,AF24,AF32,AF40,AF48,#REF!,AF72,AF80,AF88,AF96,#REF!,AF112,AF120,AF128,AF144,AF152,AF160,AF168,AF176)+SUM(AF192,AF200,AF208,AF216,AF224,AF232,AF240,AF248,AF256,AF264,AF272,AF280,AF288,AF296,AF304,AF312,AF336)</f>
        <v>#REF!</v>
      </c>
      <c r="AG346" s="357" t="e">
        <f>SUM(AG8,AG16,AG24,AG32,AG40,AG48,#REF!,AG72,AG80,AG88,AG96,#REF!,AG112,AG120,AG128,AG144,AG152,AG160,AG168,AG176)+SUM(AG192,AG200,AG208,AG216,AG224,AG232,AG240,AG248,AG256,AG264,AG272,AG280,AG288,AG296,AG304,AG312,AG336)</f>
        <v>#REF!</v>
      </c>
      <c r="AH346" s="357" t="e">
        <f>SUM(AH8,AH16,AH24,AH32,AH40,AH48,#REF!,AH72,AH80,AH88,AH96,#REF!,AH112,AH120,AH128,AH144,AH152,AH160,AH168,AH176)+SUM(AH192,AH200,AH208,AH216,AH224,AH232,AH240,AH248,AH256,AH264,AH272,AH280,AH288,AH296,AH304,AH312,AH336)</f>
        <v>#REF!</v>
      </c>
      <c r="AI346" s="357" t="e">
        <f>SUM(AI8,AI16,AI24,AI32,AI40,AI48,#REF!,AI72,AI80,AI88,AI96,#REF!,AI112,AI120,AI128,AI144,AI152,AI160,AI168,AI176)+SUM(AI192,AI200,AI208,AI216,AI224,AI232,AI240,AI248,AI256,AI264,AI272,AI280,AI288,AI296,AI304,AI312,AI336)</f>
        <v>#REF!</v>
      </c>
      <c r="AJ346" s="357" t="e">
        <f>SUM(AJ8,AJ16,AJ24,AJ32,AJ40,AJ48,#REF!,AJ72,AJ80,AJ88,AJ96,#REF!,AJ112,AJ120,AJ128,AJ144,AJ152,AJ160,AJ168,AJ176)+SUM(AJ192,AJ200,AJ208,AJ216,AJ224,AJ232,AJ240,AJ248,AJ256,AJ264,AJ272,AJ280,AJ288,AJ296,AJ304,AJ312,AJ336)</f>
        <v>#REF!</v>
      </c>
      <c r="AK346" s="357" t="e">
        <f>SUM(AK8,AK16,AK24,AK32,AK40,AK48,#REF!,AK72,AK80,AK88,AK96,#REF!,AK112,AK120,AK128,AK144,AK152,AK160,AK168,AK176)+SUM(AK192,AK200,AK208,AK216,AK224,AK232,AK240,AK248,AK256,AK264,AK272,AK280,AK288,AK296,AK304,AK312,AK336)</f>
        <v>#REF!</v>
      </c>
      <c r="AL346" s="397" t="e">
        <f>SUM(AL8,AL16,AL24,AL32,AL40,AL48,#REF!,AL72,AL80,AL88,AL96,#REF!,AL112,AL120,AL128,AL144,AL152,AL160,AL168,AL176)+SUM(AL192,AL200,AL208,AL216,AL224,AL232,AL240,AL248,AL256,AL264,AL272,AL280,AL288,AL296,AL304,AL312,AL336)</f>
        <v>#REF!</v>
      </c>
      <c r="AM346" s="581"/>
    </row>
    <row r="347" spans="1:39" ht="12.75">
      <c r="A347" s="619"/>
      <c r="B347" s="612"/>
      <c r="C347" s="612"/>
      <c r="D347" s="612"/>
      <c r="E347" s="620"/>
      <c r="F347" s="359" t="s">
        <v>117</v>
      </c>
      <c r="G347" s="396" t="s">
        <v>118</v>
      </c>
      <c r="H347" s="357">
        <f t="shared" si="84"/>
        <v>0</v>
      </c>
      <c r="I347" s="357">
        <f t="shared" si="84"/>
        <v>0</v>
      </c>
      <c r="J347" s="357">
        <f t="shared" si="84"/>
        <v>0</v>
      </c>
      <c r="K347" s="357">
        <f t="shared" si="84"/>
        <v>0</v>
      </c>
      <c r="L347" s="357">
        <f t="shared" si="84"/>
        <v>0</v>
      </c>
      <c r="M347" s="357" t="e">
        <f>SUM(M9,M17,M25,M33,M41,M49,#REF!,M73,M81,M89,M97,#REF!,M113,M121,M129,M145,M153,M161,M169,M177)+SUM(M193,M201,M209,M217,M225,M233,M241,M249,M257,M265,M273,M281,M289,M297,M305,M313,M337)</f>
        <v>#REF!</v>
      </c>
      <c r="N347" s="357" t="e">
        <f>SUM(N9,N17,N25,N33,N41,N49,#REF!,N73,N81,N89,N97,#REF!,N113,N121,N129,N145,N153,N161,N169,N177)+SUM(N193,N201,N209,N217,N225,N233,N241,N249,N257,N265,N273,N281,N289,N297,N305,N313,N337)</f>
        <v>#REF!</v>
      </c>
      <c r="O347" s="357" t="e">
        <f>SUM(O9,O17,O25,O33,O41,O49,#REF!,O73,O81,O89,O97,#REF!,O113,O121,O129,O145,O153,O161,O169,O177)+SUM(O193,O201,O209,O217,O225,O233,O241,O249,O257,O265,O273,O281,O289,O297,O305,O313,O337)</f>
        <v>#REF!</v>
      </c>
      <c r="P347" s="357" t="e">
        <f>SUM(P9,P17,P25,P33,P41,P49,#REF!,P73,P81,P89,P97,#REF!,P113,P121,P129,P145,P153,P161,P169,P177)+SUM(P193,P201,P209,P217,P225,P233,P241,P249,P257,P265,P273,P281,P289,P297,P305,P313,P337)</f>
        <v>#REF!</v>
      </c>
      <c r="Q347" s="357" t="e">
        <f>SUM(Q9,Q17,Q25,Q33,Q41,Q49,#REF!,Q73,Q81,Q89,Q97,#REF!,Q113,Q121,Q129,Q145,Q153,Q161,Q169,Q177)+SUM(Q193,Q201,Q209,Q217,Q225,Q233,Q241,Q249,Q257,Q265,Q273,Q281,Q289,Q297,Q305,Q313,Q337)</f>
        <v>#REF!</v>
      </c>
      <c r="R347" s="357" t="e">
        <f>SUM(R9,R17,R25,R33,R41,R49,#REF!,R73,R81,R89,R97,#REF!,R113,R121,R129,R145,R153,R161,R169,R177)+SUM(R193,R201,R209,R217,R225,R233,R241,R249,R257,R265,R273,R281,R289,R297,R305,R313,R337)</f>
        <v>#REF!</v>
      </c>
      <c r="S347" s="357" t="e">
        <f>SUM(S9,S17,S25,S33,S41,S49,#REF!,S73,S81,S89,S97,#REF!,S113,S121,S129,S145,S153,S161,S169,S177)+SUM(S193,S201,S209,S217,S225,S233,S241,S249,S257,S265,S273,S281,S289,S297,S305,S313,S337)</f>
        <v>#REF!</v>
      </c>
      <c r="T347" s="357" t="e">
        <f>SUM(T9,T17,T25,T33,T41,T49,#REF!,T73,T81,T89,T97,#REF!,T113,T121,T129,T145,T153,T161,T169,T177)+SUM(T193,T201,T209,T217,T225,T233,T241,T249,T257,T265,T273,T281,T289,T297,T305,T313,T337)</f>
        <v>#REF!</v>
      </c>
      <c r="U347" s="357" t="e">
        <f>SUM(U9,U17,U25,U33,U41,U49,#REF!,U73,U81,U89,U97,#REF!,U113,U121,U129,U145,U153,U161,U169,U177)+SUM(U193,U201,U209,U217,U225,U233,U241,U249,U257,U265,U273,U281,U289,U297,U305,U313,U337)</f>
        <v>#REF!</v>
      </c>
      <c r="V347" s="357" t="e">
        <f>SUM(V9,V17,V25,V33,V41,V49,#REF!,V73,V81,V89,V97,#REF!,V113,V121,V129,V145,V153,V161,V169,V177)+SUM(V193,V201,V209,V217,V225,V233,V241,V249,V257,V265,V273,V281,V289,V297,V305,V313,V337)</f>
        <v>#REF!</v>
      </c>
      <c r="W347" s="357" t="e">
        <f>SUM(W9,W17,W25,W33,W41,W49,#REF!,W73,W81,W89,W97,#REF!,W113,W121,W129,W145,W153,W161,W169,W177)+SUM(W193,W201,W209,W217,W225,W233,W241,W249,W257,W265,W273,W281,W289,W297,W305,W313,W337)</f>
        <v>#REF!</v>
      </c>
      <c r="X347" s="357" t="e">
        <f>SUM(X9,X17,X25,X33,X41,X49,#REF!,X73,X81,X89,X97,#REF!,X113,X121,X129,X145,X153,X161,X169,X177)+SUM(X193,X201,X209,X217,X225,X233,X241,X249,X257,X265,X273,X281,X289,X297,X305,X313,X337)</f>
        <v>#REF!</v>
      </c>
      <c r="Y347" s="357" t="e">
        <f>SUM(Y9,Y17,Y25,Y33,Y41,Y49,#REF!,Y73,Y81,Y89,Y97,#REF!,Y113,Y121,Y129,Y145,Y153,Y161,Y169,Y177)+SUM(Y193,Y201,Y209,Y217,Y225,Y233,Y241,Y249,Y257,Y265,Y273,Y281,Y289,Y297,Y305,Y313,Y337)</f>
        <v>#REF!</v>
      </c>
      <c r="Z347" s="357" t="e">
        <f>SUM(Z9,Z17,Z25,Z33,Z41,Z49,#REF!,Z73,Z81,Z89,Z97,#REF!,Z113,Z121,Z129,Z145,Z153,Z161,Z169,Z177)+SUM(Z193,Z201,Z209,Z217,Z225,Z233,Z241,Z249,Z257,Z265,Z273,Z281,Z289,Z297,Z305,Z313,Z337)</f>
        <v>#REF!</v>
      </c>
      <c r="AA347" s="357" t="e">
        <f>SUM(AA9,AA17,AA25,AA33,AA41,AA49,#REF!,AA73,AA81,AA89,AA97,#REF!,AA113,AA121,AA129,AA145,AA153,AA161,AA169,AA177)+SUM(AA193,AA201,AA209,AA217,AA225,AA233,AA241,AA249,AA257,AA265,AA273,AA281,AA289,AA297,AA305,AA313,AA337)</f>
        <v>#REF!</v>
      </c>
      <c r="AB347" s="357" t="e">
        <f>SUM(AB9,AB17,AB25,AB33,AB41,AB49,#REF!,AB73,AB81,AB89,AB97,#REF!,AB113,AB121,AB129,AB145,AB153,AB161,AB169,AB177)+SUM(AB193,AB201,AB209,AB217,AB225,AB233,AB241,AB249,AB257,AB265,AB273,AB281,AB289,AB297,AB305,AB313,AB337)</f>
        <v>#REF!</v>
      </c>
      <c r="AC347" s="357" t="e">
        <f>SUM(AC9,AC17,AC25,AC33,AC41,AC49,#REF!,AC73,AC81,AC89,AC97,#REF!,AC113,AC121,AC129,AC145,AC153,AC161,AC169,AC177)+SUM(AC193,AC201,AC209,AC217,AC225,AC233,AC241,AC249,AC257,AC265,AC273,AC281,AC289,AC297,AC305,AC313,AC337)</f>
        <v>#REF!</v>
      </c>
      <c r="AD347" s="357" t="e">
        <f>SUM(AD9,AD17,AD25,AD33,AD41,AD49,#REF!,AD73,AD81,AD89,AD97,#REF!,AD113,AD121,AD129,AD145,AD153,AD161,AD169,AD177)+SUM(AD193,AD201,AD209,AD217,AD225,AD233,AD241,AD249,AD257,AD265,AD273,AD281,AD289,AD297,AD305,AD313,AD337)</f>
        <v>#REF!</v>
      </c>
      <c r="AE347" s="357" t="e">
        <f>SUM(AE9,AE17,AE25,AE33,AE41,AE49,#REF!,AE73,AE81,AE89,AE97,#REF!,AE113,AE121,AE129,AE145,AE153,AE161,AE169,AE177)+SUM(AE193,AE201,AE209,AE217,AE225,AE233,AE241,AE249,AE257,AE265,AE273,AE281,AE289,AE297,AE305,AE313,AE337)</f>
        <v>#REF!</v>
      </c>
      <c r="AF347" s="357" t="e">
        <f>SUM(AF9,AF17,AF25,AF33,AF41,AF49,#REF!,AF73,AF81,AF89,AF97,#REF!,AF113,AF121,AF129,AF145,AF153,AF161,AF169,AF177)+SUM(AF193,AF201,AF209,AF217,AF225,AF233,AF241,AF249,AF257,AF265,AF273,AF281,AF289,AF297,AF305,AF313,AF337)</f>
        <v>#REF!</v>
      </c>
      <c r="AG347" s="357" t="e">
        <f>SUM(AG9,AG17,AG25,AG33,AG41,AG49,#REF!,AG73,AG81,AG89,AG97,#REF!,AG113,AG121,AG129,AG145,AG153,AG161,AG169,AG177)+SUM(AG193,AG201,AG209,AG217,AG225,AG233,AG241,AG249,AG257,AG265,AG273,AG281,AG289,AG297,AG305,AG313,AG337)</f>
        <v>#REF!</v>
      </c>
      <c r="AH347" s="357" t="e">
        <f>SUM(AH9,AH17,AH25,AH33,AH41,AH49,#REF!,AH73,AH81,AH89,AH97,#REF!,AH113,AH121,AH129,AH145,AH153,AH161,AH169,AH177)+SUM(AH193,AH201,AH209,AH217,AH225,AH233,AH241,AH249,AH257,AH265,AH273,AH281,AH289,AH297,AH305,AH313,AH337)</f>
        <v>#REF!</v>
      </c>
      <c r="AI347" s="357" t="e">
        <f>SUM(AI9,AI17,AI25,AI33,AI41,AI49,#REF!,AI73,AI81,AI89,AI97,#REF!,AI113,AI121,AI129,AI145,AI153,AI161,AI169,AI177)+SUM(AI193,AI201,AI209,AI217,AI225,AI233,AI241,AI249,AI257,AI265,AI273,AI281,AI289,AI297,AI305,AI313,AI337)</f>
        <v>#REF!</v>
      </c>
      <c r="AJ347" s="357" t="e">
        <f>SUM(AJ9,AJ17,AJ25,AJ33,AJ41,AJ49,#REF!,AJ73,AJ81,AJ89,AJ97,#REF!,AJ113,AJ121,AJ129,AJ145,AJ153,AJ161,AJ169,AJ177)+SUM(AJ193,AJ201,AJ209,AJ217,AJ225,AJ233,AJ241,AJ249,AJ257,AJ265,AJ273,AJ281,AJ289,AJ297,AJ305,AJ313,AJ337)</f>
        <v>#REF!</v>
      </c>
      <c r="AK347" s="357" t="e">
        <f>SUM(AK9,AK17,AK25,AK33,AK41,AK49,#REF!,AK73,AK81,AK89,AK97,#REF!,AK113,AK121,AK129,AK145,AK153,AK161,AK169,AK177)+SUM(AK193,AK201,AK209,AK217,AK225,AK233,AK241,AK249,AK257,AK265,AK273,AK281,AK289,AK297,AK305,AK313,AK337)</f>
        <v>#REF!</v>
      </c>
      <c r="AL347" s="397" t="e">
        <f>SUM(AL9,AL17,AL25,AL33,AL41,AL49,#REF!,AL73,AL81,AL89,AL97,#REF!,AL113,AL121,AL129,AL145,AL153,AL161,AL169,AL177)+SUM(AL193,AL201,AL209,AL217,AL225,AL233,AL241,AL249,AL257,AL265,AL273,AL281,AL289,AL297,AL305,AL313,AL337)</f>
        <v>#REF!</v>
      </c>
      <c r="AM347" s="581"/>
    </row>
    <row r="348" spans="1:39" ht="12.75">
      <c r="A348" s="619"/>
      <c r="B348" s="612"/>
      <c r="C348" s="612"/>
      <c r="D348" s="612"/>
      <c r="E348" s="620"/>
      <c r="F348" s="583">
        <f>SUM(H351:L351)</f>
        <v>544230118</v>
      </c>
      <c r="G348" s="396" t="s">
        <v>122</v>
      </c>
      <c r="H348" s="357">
        <f t="shared" si="84"/>
        <v>0</v>
      </c>
      <c r="I348" s="357">
        <f t="shared" si="84"/>
        <v>0</v>
      </c>
      <c r="J348" s="357">
        <f t="shared" si="84"/>
        <v>0</v>
      </c>
      <c r="K348" s="357">
        <f t="shared" si="84"/>
        <v>0</v>
      </c>
      <c r="L348" s="357">
        <f t="shared" si="84"/>
        <v>0</v>
      </c>
      <c r="M348" s="357" t="e">
        <f>SUM(M10,M18,M26,M34,M42,M50,#REF!,M74,M82,M90,M98,#REF!,M114,M122,M130,M146,M154,M162,M170,M178)+SUM(M194,M202,M210,M218,M226,M234,M242,M250,M258,M266,M274,M282,M290,M298,M306,M314,M338)</f>
        <v>#REF!</v>
      </c>
      <c r="N348" s="357" t="e">
        <f>SUM(N10,N18,N26,N34,N42,N50,#REF!,N74,N82,N90,N98,#REF!,N114,N122,N130,N146,N154,N162,N170,N178)+SUM(N194,N202,N210,N218,N226,N234,N242,N250,N258,N266,N274,N282,N290,N298,N306,N314,N338)</f>
        <v>#REF!</v>
      </c>
      <c r="O348" s="357" t="e">
        <f>SUM(O10,O18,O26,O34,O42,O50,#REF!,O74,O82,O90,O98,#REF!,O114,O122,O130,O146,O154,O162,O170,O178)+SUM(O194,O202,O210,O218,O226,O234,O242,O250,O258,O266,O274,O282,O290,O298,O306,O314,O338)</f>
        <v>#REF!</v>
      </c>
      <c r="P348" s="357" t="e">
        <f>SUM(P10,P18,P26,P34,P42,P50,#REF!,P74,P82,P90,P98,#REF!,P114,P122,P130,P146,P154,P162,P170,P178)+SUM(P194,P202,P210,P218,P226,P234,P242,P250,P258,P266,P274,P282,P290,P298,P306,P314,P338)</f>
        <v>#REF!</v>
      </c>
      <c r="Q348" s="357" t="e">
        <f>SUM(Q10,Q18,Q26,Q34,Q42,Q50,#REF!,Q74,Q82,Q90,Q98,#REF!,Q114,Q122,Q130,Q146,Q154,Q162,Q170,Q178)+SUM(Q194,Q202,Q210,Q218,Q226,Q234,Q242,Q250,Q258,Q266,Q274,Q282,Q290,Q298,Q306,Q314,Q338)</f>
        <v>#REF!</v>
      </c>
      <c r="R348" s="357" t="e">
        <f>SUM(R10,R18,R26,R34,R42,R50,#REF!,R74,R82,R90,R98,#REF!,R114,R122,R130,R146,R154,R162,R170,R178)+SUM(R194,R202,R210,R218,R226,R234,R242,R250,R258,R266,R274,R282,R290,R298,R306,R314,R338)</f>
        <v>#REF!</v>
      </c>
      <c r="S348" s="357" t="e">
        <f>SUM(S10,S18,S26,S34,S42,S50,#REF!,S74,S82,S90,S98,#REF!,S114,S122,S130,S146,S154,S162,S170,S178)+SUM(S194,S202,S210,S218,S226,S234,S242,S250,S258,S266,S274,S282,S290,S298,S306,S314,S338)</f>
        <v>#REF!</v>
      </c>
      <c r="T348" s="357" t="e">
        <f>SUM(T10,T18,T26,T34,T42,T50,#REF!,T74,T82,T90,T98,#REF!,T114,T122,T130,T146,T154,T162,T170,T178)+SUM(T194,T202,T210,T218,T226,T234,T242,T250,T258,T266,T274,T282,T290,T298,T306,T314,T338)</f>
        <v>#REF!</v>
      </c>
      <c r="U348" s="357" t="e">
        <f>SUM(U10,U18,U26,U34,U42,U50,#REF!,U74,U82,U90,U98,#REF!,U114,U122,U130,U146,U154,U162,U170,U178)+SUM(U194,U202,U210,U218,U226,U234,U242,U250,U258,U266,U274,U282,U290,U298,U306,U314,U338)</f>
        <v>#REF!</v>
      </c>
      <c r="V348" s="357" t="e">
        <f>SUM(V10,V18,V26,V34,V42,V50,#REF!,V74,V82,V90,V98,#REF!,V114,V122,V130,V146,V154,V162,V170,V178)+SUM(V194,V202,V210,V218,V226,V234,V242,V250,V258,V266,V274,V282,V290,V298,V306,V314,V338)</f>
        <v>#REF!</v>
      </c>
      <c r="W348" s="357" t="e">
        <f>SUM(W10,W18,W26,W34,W42,W50,#REF!,W74,W82,W90,W98,#REF!,W114,W122,W130,W146,W154,W162,W170,W178)+SUM(W194,W202,W210,W218,W226,W234,W242,W250,W258,W266,W274,W282,W290,W298,W306,W314,W338)</f>
        <v>#REF!</v>
      </c>
      <c r="X348" s="357" t="e">
        <f>SUM(X10,X18,X26,X34,X42,X50,#REF!,X74,X82,X90,X98,#REF!,X114,X122,X130,X146,X154,X162,X170,X178)+SUM(X194,X202,X210,X218,X226,X234,X242,X250,X258,X266,X274,X282,X290,X298,X306,X314,X338)</f>
        <v>#REF!</v>
      </c>
      <c r="Y348" s="357" t="e">
        <f>SUM(Y10,Y18,Y26,Y34,Y42,Y50,#REF!,Y74,Y82,Y90,Y98,#REF!,Y114,Y122,Y130,Y146,Y154,Y162,Y170,Y178)+SUM(Y194,Y202,Y210,Y218,Y226,Y234,Y242,Y250,Y258,Y266,Y274,Y282,Y290,Y298,Y306,Y314,Y338)</f>
        <v>#REF!</v>
      </c>
      <c r="Z348" s="357" t="e">
        <f>SUM(Z10,Z18,Z26,Z34,Z42,Z50,#REF!,Z74,Z82,Z90,Z98,#REF!,Z114,Z122,Z130,Z146,Z154,Z162,Z170,Z178)+SUM(Z194,Z202,Z210,Z218,Z226,Z234,Z242,Z250,Z258,Z266,Z274,Z282,Z290,Z298,Z306,Z314,Z338)</f>
        <v>#REF!</v>
      </c>
      <c r="AA348" s="357" t="e">
        <f>SUM(AA10,AA18,AA26,AA34,AA42,AA50,#REF!,AA74,AA82,AA90,AA98,#REF!,AA114,AA122,AA130,AA146,AA154,AA162,AA170,AA178)+SUM(AA194,AA202,AA210,AA218,AA226,AA234,AA242,AA250,AA258,AA266,AA274,AA282,AA290,AA298,AA306,AA314,AA338)</f>
        <v>#REF!</v>
      </c>
      <c r="AB348" s="357" t="e">
        <f>SUM(AB10,AB18,AB26,AB34,AB42,AB50,#REF!,AB74,AB82,AB90,AB98,#REF!,AB114,AB122,AB130,AB146,AB154,AB162,AB170,AB178)+SUM(AB194,AB202,AB210,AB218,AB226,AB234,AB242,AB250,AB258,AB266,AB274,AB282,AB290,AB298,AB306,AB314,AB338)</f>
        <v>#REF!</v>
      </c>
      <c r="AC348" s="357" t="e">
        <f>SUM(AC10,AC18,AC26,AC34,AC42,AC50,#REF!,AC74,AC82,AC90,AC98,#REF!,AC114,AC122,AC130,AC146,AC154,AC162,AC170,AC178)+SUM(AC194,AC202,AC210,AC218,AC226,AC234,AC242,AC250,AC258,AC266,AC274,AC282,AC290,AC298,AC306,AC314,AC338)</f>
        <v>#REF!</v>
      </c>
      <c r="AD348" s="357" t="e">
        <f>SUM(AD10,AD18,AD26,AD34,AD42,AD50,#REF!,AD74,AD82,AD90,AD98,#REF!,AD114,AD122,AD130,AD146,AD154,AD162,AD170,AD178)+SUM(AD194,AD202,AD210,AD218,AD226,AD234,AD242,AD250,AD258,AD266,AD274,AD282,AD290,AD298,AD306,AD314,AD338)</f>
        <v>#REF!</v>
      </c>
      <c r="AE348" s="357" t="e">
        <f>SUM(AE10,AE18,AE26,AE34,AE42,AE50,#REF!,AE74,AE82,AE90,AE98,#REF!,AE114,AE122,AE130,AE146,AE154,AE162,AE170,AE178)+SUM(AE194,AE202,AE210,AE218,AE226,AE234,AE242,AE250,AE258,AE266,AE274,AE282,AE290,AE298,AE306,AE314,AE338)</f>
        <v>#REF!</v>
      </c>
      <c r="AF348" s="357" t="e">
        <f>SUM(AF10,AF18,AF26,AF34,AF42,AF50,#REF!,AF74,AF82,AF90,AF98,#REF!,AF114,AF122,AF130,AF146,AF154,AF162,AF170,AF178)+SUM(AF194,AF202,AF210,AF218,AF226,AF234,AF242,AF250,AF258,AF266,AF274,AF282,AF290,AF298,AF306,AF314,AF338)</f>
        <v>#REF!</v>
      </c>
      <c r="AG348" s="357" t="e">
        <f>SUM(AG10,AG18,AG26,AG34,AG42,AG50,#REF!,AG74,AG82,AG90,AG98,#REF!,AG114,AG122,AG130,AG146,AG154,AG162,AG170,AG178)+SUM(AG194,AG202,AG210,AG218,AG226,AG234,AG242,AG250,AG258,AG266,AG274,AG282,AG290,AG298,AG306,AG314,AG338)</f>
        <v>#REF!</v>
      </c>
      <c r="AH348" s="357" t="e">
        <f>SUM(AH10,AH18,AH26,AH34,AH42,AH50,#REF!,AH74,AH82,AH90,AH98,#REF!,AH114,AH122,AH130,AH146,AH154,AH162,AH170,AH178)+SUM(AH194,AH202,AH210,AH218,AH226,AH234,AH242,AH250,AH258,AH266,AH274,AH282,AH290,AH298,AH306,AH314,AH338)</f>
        <v>#REF!</v>
      </c>
      <c r="AI348" s="357" t="e">
        <f>SUM(AI10,AI18,AI26,AI34,AI42,AI50,#REF!,AI74,AI82,AI90,AI98,#REF!,AI114,AI122,AI130,AI146,AI154,AI162,AI170,AI178)+SUM(AI194,AI202,AI210,AI218,AI226,AI234,AI242,AI250,AI258,AI266,AI274,AI282,AI290,AI298,AI306,AI314,AI338)</f>
        <v>#REF!</v>
      </c>
      <c r="AJ348" s="357" t="e">
        <f>SUM(AJ10,AJ18,AJ26,AJ34,AJ42,AJ50,#REF!,AJ74,AJ82,AJ90,AJ98,#REF!,AJ114,AJ122,AJ130,AJ146,AJ154,AJ162,AJ170,AJ178)+SUM(AJ194,AJ202,AJ210,AJ218,AJ226,AJ234,AJ242,AJ250,AJ258,AJ266,AJ274,AJ282,AJ290,AJ298,AJ306,AJ314,AJ338)</f>
        <v>#REF!</v>
      </c>
      <c r="AK348" s="357" t="e">
        <f>SUM(AK10,AK18,AK26,AK34,AK42,AK50,#REF!,AK74,AK82,AK90,AK98,#REF!,AK114,AK122,AK130,AK146,AK154,AK162,AK170,AK178)+SUM(AK194,AK202,AK210,AK218,AK226,AK234,AK242,AK250,AK258,AK266,AK274,AK282,AK290,AK298,AK306,AK314,AK338)</f>
        <v>#REF!</v>
      </c>
      <c r="AL348" s="397" t="e">
        <f>SUM(AL10,AL18,AL26,AL34,AL42,AL50,#REF!,AL74,AL82,AL90,AL98,#REF!,AL114,AL122,AL130,AL146,AL154,AL162,AL170,AL178)+SUM(AL194,AL202,AL210,AL218,AL226,AL234,AL242,AL250,AL258,AL266,AL274,AL282,AL290,AL298,AL306,AL314,AL338)</f>
        <v>#REF!</v>
      </c>
      <c r="AM348" s="581"/>
    </row>
    <row r="349" spans="1:39" ht="12.75">
      <c r="A349" s="619"/>
      <c r="B349" s="612"/>
      <c r="C349" s="612"/>
      <c r="D349" s="612"/>
      <c r="E349" s="620"/>
      <c r="F349" s="584"/>
      <c r="G349" s="396" t="s">
        <v>123</v>
      </c>
      <c r="H349" s="357">
        <f t="shared" si="84"/>
        <v>0</v>
      </c>
      <c r="I349" s="357">
        <f t="shared" si="84"/>
        <v>0</v>
      </c>
      <c r="J349" s="357">
        <f t="shared" si="84"/>
        <v>17626337</v>
      </c>
      <c r="K349" s="357">
        <f t="shared" si="84"/>
        <v>6143038</v>
      </c>
      <c r="L349" s="357">
        <f t="shared" si="84"/>
        <v>0</v>
      </c>
      <c r="M349" s="357" t="e">
        <f>SUM(M11,M19,M27,M35,M43,M51,#REF!,M75,M83,M91,M99,#REF!,M115,M123,M131,M147,M155,M163,M171,M179)+SUM(M195,M203,M211,M219,M227,M235,M243,M251,M259,M267,M275,M283,M291,M299,M307,M315,M339)</f>
        <v>#REF!</v>
      </c>
      <c r="N349" s="357" t="e">
        <f>SUM(N11,N19,N27,N35,N43,N51,#REF!,N75,N83,N91,N99,#REF!,N115,N123,N131,N147,N155,N163,N171,N179)+SUM(N195,N203,N211,N219,N227,N235,N243,N251,N259,N267,N275,N283,N291,N299,N307,N315,N339)</f>
        <v>#REF!</v>
      </c>
      <c r="O349" s="357" t="e">
        <f>SUM(O11,O19,O27,O35,O43,O51,#REF!,O75,O83,O91,O99,#REF!,O115,O123,O131,O147,O155,O163,O171,O179)+SUM(O195,O203,O211,O219,O227,O235,O243,O251,O259,O267,O275,O283,O291,O299,O307,O315,O339)</f>
        <v>#REF!</v>
      </c>
      <c r="P349" s="357" t="e">
        <f>SUM(P11,P19,P27,P35,P43,P51,#REF!,P75,P83,P91,P99,#REF!,P115,P123,P131,P147,P155,P163,P171,P179)+SUM(P195,P203,P211,P219,P227,P235,P243,P251,P259,P267,P275,P283,P291,P299,P307,P315,P339)</f>
        <v>#REF!</v>
      </c>
      <c r="Q349" s="357" t="e">
        <f>SUM(Q11,Q19,Q27,Q35,Q43,Q51,#REF!,Q75,Q83,Q91,Q99,#REF!,Q115,Q123,Q131,Q147,Q155,Q163,Q171,Q179)+SUM(Q195,Q203,Q211,Q219,Q227,Q235,Q243,Q251,Q259,Q267,Q275,Q283,Q291,Q299,Q307,Q315,Q339)</f>
        <v>#REF!</v>
      </c>
      <c r="R349" s="357" t="e">
        <f>SUM(R11,R19,R27,R35,R43,R51,#REF!,R75,R83,R91,R99,#REF!,R115,R123,R131,R147,R155,R163,R171,R179)+SUM(R195,R203,R211,R219,R227,R235,R243,R251,R259,R267,R275,R283,R291,R299,R307,R315,R339)</f>
        <v>#REF!</v>
      </c>
      <c r="S349" s="357" t="e">
        <f>SUM(S11,S19,S27,S35,S43,S51,#REF!,S75,S83,S91,S99,#REF!,S115,S123,S131,S147,S155,S163,S171,S179)+SUM(S195,S203,S211,S219,S227,S235,S243,S251,S259,S267,S275,S283,S291,S299,S307,S315,S339)</f>
        <v>#REF!</v>
      </c>
      <c r="T349" s="357" t="e">
        <f>SUM(T11,T19,T27,T35,T43,T51,#REF!,T75,T83,T91,T99,#REF!,T115,T123,T131,T147,T155,T163,T171,T179)+SUM(T195,T203,T211,T219,T227,T235,T243,T251,T259,T267,T275,T283,T291,T299,T307,T315,T339)</f>
        <v>#REF!</v>
      </c>
      <c r="U349" s="357" t="e">
        <f>SUM(U11,U19,U27,U35,U43,U51,#REF!,U75,U83,U91,U99,#REF!,U115,U123,U131,U147,U155,U163,U171,U179)+SUM(U195,U203,U211,U219,U227,U235,U243,U251,U259,U267,U275,U283,U291,U299,U307,U315,U339)</f>
        <v>#REF!</v>
      </c>
      <c r="V349" s="357" t="e">
        <f>SUM(V11,V19,V27,V35,V43,V51,#REF!,V75,V83,V91,V99,#REF!,V115,V123,V131,V147,V155,V163,V171,V179)+SUM(V195,V203,V211,V219,V227,V235,V243,V251,V259,V267,V275,V283,V291,V299,V307,V315,V339)</f>
        <v>#REF!</v>
      </c>
      <c r="W349" s="357" t="e">
        <f>SUM(W11,W19,W27,W35,W43,W51,#REF!,W75,W83,W91,W99,#REF!,W115,W123,W131,W147,W155,W163,W171,W179)+SUM(W195,W203,W211,W219,W227,W235,W243,W251,W259,W267,W275,W283,W291,W299,W307,W315,W339)</f>
        <v>#REF!</v>
      </c>
      <c r="X349" s="357" t="e">
        <f>SUM(X11,X19,X27,X35,X43,X51,#REF!,X75,X83,X91,X99,#REF!,X115,X123,X131,X147,X155,X163,X171,X179)+SUM(X195,X203,X211,X219,X227,X235,X243,X251,X259,X267,X275,X283,X291,X299,X307,X315,X339)</f>
        <v>#REF!</v>
      </c>
      <c r="Y349" s="357" t="e">
        <f>SUM(Y11,Y19,Y27,Y35,Y43,Y51,#REF!,Y75,Y83,Y91,Y99,#REF!,Y115,Y123,Y131,Y147,Y155,Y163,Y171,Y179)+SUM(Y195,Y203,Y211,Y219,Y227,Y235,Y243,Y251,Y259,Y267,Y275,Y283,Y291,Y299,Y307,Y315,Y339)</f>
        <v>#REF!</v>
      </c>
      <c r="Z349" s="357" t="e">
        <f>SUM(Z11,Z19,Z27,Z35,Z43,Z51,#REF!,Z75,Z83,Z91,Z99,#REF!,Z115,Z123,Z131,Z147,Z155,Z163,Z171,Z179)+SUM(Z195,Z203,Z211,Z219,Z227,Z235,Z243,Z251,Z259,Z267,Z275,Z283,Z291,Z299,Z307,Z315,Z339)</f>
        <v>#REF!</v>
      </c>
      <c r="AA349" s="357" t="e">
        <f>SUM(AA11,AA19,AA27,AA35,AA43,AA51,#REF!,AA75,AA83,AA91,AA99,#REF!,AA115,AA123,AA131,AA147,AA155,AA163,AA171,AA179)+SUM(AA195,AA203,AA211,AA219,AA227,AA235,AA243,AA251,AA259,AA267,AA275,AA283,AA291,AA299,AA307,AA315,AA339)</f>
        <v>#REF!</v>
      </c>
      <c r="AB349" s="357" t="e">
        <f>SUM(AB11,AB19,AB27,AB35,AB43,AB51,#REF!,AB75,AB83,AB91,AB99,#REF!,AB115,AB123,AB131,AB147,AB155,AB163,AB171,AB179)+SUM(AB195,AB203,AB211,AB219,AB227,AB235,AB243,AB251,AB259,AB267,AB275,AB283,AB291,AB299,AB307,AB315,AB339)</f>
        <v>#REF!</v>
      </c>
      <c r="AC349" s="357" t="e">
        <f>SUM(AC11,AC19,AC27,AC35,AC43,AC51,#REF!,AC75,AC83,AC91,AC99,#REF!,AC115,AC123,AC131,AC147,AC155,AC163,AC171,AC179)+SUM(AC195,AC203,AC211,AC219,AC227,AC235,AC243,AC251,AC259,AC267,AC275,AC283,AC291,AC299,AC307,AC315,AC339)</f>
        <v>#REF!</v>
      </c>
      <c r="AD349" s="357" t="e">
        <f>SUM(AD11,AD19,AD27,AD35,AD43,AD51,#REF!,AD75,AD83,AD91,AD99,#REF!,AD115,AD123,AD131,AD147,AD155,AD163,AD171,AD179)+SUM(AD195,AD203,AD211,AD219,AD227,AD235,AD243,AD251,AD259,AD267,AD275,AD283,AD291,AD299,AD307,AD315,AD339)</f>
        <v>#REF!</v>
      </c>
      <c r="AE349" s="357" t="e">
        <f>SUM(AE11,AE19,AE27,AE35,AE43,AE51,#REF!,AE75,AE83,AE91,AE99,#REF!,AE115,AE123,AE131,AE147,AE155,AE163,AE171,AE179)+SUM(AE195,AE203,AE211,AE219,AE227,AE235,AE243,AE251,AE259,AE267,AE275,AE283,AE291,AE299,AE307,AE315,AE339)</f>
        <v>#REF!</v>
      </c>
      <c r="AF349" s="357" t="e">
        <f>SUM(AF11,AF19,AF27,AF35,AF43,AF51,#REF!,AF75,AF83,AF91,AF99,#REF!,AF115,AF123,AF131,AF147,AF155,AF163,AF171,AF179)+SUM(AF195,AF203,AF211,AF219,AF227,AF235,AF243,AF251,AF259,AF267,AF275,AF283,AF291,AF299,AF307,AF315,AF339)</f>
        <v>#REF!</v>
      </c>
      <c r="AG349" s="357" t="e">
        <f>SUM(AG11,AG19,AG27,AG35,AG43,AG51,#REF!,AG75,AG83,AG91,AG99,#REF!,AG115,AG123,AG131,AG147,AG155,AG163,AG171,AG179)+SUM(AG195,AG203,AG211,AG219,AG227,AG235,AG243,AG251,AG259,AG267,AG275,AG283,AG291,AG299,AG307,AG315,AG339)</f>
        <v>#REF!</v>
      </c>
      <c r="AH349" s="357" t="e">
        <f>SUM(AH11,AH19,AH27,AH35,AH43,AH51,#REF!,AH75,AH83,AH91,AH99,#REF!,AH115,AH123,AH131,AH147,AH155,AH163,AH171,AH179)+SUM(AH195,AH203,AH211,AH219,AH227,AH235,AH243,AH251,AH259,AH267,AH275,AH283,AH291,AH299,AH307,AH315,AH339)</f>
        <v>#REF!</v>
      </c>
      <c r="AI349" s="357" t="e">
        <f>SUM(AI11,AI19,AI27,AI35,AI43,AI51,#REF!,AI75,AI83,AI91,AI99,#REF!,AI115,AI123,AI131,AI147,AI155,AI163,AI171,AI179)+SUM(AI195,AI203,AI211,AI219,AI227,AI235,AI243,AI251,AI259,AI267,AI275,AI283,AI291,AI299,AI307,AI315,AI339)</f>
        <v>#REF!</v>
      </c>
      <c r="AJ349" s="357" t="e">
        <f>SUM(AJ11,AJ19,AJ27,AJ35,AJ43,AJ51,#REF!,AJ75,AJ83,AJ91,AJ99,#REF!,AJ115,AJ123,AJ131,AJ147,AJ155,AJ163,AJ171,AJ179)+SUM(AJ195,AJ203,AJ211,AJ219,AJ227,AJ235,AJ243,AJ251,AJ259,AJ267,AJ275,AJ283,AJ291,AJ299,AJ307,AJ315,AJ339)</f>
        <v>#REF!</v>
      </c>
      <c r="AK349" s="357" t="e">
        <f>SUM(AK11,AK19,AK27,AK35,AK43,AK51,#REF!,AK75,AK83,AK91,AK99,#REF!,AK115,AK123,AK131,AK147,AK155,AK163,AK171,AK179)+SUM(AK195,AK203,AK211,AK219,AK227,AK235,AK243,AK251,AK259,AK267,AK275,AK283,AK291,AK299,AK307,AK315,AK339)</f>
        <v>#REF!</v>
      </c>
      <c r="AL349" s="397" t="e">
        <f>SUM(AL11,AL19,AL27,AL35,AL43,AL51,#REF!,AL75,AL83,AL91,AL99,#REF!,AL115,AL123,AL131,AL147,AL155,AL163,AL171,AL179)+SUM(AL195,AL203,AL211,AL219,AL227,AL235,AL243,AL251,AL259,AL267,AL275,AL283,AL291,AL299,AL307,AL315,AL339)</f>
        <v>#REF!</v>
      </c>
      <c r="AM349" s="581"/>
    </row>
    <row r="350" spans="1:39" ht="12.75">
      <c r="A350" s="619"/>
      <c r="B350" s="612"/>
      <c r="C350" s="612"/>
      <c r="D350" s="612"/>
      <c r="E350" s="620"/>
      <c r="F350" s="359" t="s">
        <v>121</v>
      </c>
      <c r="G350" s="396" t="s">
        <v>124</v>
      </c>
      <c r="H350" s="357">
        <f aca="true" t="shared" si="85" ref="H350:AL350">SUM(H344,H346,H348)</f>
        <v>0</v>
      </c>
      <c r="I350" s="357">
        <f t="shared" si="85"/>
        <v>292500</v>
      </c>
      <c r="J350" s="357">
        <f t="shared" si="85"/>
        <v>0</v>
      </c>
      <c r="K350" s="357">
        <f t="shared" si="85"/>
        <v>0</v>
      </c>
      <c r="L350" s="357">
        <f t="shared" si="85"/>
        <v>0</v>
      </c>
      <c r="M350" s="357" t="e">
        <f t="shared" si="85"/>
        <v>#REF!</v>
      </c>
      <c r="N350" s="357" t="e">
        <f t="shared" si="85"/>
        <v>#REF!</v>
      </c>
      <c r="O350" s="357" t="e">
        <f t="shared" si="85"/>
        <v>#REF!</v>
      </c>
      <c r="P350" s="357" t="e">
        <f t="shared" si="85"/>
        <v>#REF!</v>
      </c>
      <c r="Q350" s="357" t="e">
        <f t="shared" si="85"/>
        <v>#REF!</v>
      </c>
      <c r="R350" s="357" t="e">
        <f t="shared" si="85"/>
        <v>#REF!</v>
      </c>
      <c r="S350" s="357" t="e">
        <f t="shared" si="85"/>
        <v>#REF!</v>
      </c>
      <c r="T350" s="357" t="e">
        <f t="shared" si="85"/>
        <v>#REF!</v>
      </c>
      <c r="U350" s="357" t="e">
        <f t="shared" si="85"/>
        <v>#REF!</v>
      </c>
      <c r="V350" s="357" t="e">
        <f t="shared" si="85"/>
        <v>#REF!</v>
      </c>
      <c r="W350" s="357" t="e">
        <f t="shared" si="85"/>
        <v>#REF!</v>
      </c>
      <c r="X350" s="357" t="e">
        <f t="shared" si="85"/>
        <v>#REF!</v>
      </c>
      <c r="Y350" s="357" t="e">
        <f t="shared" si="85"/>
        <v>#REF!</v>
      </c>
      <c r="Z350" s="357" t="e">
        <f t="shared" si="85"/>
        <v>#REF!</v>
      </c>
      <c r="AA350" s="357" t="e">
        <f t="shared" si="85"/>
        <v>#REF!</v>
      </c>
      <c r="AB350" s="357" t="e">
        <f t="shared" si="85"/>
        <v>#REF!</v>
      </c>
      <c r="AC350" s="357" t="e">
        <f t="shared" si="85"/>
        <v>#REF!</v>
      </c>
      <c r="AD350" s="357" t="e">
        <f t="shared" si="85"/>
        <v>#REF!</v>
      </c>
      <c r="AE350" s="357" t="e">
        <f t="shared" si="85"/>
        <v>#REF!</v>
      </c>
      <c r="AF350" s="357" t="e">
        <f t="shared" si="85"/>
        <v>#REF!</v>
      </c>
      <c r="AG350" s="357" t="e">
        <f t="shared" si="85"/>
        <v>#REF!</v>
      </c>
      <c r="AH350" s="357" t="e">
        <f t="shared" si="85"/>
        <v>#REF!</v>
      </c>
      <c r="AI350" s="357" t="e">
        <f t="shared" si="85"/>
        <v>#REF!</v>
      </c>
      <c r="AJ350" s="357" t="e">
        <f t="shared" si="85"/>
        <v>#REF!</v>
      </c>
      <c r="AK350" s="357" t="e">
        <f t="shared" si="85"/>
        <v>#REF!</v>
      </c>
      <c r="AL350" s="357" t="e">
        <f t="shared" si="85"/>
        <v>#REF!</v>
      </c>
      <c r="AM350" s="581"/>
    </row>
    <row r="351" spans="1:39" ht="13.5" thickBot="1">
      <c r="A351" s="621"/>
      <c r="B351" s="622"/>
      <c r="C351" s="622"/>
      <c r="D351" s="622"/>
      <c r="E351" s="623"/>
      <c r="F351" s="363">
        <f>F345+F348</f>
        <v>544230118</v>
      </c>
      <c r="G351" s="398" t="s">
        <v>125</v>
      </c>
      <c r="H351" s="399">
        <f>SUM(H345,H347,H349)</f>
        <v>115903179</v>
      </c>
      <c r="I351" s="399">
        <f>SUM(I345,I347,I349)</f>
        <v>114286217</v>
      </c>
      <c r="J351" s="399">
        <f>SUM(J345,J347,J349)</f>
        <v>156595005</v>
      </c>
      <c r="K351" s="399">
        <f>SUM(K345,K347,K349)</f>
        <v>146045717</v>
      </c>
      <c r="L351" s="399">
        <f>SUM(L345,L347,L349)</f>
        <v>11400000</v>
      </c>
      <c r="M351" s="399" t="e">
        <f>SUM(M13,M21,M29,M37,M45,M53,#REF!,M77,M85,M93,M101,#REF!,M117,M125,M133,M149,M157,M165,M173,M181)+SUM(M197,M205,M213,M221,M229,M237,M245,M253,M261,M269,M277,M285,M293,M301,M309,M317,M341)</f>
        <v>#REF!</v>
      </c>
      <c r="N351" s="399" t="e">
        <f>SUM(N13,N21,N29,N37,N45,N53,#REF!,N77,N85,N93,N101,#REF!,N117,N125,N133,N149,N157,N165,N173,N181)+SUM(N197,N205,N213,N221,N229,N237,N245,N253,N261,N269,N277,N285,N293,N301,N309,N317,N341)</f>
        <v>#REF!</v>
      </c>
      <c r="O351" s="399" t="e">
        <f>SUM(O13,O21,O29,O37,O45,O53,#REF!,O77,O85,O93,O101,#REF!,O117,O125,O133,O149,O157,O165,O173,O181)+SUM(O197,O205,O213,O221,O229,O237,O245,O253,O261,O269,O277,O285,O293,O301,O309,O317,O341)</f>
        <v>#REF!</v>
      </c>
      <c r="P351" s="399" t="e">
        <f>SUM(P13,P21,P29,P37,P45,P53,#REF!,P77,P85,P93,P101,#REF!,P117,P125,P133,P149,P157,P165,P173,P181)+SUM(P197,P205,P213,P221,P229,P237,P245,P253,P261,P269,P277,P285,P293,P301,P309,P317,P341)</f>
        <v>#REF!</v>
      </c>
      <c r="Q351" s="399" t="e">
        <f>SUM(Q13,Q21,Q29,Q37,Q45,Q53,#REF!,Q77,Q85,Q93,Q101,#REF!,Q117,Q125,Q133,Q149,Q157,Q165,Q173,Q181)+SUM(Q197,Q205,Q213,Q221,Q229,Q237,Q245,Q253,Q261,Q269,Q277,Q285,Q293,Q301,Q309,Q317,Q341)</f>
        <v>#REF!</v>
      </c>
      <c r="R351" s="399" t="e">
        <f>SUM(R13,R21,R29,R37,R45,R53,#REF!,R77,R85,R93,R101,#REF!,R117,R125,R133,R149,R157,R165,R173,R181)+SUM(R197,R205,R213,R221,R229,R237,R245,R253,R261,R269,R277,R285,R293,R301,R309,R317,R341)</f>
        <v>#REF!</v>
      </c>
      <c r="S351" s="399" t="e">
        <f>SUM(S13,S21,S29,S37,S45,S53,#REF!,S77,S85,S93,S101,#REF!,S117,S125,S133,S149,S157,S165,S173,S181)+SUM(S197,S205,S213,S221,S229,S237,S245,S253,S261,S269,S277,S285,S293,S301,S309,S317,S341)</f>
        <v>#REF!</v>
      </c>
      <c r="T351" s="399" t="e">
        <f>SUM(T13,T21,T29,T37,T45,T53,#REF!,T77,T85,T93,T101,#REF!,T117,T125,T133,T149,T157,T165,T173,T181)+SUM(T197,T205,T213,T221,T229,T237,T245,T253,T261,T269,T277,T285,T293,T301,T309,T317,T341)</f>
        <v>#REF!</v>
      </c>
      <c r="U351" s="399" t="e">
        <f>SUM(U13,U21,U29,U37,U45,U53,#REF!,U77,U85,U93,U101,#REF!,U117,U125,U133,U149,U157,U165,U173,U181)+SUM(U197,U205,U213,U221,U229,U237,U245,U253,U261,U269,U277,U285,U293,U301,U309,U317,U341)</f>
        <v>#REF!</v>
      </c>
      <c r="V351" s="399" t="e">
        <f>SUM(V13,V21,V29,V37,V45,V53,#REF!,V77,V85,V93,V101,#REF!,V117,V125,V133,V149,V157,V165,V173,V181)+SUM(V197,V205,V213,V221,V229,V237,V245,V253,V261,V269,V277,V285,V293,V301,V309,V317,V341)</f>
        <v>#REF!</v>
      </c>
      <c r="W351" s="399" t="e">
        <f>SUM(W13,W21,W29,W37,W45,W53,#REF!,W77,W85,W93,W101,#REF!,W117,W125,W133,W149,W157,W165,W173,W181)+SUM(W197,W205,W213,W221,W229,W237,W245,W253,W261,W269,W277,W285,W293,W301,W309,W317,W341)</f>
        <v>#REF!</v>
      </c>
      <c r="X351" s="399" t="e">
        <f>SUM(X13,X21,X29,X37,X45,X53,#REF!,X77,X85,X93,X101,#REF!,X117,X125,X133,X149,X157,X165,X173,X181)+SUM(X197,X205,X213,X221,X229,X237,X245,X253,X261,X269,X277,X285,X293,X301,X309,X317,X341)</f>
        <v>#REF!</v>
      </c>
      <c r="Y351" s="399" t="e">
        <f>SUM(Y13,Y21,Y29,Y37,Y45,Y53,#REF!,Y77,Y85,Y93,Y101,#REF!,Y117,Y125,Y133,Y149,Y157,Y165,Y173,Y181)+SUM(Y197,Y205,Y213,Y221,Y229,Y237,Y245,Y253,Y261,Y269,Y277,Y285,Y293,Y301,Y309,Y317,Y341)</f>
        <v>#REF!</v>
      </c>
      <c r="Z351" s="399" t="e">
        <f>SUM(Z13,Z21,Z29,Z37,Z45,Z53,#REF!,Z77,Z85,Z93,Z101,#REF!,Z117,Z125,Z133,Z149,Z157,Z165,Z173,Z181)+SUM(Z197,Z205,Z213,Z221,Z229,Z237,Z245,Z253,Z261,Z269,Z277,Z285,Z293,Z301,Z309,Z317,Z341)</f>
        <v>#REF!</v>
      </c>
      <c r="AA351" s="399" t="e">
        <f>SUM(AA13,AA21,AA29,AA37,AA45,AA53,#REF!,AA77,AA85,AA93,AA101,#REF!,AA117,AA125,AA133,AA149,AA157,AA165,AA173,AA181)+SUM(AA197,AA205,AA213,AA221,AA229,AA237,AA245,AA253,AA261,AA269,AA277,AA285,AA293,AA301,AA309,AA317,AA341)</f>
        <v>#REF!</v>
      </c>
      <c r="AB351" s="399" t="e">
        <f>SUM(AB13,AB21,AB29,AB37,AB45,AB53,#REF!,AB77,AB85,AB93,AB101,#REF!,AB117,AB125,AB133,AB149,AB157,AB165,AB173,AB181)+SUM(AB197,AB205,AB213,AB221,AB229,AB237,AB245,AB253,AB261,AB269,AB277,AB285,AB293,AB301,AB309,AB317,AB341)</f>
        <v>#REF!</v>
      </c>
      <c r="AC351" s="399" t="e">
        <f>SUM(AC13,AC21,AC29,AC37,AC45,AC53,#REF!,AC77,AC85,AC93,AC101,#REF!,AC117,AC125,AC133,AC149,AC157,AC165,AC173,AC181)+SUM(AC197,AC205,AC213,AC221,AC229,AC237,AC245,AC253,AC261,AC269,AC277,AC285,AC293,AC301,AC309,AC317,AC341)</f>
        <v>#REF!</v>
      </c>
      <c r="AD351" s="399" t="e">
        <f>SUM(AD13,AD21,AD29,AD37,AD45,AD53,#REF!,AD77,AD85,AD93,AD101,#REF!,AD117,AD125,AD133,AD149,AD157,AD165,AD173,AD181)+SUM(AD197,AD205,AD213,AD221,AD229,AD237,AD245,AD253,AD261,AD269,AD277,AD285,AD293,AD301,AD309,AD317,AD341)</f>
        <v>#REF!</v>
      </c>
      <c r="AE351" s="399" t="e">
        <f>SUM(AE13,AE21,AE29,AE37,AE45,AE53,#REF!,AE77,AE85,AE93,AE101,#REF!,AE117,AE125,AE133,AE149,AE157,AE165,AE173,AE181)+SUM(AE197,AE205,AE213,AE221,AE229,AE237,AE245,AE253,AE261,AE269,AE277,AE285,AE293,AE301,AE309,AE317,AE341)</f>
        <v>#REF!</v>
      </c>
      <c r="AF351" s="399" t="e">
        <f>SUM(AF13,AF21,AF29,AF37,AF45,AF53,#REF!,AF77,AF85,AF93,AF101,#REF!,AF117,AF125,AF133,AF149,AF157,AF165,AF173,AF181)+SUM(AF197,AF205,AF213,AF221,AF229,AF237,AF245,AF253,AF261,AF269,AF277,AF285,AF293,AF301,AF309,AF317,AF341)</f>
        <v>#REF!</v>
      </c>
      <c r="AG351" s="399" t="e">
        <f>SUM(AG13,AG21,AG29,AG37,AG45,AG53,#REF!,AG77,AG85,AG93,AG101,#REF!,AG117,AG125,AG133,AG149,AG157,AG165,AG173,AG181)+SUM(AG197,AG205,AG213,AG221,AG229,AG237,AG245,AG253,AG261,AG269,AG277,AG285,AG293,AG301,AG309,AG317,AG341)</f>
        <v>#REF!</v>
      </c>
      <c r="AH351" s="399" t="e">
        <f>SUM(AH13,AH21,AH29,AH37,AH45,AH53,#REF!,AH77,AH85,AH93,AH101,#REF!,AH117,AH125,AH133,AH149,AH157,AH165,AH173,AH181)+SUM(AH197,AH205,AH213,AH221,AH229,AH237,AH245,AH253,AH261,AH269,AH277,AH285,AH293,AH301,AH309,AH317,AH341)</f>
        <v>#REF!</v>
      </c>
      <c r="AI351" s="399" t="e">
        <f>SUM(AI13,AI21,AI29,AI37,AI45,AI53,#REF!,AI77,AI85,AI93,AI101,#REF!,AI117,AI125,AI133,AI149,AI157,AI165,AI173,AI181)+SUM(AI197,AI205,AI213,AI221,AI229,AI237,AI245,AI253,AI261,AI269,AI277,AI285,AI293,AI301,AI309,AI317,AI341)</f>
        <v>#REF!</v>
      </c>
      <c r="AJ351" s="399" t="e">
        <f>SUM(AJ13,AJ21,AJ29,AJ37,AJ45,AJ53,#REF!,AJ77,AJ85,AJ93,AJ101,#REF!,AJ117,AJ125,AJ133,AJ149,AJ157,AJ165,AJ173,AJ181)+SUM(AJ197,AJ205,AJ213,AJ221,AJ229,AJ237,AJ245,AJ253,AJ261,AJ269,AJ277,AJ285,AJ293,AJ301,AJ309,AJ317,AJ341)</f>
        <v>#REF!</v>
      </c>
      <c r="AK351" s="399" t="e">
        <f>SUM(AK13,AK21,AK29,AK37,AK45,AK53,#REF!,AK77,AK85,AK93,AK101,#REF!,AK117,AK125,AK133,AK149,AK157,AK165,AK173,AK181)+SUM(AK197,AK205,AK213,AK221,AK229,AK237,AK245,AK253,AK261,AK269,AK277,AK285,AK293,AK301,AK309,AK317,AK341)</f>
        <v>#REF!</v>
      </c>
      <c r="AL351" s="400" t="e">
        <f>SUM(AL13,AL21,AL29,AL37,AL45,AL53,#REF!,AL77,AL85,AL93,AL101,#REF!,AL117,AL125,AL133,AL149,AL157,AL165,AL173,AL181)+SUM(AL197,AL205,AL213,AL221,AL229,AL237,AL245,AL253,AL261,AL269,AL277,AL285,AL293,AL301,AL309,AL317,AL341)</f>
        <v>#REF!</v>
      </c>
      <c r="AM351" s="582"/>
    </row>
    <row r="352" spans="1:39" ht="12.75" hidden="1">
      <c r="A352" s="612"/>
      <c r="B352" s="613"/>
      <c r="C352" s="614"/>
      <c r="D352" s="615"/>
      <c r="E352" s="625"/>
      <c r="F352" s="626"/>
      <c r="G352" s="383"/>
      <c r="H352" s="384"/>
      <c r="I352" s="384"/>
      <c r="J352" s="384"/>
      <c r="K352" s="384"/>
      <c r="L352" s="384"/>
      <c r="M352" s="384"/>
      <c r="N352" s="384"/>
      <c r="O352" s="384"/>
      <c r="P352" s="384"/>
      <c r="Q352" s="384"/>
      <c r="R352" s="384"/>
      <c r="S352" s="384"/>
      <c r="T352" s="384"/>
      <c r="U352" s="384"/>
      <c r="V352" s="384"/>
      <c r="W352" s="384"/>
      <c r="X352" s="384"/>
      <c r="Y352" s="384"/>
      <c r="Z352" s="384"/>
      <c r="AA352" s="384"/>
      <c r="AB352" s="384"/>
      <c r="AC352" s="384"/>
      <c r="AD352" s="384"/>
      <c r="AE352" s="384"/>
      <c r="AF352" s="384"/>
      <c r="AG352" s="384"/>
      <c r="AH352" s="384"/>
      <c r="AI352" s="384"/>
      <c r="AJ352" s="384"/>
      <c r="AK352" s="384"/>
      <c r="AL352" s="384"/>
      <c r="AM352" s="401"/>
    </row>
    <row r="353" spans="1:39" ht="12.75" hidden="1">
      <c r="A353" s="612"/>
      <c r="B353" s="613"/>
      <c r="C353" s="614"/>
      <c r="D353" s="615"/>
      <c r="E353" s="625"/>
      <c r="F353" s="627"/>
      <c r="G353" s="383" t="s">
        <v>228</v>
      </c>
      <c r="H353" s="384"/>
      <c r="I353" s="392">
        <v>2012</v>
      </c>
      <c r="J353" s="392">
        <v>2013</v>
      </c>
      <c r="K353" s="392">
        <v>2014</v>
      </c>
      <c r="L353" s="392">
        <v>2015</v>
      </c>
      <c r="M353" s="384"/>
      <c r="N353" s="384"/>
      <c r="O353" s="384"/>
      <c r="P353" s="384"/>
      <c r="Q353" s="384"/>
      <c r="R353" s="384"/>
      <c r="S353" s="384"/>
      <c r="T353" s="384"/>
      <c r="U353" s="384"/>
      <c r="V353" s="384"/>
      <c r="W353" s="384"/>
      <c r="X353" s="384"/>
      <c r="Y353" s="384"/>
      <c r="Z353" s="384"/>
      <c r="AA353" s="384"/>
      <c r="AB353" s="384"/>
      <c r="AC353" s="384"/>
      <c r="AD353" s="384"/>
      <c r="AE353" s="384"/>
      <c r="AF353" s="384"/>
      <c r="AG353" s="384"/>
      <c r="AH353" s="384"/>
      <c r="AI353" s="384"/>
      <c r="AJ353" s="384"/>
      <c r="AK353" s="384"/>
      <c r="AL353" s="384"/>
      <c r="AM353" s="401"/>
    </row>
    <row r="354" spans="1:39" ht="12.75" hidden="1">
      <c r="A354" s="612"/>
      <c r="B354" s="613"/>
      <c r="C354" s="614"/>
      <c r="D354" s="615"/>
      <c r="E354" s="625"/>
      <c r="F354" s="402"/>
      <c r="G354" s="403" t="s">
        <v>229</v>
      </c>
      <c r="H354" s="404">
        <f>H350-'[1]zał. nr 2 do URM cz.2'!H318</f>
        <v>0</v>
      </c>
      <c r="I354" s="404">
        <f>I350-'[1]zał. nr 2 do URM cz.2'!I318</f>
        <v>292500</v>
      </c>
      <c r="J354" s="404">
        <f>J350-'[1]zał. nr 2 do URM cz.2'!J318</f>
        <v>0</v>
      </c>
      <c r="K354" s="404">
        <f>K350-'[1]zał. nr 2 do URM cz.2'!K318</f>
        <v>0</v>
      </c>
      <c r="L354" s="404">
        <f>L350-'[1]zał. nr 2 do URM cz.2'!L318</f>
        <v>0</v>
      </c>
      <c r="M354" s="391"/>
      <c r="N354" s="391"/>
      <c r="O354" s="391"/>
      <c r="P354" s="391"/>
      <c r="Q354" s="391"/>
      <c r="R354" s="391"/>
      <c r="S354" s="391"/>
      <c r="T354" s="391"/>
      <c r="U354" s="391"/>
      <c r="V354" s="391"/>
      <c r="W354" s="391"/>
      <c r="X354" s="391"/>
      <c r="Y354" s="391"/>
      <c r="Z354" s="391"/>
      <c r="AA354" s="391"/>
      <c r="AB354" s="391"/>
      <c r="AC354" s="391"/>
      <c r="AD354" s="391"/>
      <c r="AE354" s="391"/>
      <c r="AF354" s="391"/>
      <c r="AG354" s="391"/>
      <c r="AH354" s="391"/>
      <c r="AI354" s="391"/>
      <c r="AJ354" s="391"/>
      <c r="AK354" s="391"/>
      <c r="AL354" s="391"/>
      <c r="AM354" s="624"/>
    </row>
    <row r="355" spans="1:39" ht="12.75" hidden="1">
      <c r="A355" s="612"/>
      <c r="B355" s="613"/>
      <c r="C355" s="614"/>
      <c r="D355" s="615"/>
      <c r="E355" s="625"/>
      <c r="F355" s="402">
        <f>F351-'[1]zał. nr 2 do URM cz.2'!F319</f>
        <v>48650000</v>
      </c>
      <c r="G355" s="403" t="s">
        <v>230</v>
      </c>
      <c r="H355" s="404">
        <f>H351-'[1]zał. nr 2 do URM cz.2'!H319</f>
        <v>0</v>
      </c>
      <c r="I355" s="404">
        <f>I351-'[1]zał. nr 2 do URM cz.2'!I319</f>
        <v>-10000000</v>
      </c>
      <c r="J355" s="404">
        <f>J351-'[1]zał. nr 2 do URM cz.2'!J319</f>
        <v>31654283</v>
      </c>
      <c r="K355" s="404">
        <f>K351-'[1]zał. nr 2 do URM cz.2'!K319</f>
        <v>25595717</v>
      </c>
      <c r="L355" s="404">
        <f>L351-'[1]zał. nr 2 do URM cz.2'!L319</f>
        <v>1400000</v>
      </c>
      <c r="M355" s="391"/>
      <c r="N355" s="391"/>
      <c r="O355" s="391"/>
      <c r="P355" s="391"/>
      <c r="Q355" s="391"/>
      <c r="R355" s="391"/>
      <c r="S355" s="391"/>
      <c r="T355" s="391"/>
      <c r="U355" s="391"/>
      <c r="V355" s="391"/>
      <c r="W355" s="391"/>
      <c r="X355" s="391"/>
      <c r="Y355" s="391"/>
      <c r="Z355" s="391"/>
      <c r="AA355" s="391"/>
      <c r="AB355" s="391"/>
      <c r="AC355" s="391"/>
      <c r="AD355" s="391"/>
      <c r="AE355" s="391"/>
      <c r="AF355" s="391"/>
      <c r="AG355" s="391"/>
      <c r="AH355" s="391"/>
      <c r="AI355" s="391"/>
      <c r="AJ355" s="391"/>
      <c r="AK355" s="391"/>
      <c r="AL355" s="391"/>
      <c r="AM355" s="624"/>
    </row>
    <row r="356" spans="1:39" ht="12.75" hidden="1">
      <c r="A356" s="612"/>
      <c r="B356" s="613"/>
      <c r="C356" s="614"/>
      <c r="D356" s="615"/>
      <c r="E356" s="390"/>
      <c r="F356" s="382"/>
      <c r="G356" s="383"/>
      <c r="H356" s="384"/>
      <c r="I356" s="384"/>
      <c r="J356" s="384"/>
      <c r="K356" s="384"/>
      <c r="L356" s="384"/>
      <c r="M356" s="384"/>
      <c r="N356" s="384"/>
      <c r="O356" s="384"/>
      <c r="P356" s="384"/>
      <c r="Q356" s="384"/>
      <c r="R356" s="384"/>
      <c r="S356" s="384"/>
      <c r="T356" s="384"/>
      <c r="U356" s="384"/>
      <c r="V356" s="384"/>
      <c r="W356" s="384"/>
      <c r="X356" s="384"/>
      <c r="Y356" s="384"/>
      <c r="Z356" s="384"/>
      <c r="AA356" s="384"/>
      <c r="AB356" s="384"/>
      <c r="AC356" s="384"/>
      <c r="AD356" s="384"/>
      <c r="AE356" s="384"/>
      <c r="AF356" s="384"/>
      <c r="AG356" s="384"/>
      <c r="AH356" s="384"/>
      <c r="AI356" s="384"/>
      <c r="AJ356" s="384"/>
      <c r="AK356" s="384"/>
      <c r="AL356" s="384"/>
      <c r="AM356" s="624"/>
    </row>
    <row r="357" spans="1:39" ht="12.75" hidden="1">
      <c r="A357" s="612"/>
      <c r="B357" s="613"/>
      <c r="C357" s="614"/>
      <c r="D357" s="615"/>
      <c r="E357" s="625"/>
      <c r="F357" s="626"/>
      <c r="G357" s="383"/>
      <c r="H357" s="384"/>
      <c r="I357" s="384"/>
      <c r="J357" s="384"/>
      <c r="K357" s="384"/>
      <c r="L357" s="384"/>
      <c r="M357" s="384"/>
      <c r="N357" s="384"/>
      <c r="O357" s="384"/>
      <c r="P357" s="384"/>
      <c r="Q357" s="384"/>
      <c r="R357" s="384"/>
      <c r="S357" s="384"/>
      <c r="T357" s="384"/>
      <c r="U357" s="384"/>
      <c r="V357" s="384"/>
      <c r="W357" s="384"/>
      <c r="X357" s="384"/>
      <c r="Y357" s="384"/>
      <c r="Z357" s="384"/>
      <c r="AA357" s="384"/>
      <c r="AB357" s="384"/>
      <c r="AC357" s="384"/>
      <c r="AD357" s="384"/>
      <c r="AE357" s="384"/>
      <c r="AF357" s="384"/>
      <c r="AG357" s="384"/>
      <c r="AH357" s="384"/>
      <c r="AI357" s="384"/>
      <c r="AJ357" s="384"/>
      <c r="AK357" s="384"/>
      <c r="AL357" s="384"/>
      <c r="AM357" s="624"/>
    </row>
    <row r="358" spans="1:39" ht="12.75" hidden="1">
      <c r="A358" s="612"/>
      <c r="B358" s="613"/>
      <c r="C358" s="614"/>
      <c r="D358" s="615"/>
      <c r="E358" s="625"/>
      <c r="F358" s="627"/>
      <c r="G358" s="383"/>
      <c r="H358" s="384"/>
      <c r="I358" s="384"/>
      <c r="J358" s="384"/>
      <c r="K358" s="384"/>
      <c r="L358" s="384"/>
      <c r="M358" s="384"/>
      <c r="N358" s="384"/>
      <c r="O358" s="384"/>
      <c r="P358" s="384"/>
      <c r="Q358" s="384"/>
      <c r="R358" s="384"/>
      <c r="S358" s="384"/>
      <c r="T358" s="384"/>
      <c r="U358" s="384"/>
      <c r="V358" s="384"/>
      <c r="W358" s="384"/>
      <c r="X358" s="384"/>
      <c r="Y358" s="384"/>
      <c r="Z358" s="384"/>
      <c r="AA358" s="384"/>
      <c r="AB358" s="384"/>
      <c r="AC358" s="384"/>
      <c r="AD358" s="384"/>
      <c r="AE358" s="384"/>
      <c r="AF358" s="384"/>
      <c r="AG358" s="384"/>
      <c r="AH358" s="384"/>
      <c r="AI358" s="384"/>
      <c r="AJ358" s="384"/>
      <c r="AK358" s="384"/>
      <c r="AL358" s="384"/>
      <c r="AM358" s="624"/>
    </row>
    <row r="359" spans="1:39" ht="12.75">
      <c r="A359" s="612"/>
      <c r="B359" s="613"/>
      <c r="C359" s="614"/>
      <c r="D359" s="615"/>
      <c r="E359" s="625"/>
      <c r="F359" s="382"/>
      <c r="G359" s="383"/>
      <c r="H359" s="391"/>
      <c r="I359" s="391"/>
      <c r="J359" s="391"/>
      <c r="K359" s="391"/>
      <c r="L359" s="391"/>
      <c r="M359" s="391"/>
      <c r="N359" s="391"/>
      <c r="O359" s="391"/>
      <c r="P359" s="391"/>
      <c r="Q359" s="391"/>
      <c r="R359" s="391"/>
      <c r="S359" s="391"/>
      <c r="T359" s="391"/>
      <c r="U359" s="391"/>
      <c r="V359" s="391"/>
      <c r="W359" s="391"/>
      <c r="X359" s="391"/>
      <c r="Y359" s="391"/>
      <c r="Z359" s="391"/>
      <c r="AA359" s="391"/>
      <c r="AB359" s="391"/>
      <c r="AC359" s="391"/>
      <c r="AD359" s="391"/>
      <c r="AE359" s="391"/>
      <c r="AF359" s="391"/>
      <c r="AG359" s="391"/>
      <c r="AH359" s="391"/>
      <c r="AI359" s="391"/>
      <c r="AJ359" s="391"/>
      <c r="AK359" s="391"/>
      <c r="AL359" s="391"/>
      <c r="AM359" s="624"/>
    </row>
    <row r="360" spans="1:39" ht="12.75">
      <c r="A360" s="612"/>
      <c r="B360" s="613"/>
      <c r="C360" s="614"/>
      <c r="D360" s="615"/>
      <c r="E360" s="625"/>
      <c r="F360" s="382"/>
      <c r="G360" s="383"/>
      <c r="H360" s="391"/>
      <c r="I360" s="391"/>
      <c r="J360" s="391"/>
      <c r="K360" s="391"/>
      <c r="L360" s="391"/>
      <c r="M360" s="391"/>
      <c r="N360" s="391"/>
      <c r="O360" s="391"/>
      <c r="P360" s="391"/>
      <c r="Q360" s="391"/>
      <c r="R360" s="391"/>
      <c r="S360" s="391"/>
      <c r="T360" s="391"/>
      <c r="U360" s="391"/>
      <c r="V360" s="391"/>
      <c r="W360" s="391"/>
      <c r="X360" s="391"/>
      <c r="Y360" s="391"/>
      <c r="Z360" s="391"/>
      <c r="AA360" s="391"/>
      <c r="AB360" s="391"/>
      <c r="AC360" s="391"/>
      <c r="AD360" s="391"/>
      <c r="AE360" s="391"/>
      <c r="AF360" s="391"/>
      <c r="AG360" s="391"/>
      <c r="AH360" s="391"/>
      <c r="AI360" s="391"/>
      <c r="AJ360" s="391"/>
      <c r="AK360" s="391"/>
      <c r="AL360" s="391"/>
      <c r="AM360" s="624"/>
    </row>
    <row r="361" spans="1:39" ht="12.75">
      <c r="A361" s="612"/>
      <c r="B361" s="613"/>
      <c r="C361" s="614"/>
      <c r="D361" s="615"/>
      <c r="E361" s="625"/>
      <c r="F361" s="382"/>
      <c r="G361" s="383"/>
      <c r="H361" s="384"/>
      <c r="I361" s="384"/>
      <c r="J361" s="384"/>
      <c r="K361" s="384"/>
      <c r="L361" s="384"/>
      <c r="M361" s="384"/>
      <c r="N361" s="384"/>
      <c r="O361" s="384"/>
      <c r="P361" s="384"/>
      <c r="Q361" s="384"/>
      <c r="R361" s="384"/>
      <c r="S361" s="384"/>
      <c r="T361" s="384"/>
      <c r="U361" s="384"/>
      <c r="V361" s="384"/>
      <c r="W361" s="384"/>
      <c r="X361" s="384"/>
      <c r="Y361" s="384"/>
      <c r="Z361" s="384"/>
      <c r="AA361" s="384"/>
      <c r="AB361" s="384"/>
      <c r="AC361" s="384"/>
      <c r="AD361" s="384"/>
      <c r="AE361" s="384"/>
      <c r="AF361" s="384"/>
      <c r="AG361" s="384"/>
      <c r="AH361" s="384"/>
      <c r="AI361" s="384"/>
      <c r="AJ361" s="384"/>
      <c r="AK361" s="384"/>
      <c r="AL361" s="384"/>
      <c r="AM361" s="624"/>
    </row>
    <row r="362" spans="1:39" ht="12.75">
      <c r="A362" s="612"/>
      <c r="B362" s="613"/>
      <c r="C362" s="614"/>
      <c r="D362" s="615"/>
      <c r="E362" s="625"/>
      <c r="F362" s="626"/>
      <c r="G362" s="383"/>
      <c r="H362" s="384"/>
      <c r="I362" s="384"/>
      <c r="J362" s="384"/>
      <c r="K362" s="384"/>
      <c r="L362" s="384"/>
      <c r="M362" s="384"/>
      <c r="N362" s="384"/>
      <c r="O362" s="384"/>
      <c r="P362" s="384"/>
      <c r="Q362" s="384"/>
      <c r="R362" s="384"/>
      <c r="S362" s="384"/>
      <c r="T362" s="384"/>
      <c r="U362" s="384"/>
      <c r="V362" s="384"/>
      <c r="W362" s="384"/>
      <c r="X362" s="384"/>
      <c r="Y362" s="384"/>
      <c r="Z362" s="384"/>
      <c r="AA362" s="384"/>
      <c r="AB362" s="384"/>
      <c r="AC362" s="384"/>
      <c r="AD362" s="384"/>
      <c r="AE362" s="384"/>
      <c r="AF362" s="384"/>
      <c r="AG362" s="384"/>
      <c r="AH362" s="384"/>
      <c r="AI362" s="384"/>
      <c r="AJ362" s="384"/>
      <c r="AK362" s="384"/>
      <c r="AL362" s="384"/>
      <c r="AM362" s="628"/>
    </row>
    <row r="363" spans="1:39" ht="12.75">
      <c r="A363" s="612"/>
      <c r="B363" s="613"/>
      <c r="C363" s="614"/>
      <c r="D363" s="615"/>
      <c r="E363" s="625"/>
      <c r="F363" s="627"/>
      <c r="G363" s="383"/>
      <c r="H363" s="384"/>
      <c r="I363" s="384"/>
      <c r="J363" s="384"/>
      <c r="K363" s="384"/>
      <c r="L363" s="384"/>
      <c r="M363" s="384"/>
      <c r="N363" s="384"/>
      <c r="O363" s="384"/>
      <c r="P363" s="384"/>
      <c r="Q363" s="384"/>
      <c r="R363" s="384"/>
      <c r="S363" s="384"/>
      <c r="T363" s="384"/>
      <c r="U363" s="384"/>
      <c r="V363" s="384"/>
      <c r="W363" s="384"/>
      <c r="X363" s="384"/>
      <c r="Y363" s="384"/>
      <c r="Z363" s="384"/>
      <c r="AA363" s="384"/>
      <c r="AB363" s="384"/>
      <c r="AC363" s="384"/>
      <c r="AD363" s="384"/>
      <c r="AE363" s="384"/>
      <c r="AF363" s="384"/>
      <c r="AG363" s="384"/>
      <c r="AH363" s="384"/>
      <c r="AI363" s="384"/>
      <c r="AJ363" s="384"/>
      <c r="AK363" s="384"/>
      <c r="AL363" s="384"/>
      <c r="AM363" s="628"/>
    </row>
    <row r="364" spans="1:39" ht="12.75">
      <c r="A364" s="612"/>
      <c r="B364" s="613"/>
      <c r="C364" s="614"/>
      <c r="D364" s="615"/>
      <c r="E364" s="625"/>
      <c r="F364" s="382"/>
      <c r="G364" s="383"/>
      <c r="H364" s="384"/>
      <c r="I364" s="384"/>
      <c r="J364" s="384"/>
      <c r="K364" s="384"/>
      <c r="L364" s="384"/>
      <c r="M364" s="384"/>
      <c r="N364" s="384"/>
      <c r="O364" s="384"/>
      <c r="P364" s="384"/>
      <c r="Q364" s="384"/>
      <c r="R364" s="384"/>
      <c r="S364" s="384"/>
      <c r="T364" s="384"/>
      <c r="U364" s="384"/>
      <c r="V364" s="384"/>
      <c r="W364" s="384"/>
      <c r="X364" s="384"/>
      <c r="Y364" s="384"/>
      <c r="Z364" s="384"/>
      <c r="AA364" s="384"/>
      <c r="AB364" s="384"/>
      <c r="AC364" s="384"/>
      <c r="AD364" s="384"/>
      <c r="AE364" s="384"/>
      <c r="AF364" s="384"/>
      <c r="AG364" s="384"/>
      <c r="AH364" s="384"/>
      <c r="AI364" s="384"/>
      <c r="AJ364" s="384"/>
      <c r="AK364" s="384"/>
      <c r="AL364" s="384"/>
      <c r="AM364" s="628"/>
    </row>
    <row r="365" spans="1:39" ht="12.75">
      <c r="A365" s="612"/>
      <c r="B365" s="613"/>
      <c r="C365" s="614"/>
      <c r="D365" s="615"/>
      <c r="E365" s="625"/>
      <c r="F365" s="626"/>
      <c r="G365" s="383"/>
      <c r="H365" s="384"/>
      <c r="I365" s="384"/>
      <c r="J365" s="384"/>
      <c r="K365" s="384"/>
      <c r="L365" s="384"/>
      <c r="M365" s="384"/>
      <c r="N365" s="384"/>
      <c r="O365" s="384"/>
      <c r="P365" s="384"/>
      <c r="Q365" s="384"/>
      <c r="R365" s="384"/>
      <c r="S365" s="384"/>
      <c r="T365" s="384"/>
      <c r="U365" s="384"/>
      <c r="V365" s="384"/>
      <c r="W365" s="384"/>
      <c r="X365" s="384"/>
      <c r="Y365" s="384"/>
      <c r="Z365" s="384"/>
      <c r="AA365" s="384"/>
      <c r="AB365" s="384"/>
      <c r="AC365" s="384"/>
      <c r="AD365" s="384"/>
      <c r="AE365" s="384"/>
      <c r="AF365" s="384"/>
      <c r="AG365" s="384"/>
      <c r="AH365" s="384"/>
      <c r="AI365" s="384"/>
      <c r="AJ365" s="384"/>
      <c r="AK365" s="384"/>
      <c r="AL365" s="384"/>
      <c r="AM365" s="628"/>
    </row>
    <row r="366" spans="1:39" ht="12.75">
      <c r="A366" s="612"/>
      <c r="B366" s="613"/>
      <c r="C366" s="614"/>
      <c r="D366" s="615"/>
      <c r="E366" s="625"/>
      <c r="F366" s="627"/>
      <c r="G366" s="383"/>
      <c r="H366" s="384"/>
      <c r="I366" s="384"/>
      <c r="J366" s="384"/>
      <c r="K366" s="384"/>
      <c r="L366" s="384"/>
      <c r="M366" s="384"/>
      <c r="N366" s="384"/>
      <c r="O366" s="384"/>
      <c r="P366" s="384"/>
      <c r="Q366" s="384"/>
      <c r="R366" s="384"/>
      <c r="S366" s="384"/>
      <c r="T366" s="384"/>
      <c r="U366" s="384"/>
      <c r="V366" s="384"/>
      <c r="W366" s="384"/>
      <c r="X366" s="384"/>
      <c r="Y366" s="384"/>
      <c r="Z366" s="384"/>
      <c r="AA366" s="384"/>
      <c r="AB366" s="384"/>
      <c r="AC366" s="384"/>
      <c r="AD366" s="384"/>
      <c r="AE366" s="384"/>
      <c r="AF366" s="384"/>
      <c r="AG366" s="384"/>
      <c r="AH366" s="384"/>
      <c r="AI366" s="384"/>
      <c r="AJ366" s="384"/>
      <c r="AK366" s="384"/>
      <c r="AL366" s="384"/>
      <c r="AM366" s="628"/>
    </row>
    <row r="367" spans="1:39" ht="12.75">
      <c r="A367" s="612"/>
      <c r="B367" s="613"/>
      <c r="C367" s="614"/>
      <c r="D367" s="615"/>
      <c r="E367" s="625"/>
      <c r="F367" s="382"/>
      <c r="G367" s="383"/>
      <c r="H367" s="391"/>
      <c r="I367" s="391"/>
      <c r="J367" s="391"/>
      <c r="K367" s="391"/>
      <c r="L367" s="391"/>
      <c r="M367" s="391"/>
      <c r="N367" s="391"/>
      <c r="O367" s="391"/>
      <c r="P367" s="391"/>
      <c r="Q367" s="391"/>
      <c r="R367" s="391"/>
      <c r="S367" s="391"/>
      <c r="T367" s="391"/>
      <c r="U367" s="391"/>
      <c r="V367" s="391"/>
      <c r="W367" s="391"/>
      <c r="X367" s="391"/>
      <c r="Y367" s="391"/>
      <c r="Z367" s="391"/>
      <c r="AA367" s="391"/>
      <c r="AB367" s="391"/>
      <c r="AC367" s="391"/>
      <c r="AD367" s="391"/>
      <c r="AE367" s="391"/>
      <c r="AF367" s="391"/>
      <c r="AG367" s="391"/>
      <c r="AH367" s="391"/>
      <c r="AI367" s="391"/>
      <c r="AJ367" s="391"/>
      <c r="AK367" s="391"/>
      <c r="AL367" s="391"/>
      <c r="AM367" s="628"/>
    </row>
    <row r="368" spans="1:39" ht="12.75">
      <c r="A368" s="612"/>
      <c r="B368" s="613"/>
      <c r="C368" s="614"/>
      <c r="D368" s="615"/>
      <c r="E368" s="625"/>
      <c r="F368" s="382"/>
      <c r="G368" s="383"/>
      <c r="H368" s="391"/>
      <c r="I368" s="391"/>
      <c r="J368" s="391"/>
      <c r="K368" s="391"/>
      <c r="L368" s="391"/>
      <c r="M368" s="391"/>
      <c r="N368" s="391"/>
      <c r="O368" s="391"/>
      <c r="P368" s="391"/>
      <c r="Q368" s="391"/>
      <c r="R368" s="391"/>
      <c r="S368" s="391"/>
      <c r="T368" s="391"/>
      <c r="U368" s="391"/>
      <c r="V368" s="391"/>
      <c r="W368" s="391"/>
      <c r="X368" s="391"/>
      <c r="Y368" s="391"/>
      <c r="Z368" s="391"/>
      <c r="AA368" s="391"/>
      <c r="AB368" s="391"/>
      <c r="AC368" s="391"/>
      <c r="AD368" s="391"/>
      <c r="AE368" s="391"/>
      <c r="AF368" s="391"/>
      <c r="AG368" s="391"/>
      <c r="AH368" s="391"/>
      <c r="AI368" s="391"/>
      <c r="AJ368" s="391"/>
      <c r="AK368" s="391"/>
      <c r="AL368" s="391"/>
      <c r="AM368" s="628"/>
    </row>
    <row r="369" spans="1:39" ht="12.75">
      <c r="A369" s="612"/>
      <c r="B369" s="613"/>
      <c r="C369" s="614"/>
      <c r="D369" s="615"/>
      <c r="E369" s="625"/>
      <c r="F369" s="382"/>
      <c r="G369" s="383"/>
      <c r="H369" s="384"/>
      <c r="I369" s="384"/>
      <c r="J369" s="384"/>
      <c r="K369" s="384"/>
      <c r="L369" s="384"/>
      <c r="M369" s="384"/>
      <c r="N369" s="384"/>
      <c r="O369" s="384"/>
      <c r="P369" s="384"/>
      <c r="Q369" s="384"/>
      <c r="R369" s="384"/>
      <c r="S369" s="384"/>
      <c r="T369" s="384"/>
      <c r="U369" s="384"/>
      <c r="V369" s="384"/>
      <c r="W369" s="384"/>
      <c r="X369" s="384"/>
      <c r="Y369" s="384"/>
      <c r="Z369" s="384"/>
      <c r="AA369" s="384"/>
      <c r="AB369" s="384"/>
      <c r="AC369" s="384"/>
      <c r="AD369" s="384"/>
      <c r="AE369" s="384"/>
      <c r="AF369" s="384"/>
      <c r="AG369" s="384"/>
      <c r="AH369" s="384"/>
      <c r="AI369" s="384"/>
      <c r="AJ369" s="384"/>
      <c r="AK369" s="384"/>
      <c r="AL369" s="384"/>
      <c r="AM369" s="624"/>
    </row>
    <row r="370" spans="1:39" ht="12.75">
      <c r="A370" s="612"/>
      <c r="B370" s="613"/>
      <c r="C370" s="614"/>
      <c r="D370" s="615"/>
      <c r="E370" s="625"/>
      <c r="F370" s="626"/>
      <c r="G370" s="383"/>
      <c r="H370" s="384"/>
      <c r="I370" s="384"/>
      <c r="J370" s="384"/>
      <c r="K370" s="384"/>
      <c r="L370" s="384"/>
      <c r="M370" s="384"/>
      <c r="N370" s="384"/>
      <c r="O370" s="384"/>
      <c r="P370" s="384"/>
      <c r="Q370" s="384"/>
      <c r="R370" s="384"/>
      <c r="S370" s="384"/>
      <c r="T370" s="384"/>
      <c r="U370" s="384"/>
      <c r="V370" s="384"/>
      <c r="W370" s="384"/>
      <c r="X370" s="384"/>
      <c r="Y370" s="384"/>
      <c r="Z370" s="384"/>
      <c r="AA370" s="384"/>
      <c r="AB370" s="384"/>
      <c r="AC370" s="384"/>
      <c r="AD370" s="384"/>
      <c r="AE370" s="384"/>
      <c r="AF370" s="384"/>
      <c r="AG370" s="384"/>
      <c r="AH370" s="384"/>
      <c r="AI370" s="384"/>
      <c r="AJ370" s="384"/>
      <c r="AK370" s="384"/>
      <c r="AL370" s="384"/>
      <c r="AM370" s="628"/>
    </row>
    <row r="371" spans="1:39" ht="12.75">
      <c r="A371" s="612"/>
      <c r="B371" s="613"/>
      <c r="C371" s="614"/>
      <c r="D371" s="615"/>
      <c r="E371" s="625"/>
      <c r="F371" s="627"/>
      <c r="G371" s="383"/>
      <c r="H371" s="384"/>
      <c r="I371" s="384"/>
      <c r="J371" s="384"/>
      <c r="K371" s="384"/>
      <c r="L371" s="384"/>
      <c r="M371" s="384"/>
      <c r="N371" s="384"/>
      <c r="O371" s="384"/>
      <c r="P371" s="384"/>
      <c r="Q371" s="384"/>
      <c r="R371" s="384"/>
      <c r="S371" s="384"/>
      <c r="T371" s="384"/>
      <c r="U371" s="384"/>
      <c r="V371" s="384"/>
      <c r="W371" s="384"/>
      <c r="X371" s="384"/>
      <c r="Y371" s="384"/>
      <c r="Z371" s="384"/>
      <c r="AA371" s="384"/>
      <c r="AB371" s="384"/>
      <c r="AC371" s="384"/>
      <c r="AD371" s="384"/>
      <c r="AE371" s="384"/>
      <c r="AF371" s="384"/>
      <c r="AG371" s="384"/>
      <c r="AH371" s="384"/>
      <c r="AI371" s="384"/>
      <c r="AJ371" s="384"/>
      <c r="AK371" s="384"/>
      <c r="AL371" s="384"/>
      <c r="AM371" s="628"/>
    </row>
    <row r="372" spans="1:39" ht="12.75">
      <c r="A372" s="612"/>
      <c r="B372" s="613"/>
      <c r="C372" s="614"/>
      <c r="D372" s="615"/>
      <c r="E372" s="625"/>
      <c r="F372" s="382"/>
      <c r="G372" s="383"/>
      <c r="H372" s="384"/>
      <c r="I372" s="384"/>
      <c r="J372" s="384"/>
      <c r="K372" s="384"/>
      <c r="L372" s="384"/>
      <c r="M372" s="384"/>
      <c r="N372" s="384"/>
      <c r="O372" s="384"/>
      <c r="P372" s="384"/>
      <c r="Q372" s="384"/>
      <c r="R372" s="384"/>
      <c r="S372" s="384"/>
      <c r="T372" s="384"/>
      <c r="U372" s="384"/>
      <c r="V372" s="384"/>
      <c r="W372" s="384"/>
      <c r="X372" s="384"/>
      <c r="Y372" s="384"/>
      <c r="Z372" s="384"/>
      <c r="AA372" s="384"/>
      <c r="AB372" s="384"/>
      <c r="AC372" s="384"/>
      <c r="AD372" s="384"/>
      <c r="AE372" s="384"/>
      <c r="AF372" s="384"/>
      <c r="AG372" s="384"/>
      <c r="AH372" s="384"/>
      <c r="AI372" s="384"/>
      <c r="AJ372" s="384"/>
      <c r="AK372" s="384"/>
      <c r="AL372" s="384"/>
      <c r="AM372" s="628"/>
    </row>
    <row r="373" spans="1:39" ht="12.75">
      <c r="A373" s="612"/>
      <c r="B373" s="613"/>
      <c r="C373" s="614"/>
      <c r="D373" s="615"/>
      <c r="E373" s="625"/>
      <c r="F373" s="626"/>
      <c r="G373" s="383"/>
      <c r="H373" s="384"/>
      <c r="I373" s="384"/>
      <c r="J373" s="384"/>
      <c r="K373" s="384"/>
      <c r="L373" s="384"/>
      <c r="M373" s="384"/>
      <c r="N373" s="384"/>
      <c r="O373" s="384"/>
      <c r="P373" s="384"/>
      <c r="Q373" s="384"/>
      <c r="R373" s="384"/>
      <c r="S373" s="384"/>
      <c r="T373" s="384"/>
      <c r="U373" s="384"/>
      <c r="V373" s="384"/>
      <c r="W373" s="384"/>
      <c r="X373" s="384"/>
      <c r="Y373" s="384"/>
      <c r="Z373" s="384"/>
      <c r="AA373" s="384"/>
      <c r="AB373" s="384"/>
      <c r="AC373" s="384"/>
      <c r="AD373" s="384"/>
      <c r="AE373" s="384"/>
      <c r="AF373" s="384"/>
      <c r="AG373" s="384"/>
      <c r="AH373" s="384"/>
      <c r="AI373" s="384"/>
      <c r="AJ373" s="384"/>
      <c r="AK373" s="384"/>
      <c r="AL373" s="384"/>
      <c r="AM373" s="628"/>
    </row>
    <row r="374" spans="1:39" ht="12.75">
      <c r="A374" s="612"/>
      <c r="B374" s="613"/>
      <c r="C374" s="614"/>
      <c r="D374" s="615"/>
      <c r="E374" s="625"/>
      <c r="F374" s="627"/>
      <c r="G374" s="383"/>
      <c r="H374" s="384"/>
      <c r="I374" s="384"/>
      <c r="J374" s="384"/>
      <c r="K374" s="384"/>
      <c r="L374" s="384"/>
      <c r="M374" s="384"/>
      <c r="N374" s="384"/>
      <c r="O374" s="384"/>
      <c r="P374" s="384"/>
      <c r="Q374" s="384"/>
      <c r="R374" s="384"/>
      <c r="S374" s="384"/>
      <c r="T374" s="384"/>
      <c r="U374" s="384"/>
      <c r="V374" s="384"/>
      <c r="W374" s="384"/>
      <c r="X374" s="384"/>
      <c r="Y374" s="384"/>
      <c r="Z374" s="384"/>
      <c r="AA374" s="384"/>
      <c r="AB374" s="384"/>
      <c r="AC374" s="384"/>
      <c r="AD374" s="384"/>
      <c r="AE374" s="384"/>
      <c r="AF374" s="384"/>
      <c r="AG374" s="384"/>
      <c r="AH374" s="384"/>
      <c r="AI374" s="384"/>
      <c r="AJ374" s="384"/>
      <c r="AK374" s="384"/>
      <c r="AL374" s="384"/>
      <c r="AM374" s="628"/>
    </row>
    <row r="375" spans="1:39" ht="12.75">
      <c r="A375" s="612"/>
      <c r="B375" s="613"/>
      <c r="C375" s="614"/>
      <c r="D375" s="615"/>
      <c r="E375" s="625"/>
      <c r="F375" s="382"/>
      <c r="G375" s="383"/>
      <c r="H375" s="391"/>
      <c r="I375" s="391"/>
      <c r="J375" s="391"/>
      <c r="K375" s="391"/>
      <c r="L375" s="391"/>
      <c r="M375" s="391"/>
      <c r="N375" s="391"/>
      <c r="O375" s="391"/>
      <c r="P375" s="391"/>
      <c r="Q375" s="391"/>
      <c r="R375" s="391"/>
      <c r="S375" s="391"/>
      <c r="T375" s="391"/>
      <c r="U375" s="391"/>
      <c r="V375" s="391"/>
      <c r="W375" s="391"/>
      <c r="X375" s="391"/>
      <c r="Y375" s="391"/>
      <c r="Z375" s="391"/>
      <c r="AA375" s="391"/>
      <c r="AB375" s="391"/>
      <c r="AC375" s="391"/>
      <c r="AD375" s="391"/>
      <c r="AE375" s="391"/>
      <c r="AF375" s="391"/>
      <c r="AG375" s="391"/>
      <c r="AH375" s="391"/>
      <c r="AI375" s="391"/>
      <c r="AJ375" s="391"/>
      <c r="AK375" s="391"/>
      <c r="AL375" s="391"/>
      <c r="AM375" s="628"/>
    </row>
    <row r="376" spans="1:39" ht="12.75">
      <c r="A376" s="612"/>
      <c r="B376" s="613"/>
      <c r="C376" s="614"/>
      <c r="D376" s="615"/>
      <c r="E376" s="625"/>
      <c r="F376" s="382"/>
      <c r="G376" s="383"/>
      <c r="H376" s="391"/>
      <c r="I376" s="391"/>
      <c r="J376" s="391"/>
      <c r="K376" s="391"/>
      <c r="L376" s="391"/>
      <c r="M376" s="391"/>
      <c r="N376" s="391"/>
      <c r="O376" s="391"/>
      <c r="P376" s="391"/>
      <c r="Q376" s="391"/>
      <c r="R376" s="391"/>
      <c r="S376" s="391"/>
      <c r="T376" s="391"/>
      <c r="U376" s="391"/>
      <c r="V376" s="391"/>
      <c r="W376" s="391"/>
      <c r="X376" s="391"/>
      <c r="Y376" s="391"/>
      <c r="Z376" s="391"/>
      <c r="AA376" s="391"/>
      <c r="AB376" s="391"/>
      <c r="AC376" s="391"/>
      <c r="AD376" s="391"/>
      <c r="AE376" s="391"/>
      <c r="AF376" s="391"/>
      <c r="AG376" s="391"/>
      <c r="AH376" s="391"/>
      <c r="AI376" s="391"/>
      <c r="AJ376" s="391"/>
      <c r="AK376" s="391"/>
      <c r="AL376" s="391"/>
      <c r="AM376" s="628"/>
    </row>
    <row r="377" spans="1:39" ht="12.75">
      <c r="A377" s="612"/>
      <c r="B377" s="613"/>
      <c r="C377" s="614"/>
      <c r="D377" s="615"/>
      <c r="E377" s="625"/>
      <c r="F377" s="382"/>
      <c r="G377" s="383"/>
      <c r="H377" s="384"/>
      <c r="I377" s="384"/>
      <c r="J377" s="384"/>
      <c r="K377" s="384"/>
      <c r="L377" s="384"/>
      <c r="M377" s="384"/>
      <c r="N377" s="384"/>
      <c r="O377" s="384"/>
      <c r="P377" s="384"/>
      <c r="Q377" s="384"/>
      <c r="R377" s="384"/>
      <c r="S377" s="384"/>
      <c r="T377" s="384"/>
      <c r="U377" s="384"/>
      <c r="V377" s="384"/>
      <c r="W377" s="384"/>
      <c r="X377" s="384"/>
      <c r="Y377" s="384"/>
      <c r="Z377" s="384"/>
      <c r="AA377" s="384"/>
      <c r="AB377" s="384"/>
      <c r="AC377" s="384"/>
      <c r="AD377" s="384"/>
      <c r="AE377" s="384"/>
      <c r="AF377" s="384"/>
      <c r="AG377" s="384"/>
      <c r="AH377" s="384"/>
      <c r="AI377" s="384"/>
      <c r="AJ377" s="384"/>
      <c r="AK377" s="384"/>
      <c r="AL377" s="384"/>
      <c r="AM377" s="624"/>
    </row>
    <row r="378" spans="1:39" ht="12.75">
      <c r="A378" s="612"/>
      <c r="B378" s="613"/>
      <c r="C378" s="614"/>
      <c r="D378" s="615"/>
      <c r="E378" s="625"/>
      <c r="F378" s="626"/>
      <c r="G378" s="383"/>
      <c r="H378" s="384"/>
      <c r="I378" s="384"/>
      <c r="J378" s="384"/>
      <c r="K378" s="384"/>
      <c r="L378" s="384"/>
      <c r="M378" s="384"/>
      <c r="N378" s="384"/>
      <c r="O378" s="384"/>
      <c r="P378" s="384"/>
      <c r="Q378" s="384"/>
      <c r="R378" s="384"/>
      <c r="S378" s="384"/>
      <c r="T378" s="384"/>
      <c r="U378" s="384"/>
      <c r="V378" s="384"/>
      <c r="W378" s="384"/>
      <c r="X378" s="384"/>
      <c r="Y378" s="384"/>
      <c r="Z378" s="384"/>
      <c r="AA378" s="384"/>
      <c r="AB378" s="384"/>
      <c r="AC378" s="384"/>
      <c r="AD378" s="384"/>
      <c r="AE378" s="384"/>
      <c r="AF378" s="384"/>
      <c r="AG378" s="384"/>
      <c r="AH378" s="384"/>
      <c r="AI378" s="384"/>
      <c r="AJ378" s="384"/>
      <c r="AK378" s="384"/>
      <c r="AL378" s="384"/>
      <c r="AM378" s="628"/>
    </row>
    <row r="379" spans="1:39" ht="12.75">
      <c r="A379" s="612"/>
      <c r="B379" s="613"/>
      <c r="C379" s="614"/>
      <c r="D379" s="615"/>
      <c r="E379" s="625"/>
      <c r="F379" s="627"/>
      <c r="G379" s="383"/>
      <c r="H379" s="384"/>
      <c r="I379" s="384"/>
      <c r="J379" s="384"/>
      <c r="K379" s="384"/>
      <c r="L379" s="384"/>
      <c r="M379" s="384"/>
      <c r="N379" s="384"/>
      <c r="O379" s="384"/>
      <c r="P379" s="384"/>
      <c r="Q379" s="384"/>
      <c r="R379" s="384"/>
      <c r="S379" s="384"/>
      <c r="T379" s="384"/>
      <c r="U379" s="384"/>
      <c r="V379" s="384"/>
      <c r="W379" s="384"/>
      <c r="X379" s="384"/>
      <c r="Y379" s="384"/>
      <c r="Z379" s="384"/>
      <c r="AA379" s="384"/>
      <c r="AB379" s="384"/>
      <c r="AC379" s="384"/>
      <c r="AD379" s="384"/>
      <c r="AE379" s="384"/>
      <c r="AF379" s="384"/>
      <c r="AG379" s="384"/>
      <c r="AH379" s="384"/>
      <c r="AI379" s="384"/>
      <c r="AJ379" s="384"/>
      <c r="AK379" s="384"/>
      <c r="AL379" s="384"/>
      <c r="AM379" s="628"/>
    </row>
    <row r="380" spans="1:39" ht="12.75">
      <c r="A380" s="612"/>
      <c r="B380" s="613"/>
      <c r="C380" s="614"/>
      <c r="D380" s="615"/>
      <c r="E380" s="625"/>
      <c r="F380" s="382"/>
      <c r="G380" s="383"/>
      <c r="H380" s="384"/>
      <c r="I380" s="384"/>
      <c r="J380" s="384"/>
      <c r="K380" s="384"/>
      <c r="L380" s="384"/>
      <c r="M380" s="384"/>
      <c r="N380" s="384"/>
      <c r="O380" s="384"/>
      <c r="P380" s="384"/>
      <c r="Q380" s="384"/>
      <c r="R380" s="384"/>
      <c r="S380" s="384"/>
      <c r="T380" s="384"/>
      <c r="U380" s="384"/>
      <c r="V380" s="384"/>
      <c r="W380" s="384"/>
      <c r="X380" s="384"/>
      <c r="Y380" s="384"/>
      <c r="Z380" s="384"/>
      <c r="AA380" s="384"/>
      <c r="AB380" s="384"/>
      <c r="AC380" s="384"/>
      <c r="AD380" s="384"/>
      <c r="AE380" s="384"/>
      <c r="AF380" s="384"/>
      <c r="AG380" s="384"/>
      <c r="AH380" s="384"/>
      <c r="AI380" s="384"/>
      <c r="AJ380" s="384"/>
      <c r="AK380" s="384"/>
      <c r="AL380" s="384"/>
      <c r="AM380" s="628"/>
    </row>
    <row r="381" spans="1:39" ht="12.75">
      <c r="A381" s="612"/>
      <c r="B381" s="613"/>
      <c r="C381" s="614"/>
      <c r="D381" s="615"/>
      <c r="E381" s="625"/>
      <c r="F381" s="626"/>
      <c r="G381" s="383"/>
      <c r="H381" s="384"/>
      <c r="I381" s="384"/>
      <c r="J381" s="384"/>
      <c r="K381" s="384"/>
      <c r="L381" s="384"/>
      <c r="M381" s="384"/>
      <c r="N381" s="384"/>
      <c r="O381" s="384"/>
      <c r="P381" s="384"/>
      <c r="Q381" s="384"/>
      <c r="R381" s="384"/>
      <c r="S381" s="384"/>
      <c r="T381" s="384"/>
      <c r="U381" s="384"/>
      <c r="V381" s="384"/>
      <c r="W381" s="384"/>
      <c r="X381" s="384"/>
      <c r="Y381" s="384"/>
      <c r="Z381" s="384"/>
      <c r="AA381" s="384"/>
      <c r="AB381" s="384"/>
      <c r="AC381" s="384"/>
      <c r="AD381" s="384"/>
      <c r="AE381" s="384"/>
      <c r="AF381" s="384"/>
      <c r="AG381" s="384"/>
      <c r="AH381" s="384"/>
      <c r="AI381" s="384"/>
      <c r="AJ381" s="384"/>
      <c r="AK381" s="384"/>
      <c r="AL381" s="384"/>
      <c r="AM381" s="628"/>
    </row>
    <row r="382" spans="1:39" ht="12.75">
      <c r="A382" s="612"/>
      <c r="B382" s="613"/>
      <c r="C382" s="614"/>
      <c r="D382" s="615"/>
      <c r="E382" s="625"/>
      <c r="F382" s="627"/>
      <c r="G382" s="383"/>
      <c r="H382" s="384"/>
      <c r="I382" s="384"/>
      <c r="J382" s="384"/>
      <c r="K382" s="384"/>
      <c r="L382" s="384"/>
      <c r="M382" s="384"/>
      <c r="N382" s="384"/>
      <c r="O382" s="384"/>
      <c r="P382" s="384"/>
      <c r="Q382" s="384"/>
      <c r="R382" s="384"/>
      <c r="S382" s="384"/>
      <c r="T382" s="384"/>
      <c r="U382" s="384"/>
      <c r="V382" s="384"/>
      <c r="W382" s="384"/>
      <c r="X382" s="384"/>
      <c r="Y382" s="384"/>
      <c r="Z382" s="384"/>
      <c r="AA382" s="384"/>
      <c r="AB382" s="384"/>
      <c r="AC382" s="384"/>
      <c r="AD382" s="384"/>
      <c r="AE382" s="384"/>
      <c r="AF382" s="384"/>
      <c r="AG382" s="384"/>
      <c r="AH382" s="384"/>
      <c r="AI382" s="384"/>
      <c r="AJ382" s="384"/>
      <c r="AK382" s="384"/>
      <c r="AL382" s="384"/>
      <c r="AM382" s="628"/>
    </row>
    <row r="383" spans="1:39" ht="12.75">
      <c r="A383" s="612"/>
      <c r="B383" s="613"/>
      <c r="C383" s="614"/>
      <c r="D383" s="615"/>
      <c r="E383" s="625"/>
      <c r="F383" s="382"/>
      <c r="G383" s="383"/>
      <c r="H383" s="391"/>
      <c r="I383" s="391"/>
      <c r="J383" s="391"/>
      <c r="K383" s="391"/>
      <c r="L383" s="391"/>
      <c r="M383" s="391"/>
      <c r="N383" s="391"/>
      <c r="O383" s="391"/>
      <c r="P383" s="391"/>
      <c r="Q383" s="391"/>
      <c r="R383" s="391"/>
      <c r="S383" s="391"/>
      <c r="T383" s="391"/>
      <c r="U383" s="391"/>
      <c r="V383" s="391"/>
      <c r="W383" s="391"/>
      <c r="X383" s="391"/>
      <c r="Y383" s="391"/>
      <c r="Z383" s="391"/>
      <c r="AA383" s="391"/>
      <c r="AB383" s="391"/>
      <c r="AC383" s="391"/>
      <c r="AD383" s="391"/>
      <c r="AE383" s="391"/>
      <c r="AF383" s="391"/>
      <c r="AG383" s="391"/>
      <c r="AH383" s="391"/>
      <c r="AI383" s="391"/>
      <c r="AJ383" s="391"/>
      <c r="AK383" s="391"/>
      <c r="AL383" s="391"/>
      <c r="AM383" s="628"/>
    </row>
    <row r="384" spans="1:39" ht="12.75">
      <c r="A384" s="612"/>
      <c r="B384" s="613"/>
      <c r="C384" s="614"/>
      <c r="D384" s="615"/>
      <c r="E384" s="625"/>
      <c r="F384" s="382"/>
      <c r="G384" s="383"/>
      <c r="H384" s="391"/>
      <c r="I384" s="391"/>
      <c r="J384" s="391"/>
      <c r="K384" s="391"/>
      <c r="L384" s="391"/>
      <c r="M384" s="391"/>
      <c r="N384" s="391"/>
      <c r="O384" s="391"/>
      <c r="P384" s="391"/>
      <c r="Q384" s="391"/>
      <c r="R384" s="391"/>
      <c r="S384" s="391"/>
      <c r="T384" s="391"/>
      <c r="U384" s="391"/>
      <c r="V384" s="391"/>
      <c r="W384" s="391"/>
      <c r="X384" s="391"/>
      <c r="Y384" s="391"/>
      <c r="Z384" s="391"/>
      <c r="AA384" s="391"/>
      <c r="AB384" s="391"/>
      <c r="AC384" s="391"/>
      <c r="AD384" s="391"/>
      <c r="AE384" s="391"/>
      <c r="AF384" s="391"/>
      <c r="AG384" s="391"/>
      <c r="AH384" s="391"/>
      <c r="AI384" s="391"/>
      <c r="AJ384" s="391"/>
      <c r="AK384" s="391"/>
      <c r="AL384" s="391"/>
      <c r="AM384" s="628"/>
    </row>
    <row r="385" spans="1:39" ht="12.75">
      <c r="A385" s="612"/>
      <c r="B385" s="613"/>
      <c r="C385" s="614"/>
      <c r="D385" s="615"/>
      <c r="E385" s="625"/>
      <c r="F385" s="382"/>
      <c r="G385" s="383"/>
      <c r="H385" s="384"/>
      <c r="I385" s="384"/>
      <c r="J385" s="384"/>
      <c r="K385" s="384"/>
      <c r="L385" s="384"/>
      <c r="M385" s="384"/>
      <c r="N385" s="384"/>
      <c r="O385" s="384"/>
      <c r="P385" s="384"/>
      <c r="Q385" s="384"/>
      <c r="R385" s="384"/>
      <c r="S385" s="384"/>
      <c r="T385" s="384"/>
      <c r="U385" s="384"/>
      <c r="V385" s="384"/>
      <c r="W385" s="384"/>
      <c r="X385" s="384"/>
      <c r="Y385" s="384"/>
      <c r="Z385" s="384"/>
      <c r="AA385" s="384"/>
      <c r="AB385" s="384"/>
      <c r="AC385" s="384"/>
      <c r="AD385" s="384"/>
      <c r="AE385" s="384"/>
      <c r="AF385" s="384"/>
      <c r="AG385" s="384"/>
      <c r="AH385" s="384"/>
      <c r="AI385" s="384"/>
      <c r="AJ385" s="384"/>
      <c r="AK385" s="384"/>
      <c r="AL385" s="384"/>
      <c r="AM385" s="624"/>
    </row>
    <row r="386" spans="1:39" ht="12.75">
      <c r="A386" s="612"/>
      <c r="B386" s="613"/>
      <c r="C386" s="614"/>
      <c r="D386" s="615"/>
      <c r="E386" s="625"/>
      <c r="F386" s="626"/>
      <c r="G386" s="383"/>
      <c r="H386" s="384"/>
      <c r="I386" s="384"/>
      <c r="J386" s="384"/>
      <c r="K386" s="384"/>
      <c r="L386" s="384"/>
      <c r="M386" s="384"/>
      <c r="N386" s="384"/>
      <c r="O386" s="384"/>
      <c r="P386" s="384"/>
      <c r="Q386" s="384"/>
      <c r="R386" s="384"/>
      <c r="S386" s="384"/>
      <c r="T386" s="384"/>
      <c r="U386" s="384"/>
      <c r="V386" s="384"/>
      <c r="W386" s="384"/>
      <c r="X386" s="384"/>
      <c r="Y386" s="384"/>
      <c r="Z386" s="384"/>
      <c r="AA386" s="384"/>
      <c r="AB386" s="384"/>
      <c r="AC386" s="384"/>
      <c r="AD386" s="384"/>
      <c r="AE386" s="384"/>
      <c r="AF386" s="384"/>
      <c r="AG386" s="384"/>
      <c r="AH386" s="384"/>
      <c r="AI386" s="384"/>
      <c r="AJ386" s="384"/>
      <c r="AK386" s="384"/>
      <c r="AL386" s="384"/>
      <c r="AM386" s="628"/>
    </row>
    <row r="387" spans="1:39" ht="12.75">
      <c r="A387" s="612"/>
      <c r="B387" s="613"/>
      <c r="C387" s="614"/>
      <c r="D387" s="615"/>
      <c r="E387" s="625"/>
      <c r="F387" s="627"/>
      <c r="G387" s="383"/>
      <c r="H387" s="384"/>
      <c r="I387" s="384"/>
      <c r="J387" s="384"/>
      <c r="K387" s="384"/>
      <c r="L387" s="384"/>
      <c r="M387" s="384"/>
      <c r="N387" s="384"/>
      <c r="O387" s="384"/>
      <c r="P387" s="384"/>
      <c r="Q387" s="384"/>
      <c r="R387" s="384"/>
      <c r="S387" s="384"/>
      <c r="T387" s="384"/>
      <c r="U387" s="384"/>
      <c r="V387" s="384"/>
      <c r="W387" s="384"/>
      <c r="X387" s="384"/>
      <c r="Y387" s="384"/>
      <c r="Z387" s="384"/>
      <c r="AA387" s="384"/>
      <c r="AB387" s="384"/>
      <c r="AC387" s="384"/>
      <c r="AD387" s="384"/>
      <c r="AE387" s="384"/>
      <c r="AF387" s="384"/>
      <c r="AG387" s="384"/>
      <c r="AH387" s="384"/>
      <c r="AI387" s="384"/>
      <c r="AJ387" s="384"/>
      <c r="AK387" s="384"/>
      <c r="AL387" s="384"/>
      <c r="AM387" s="628"/>
    </row>
    <row r="388" spans="1:39" ht="12.75">
      <c r="A388" s="612"/>
      <c r="B388" s="613"/>
      <c r="C388" s="614"/>
      <c r="D388" s="615"/>
      <c r="E388" s="625"/>
      <c r="F388" s="382"/>
      <c r="G388" s="383"/>
      <c r="H388" s="384"/>
      <c r="I388" s="384"/>
      <c r="J388" s="384"/>
      <c r="K388" s="384"/>
      <c r="L388" s="384"/>
      <c r="M388" s="384"/>
      <c r="N388" s="384"/>
      <c r="O388" s="384"/>
      <c r="P388" s="384"/>
      <c r="Q388" s="384"/>
      <c r="R388" s="384"/>
      <c r="S388" s="384"/>
      <c r="T388" s="384"/>
      <c r="U388" s="384"/>
      <c r="V388" s="384"/>
      <c r="W388" s="384"/>
      <c r="X388" s="384"/>
      <c r="Y388" s="384"/>
      <c r="Z388" s="384"/>
      <c r="AA388" s="384"/>
      <c r="AB388" s="384"/>
      <c r="AC388" s="384"/>
      <c r="AD388" s="384"/>
      <c r="AE388" s="384"/>
      <c r="AF388" s="384"/>
      <c r="AG388" s="384"/>
      <c r="AH388" s="384"/>
      <c r="AI388" s="384"/>
      <c r="AJ388" s="384"/>
      <c r="AK388" s="384"/>
      <c r="AL388" s="384"/>
      <c r="AM388" s="628"/>
    </row>
    <row r="389" spans="1:39" ht="12.75">
      <c r="A389" s="612"/>
      <c r="B389" s="613"/>
      <c r="C389" s="614"/>
      <c r="D389" s="615"/>
      <c r="E389" s="625"/>
      <c r="F389" s="626"/>
      <c r="G389" s="383"/>
      <c r="H389" s="384"/>
      <c r="I389" s="384"/>
      <c r="J389" s="384"/>
      <c r="K389" s="384"/>
      <c r="L389" s="384"/>
      <c r="M389" s="384"/>
      <c r="N389" s="384"/>
      <c r="O389" s="384"/>
      <c r="P389" s="384"/>
      <c r="Q389" s="384"/>
      <c r="R389" s="384"/>
      <c r="S389" s="384"/>
      <c r="T389" s="384"/>
      <c r="U389" s="384"/>
      <c r="V389" s="384"/>
      <c r="W389" s="384"/>
      <c r="X389" s="384"/>
      <c r="Y389" s="384"/>
      <c r="Z389" s="384"/>
      <c r="AA389" s="384"/>
      <c r="AB389" s="384"/>
      <c r="AC389" s="384"/>
      <c r="AD389" s="384"/>
      <c r="AE389" s="384"/>
      <c r="AF389" s="384"/>
      <c r="AG389" s="384"/>
      <c r="AH389" s="384"/>
      <c r="AI389" s="384"/>
      <c r="AJ389" s="384"/>
      <c r="AK389" s="384"/>
      <c r="AL389" s="384"/>
      <c r="AM389" s="628"/>
    </row>
    <row r="390" spans="1:39" ht="12.75">
      <c r="A390" s="612"/>
      <c r="B390" s="613"/>
      <c r="C390" s="614"/>
      <c r="D390" s="615"/>
      <c r="E390" s="625"/>
      <c r="F390" s="627"/>
      <c r="G390" s="383"/>
      <c r="H390" s="384"/>
      <c r="I390" s="384"/>
      <c r="J390" s="384"/>
      <c r="K390" s="384"/>
      <c r="L390" s="384"/>
      <c r="M390" s="384"/>
      <c r="N390" s="384"/>
      <c r="O390" s="384"/>
      <c r="P390" s="384"/>
      <c r="Q390" s="384"/>
      <c r="R390" s="384"/>
      <c r="S390" s="384"/>
      <c r="T390" s="384"/>
      <c r="U390" s="384"/>
      <c r="V390" s="384"/>
      <c r="W390" s="384"/>
      <c r="X390" s="384"/>
      <c r="Y390" s="384"/>
      <c r="Z390" s="384"/>
      <c r="AA390" s="384"/>
      <c r="AB390" s="384"/>
      <c r="AC390" s="384"/>
      <c r="AD390" s="384"/>
      <c r="AE390" s="384"/>
      <c r="AF390" s="384"/>
      <c r="AG390" s="384"/>
      <c r="AH390" s="384"/>
      <c r="AI390" s="384"/>
      <c r="AJ390" s="384"/>
      <c r="AK390" s="384"/>
      <c r="AL390" s="384"/>
      <c r="AM390" s="628"/>
    </row>
    <row r="391" spans="1:39" ht="12.75">
      <c r="A391" s="612"/>
      <c r="B391" s="613"/>
      <c r="C391" s="614"/>
      <c r="D391" s="615"/>
      <c r="E391" s="625"/>
      <c r="F391" s="382"/>
      <c r="G391" s="383"/>
      <c r="H391" s="391"/>
      <c r="I391" s="391"/>
      <c r="J391" s="391"/>
      <c r="K391" s="391"/>
      <c r="L391" s="391"/>
      <c r="M391" s="391"/>
      <c r="N391" s="391"/>
      <c r="O391" s="391"/>
      <c r="P391" s="391"/>
      <c r="Q391" s="391"/>
      <c r="R391" s="391"/>
      <c r="S391" s="391"/>
      <c r="T391" s="391"/>
      <c r="U391" s="391"/>
      <c r="V391" s="391"/>
      <c r="W391" s="391"/>
      <c r="X391" s="391"/>
      <c r="Y391" s="391"/>
      <c r="Z391" s="391"/>
      <c r="AA391" s="391"/>
      <c r="AB391" s="391"/>
      <c r="AC391" s="391"/>
      <c r="AD391" s="391"/>
      <c r="AE391" s="391"/>
      <c r="AF391" s="391"/>
      <c r="AG391" s="391"/>
      <c r="AH391" s="391"/>
      <c r="AI391" s="391"/>
      <c r="AJ391" s="391"/>
      <c r="AK391" s="391"/>
      <c r="AL391" s="391"/>
      <c r="AM391" s="628"/>
    </row>
    <row r="392" spans="1:39" ht="12.75">
      <c r="A392" s="612"/>
      <c r="B392" s="613"/>
      <c r="C392" s="614"/>
      <c r="D392" s="615"/>
      <c r="E392" s="625"/>
      <c r="F392" s="382"/>
      <c r="G392" s="383"/>
      <c r="H392" s="391"/>
      <c r="I392" s="391"/>
      <c r="J392" s="391"/>
      <c r="K392" s="391"/>
      <c r="L392" s="391"/>
      <c r="M392" s="391"/>
      <c r="N392" s="391"/>
      <c r="O392" s="391"/>
      <c r="P392" s="391"/>
      <c r="Q392" s="391"/>
      <c r="R392" s="391"/>
      <c r="S392" s="391"/>
      <c r="T392" s="391"/>
      <c r="U392" s="391"/>
      <c r="V392" s="391"/>
      <c r="W392" s="391"/>
      <c r="X392" s="391"/>
      <c r="Y392" s="391"/>
      <c r="Z392" s="391"/>
      <c r="AA392" s="391"/>
      <c r="AB392" s="391"/>
      <c r="AC392" s="391"/>
      <c r="AD392" s="391"/>
      <c r="AE392" s="391"/>
      <c r="AF392" s="391"/>
      <c r="AG392" s="391"/>
      <c r="AH392" s="391"/>
      <c r="AI392" s="391"/>
      <c r="AJ392" s="391"/>
      <c r="AK392" s="391"/>
      <c r="AL392" s="391"/>
      <c r="AM392" s="628"/>
    </row>
    <row r="393" spans="1:39" ht="12.75">
      <c r="A393" s="612"/>
      <c r="B393" s="613"/>
      <c r="C393" s="614"/>
      <c r="D393" s="615"/>
      <c r="E393" s="625"/>
      <c r="F393" s="382"/>
      <c r="G393" s="383"/>
      <c r="H393" s="384"/>
      <c r="I393" s="384"/>
      <c r="J393" s="384"/>
      <c r="K393" s="384"/>
      <c r="L393" s="384"/>
      <c r="M393" s="384"/>
      <c r="N393" s="384"/>
      <c r="O393" s="384"/>
      <c r="P393" s="384"/>
      <c r="Q393" s="384"/>
      <c r="R393" s="384"/>
      <c r="S393" s="384"/>
      <c r="T393" s="384"/>
      <c r="U393" s="384"/>
      <c r="V393" s="384"/>
      <c r="W393" s="384"/>
      <c r="X393" s="384"/>
      <c r="Y393" s="384"/>
      <c r="Z393" s="384"/>
      <c r="AA393" s="384"/>
      <c r="AB393" s="384"/>
      <c r="AC393" s="384"/>
      <c r="AD393" s="384"/>
      <c r="AE393" s="384"/>
      <c r="AF393" s="384"/>
      <c r="AG393" s="384"/>
      <c r="AH393" s="384"/>
      <c r="AI393" s="384"/>
      <c r="AJ393" s="384"/>
      <c r="AK393" s="384"/>
      <c r="AL393" s="384"/>
      <c r="AM393" s="624"/>
    </row>
    <row r="394" spans="1:39" ht="12.75">
      <c r="A394" s="612"/>
      <c r="B394" s="613"/>
      <c r="C394" s="614"/>
      <c r="D394" s="615"/>
      <c r="E394" s="625"/>
      <c r="F394" s="626"/>
      <c r="G394" s="383"/>
      <c r="H394" s="384"/>
      <c r="I394" s="384"/>
      <c r="J394" s="384"/>
      <c r="K394" s="384"/>
      <c r="L394" s="384"/>
      <c r="M394" s="384"/>
      <c r="N394" s="384"/>
      <c r="O394" s="384"/>
      <c r="P394" s="384"/>
      <c r="Q394" s="384"/>
      <c r="R394" s="384"/>
      <c r="S394" s="384"/>
      <c r="T394" s="384"/>
      <c r="U394" s="384"/>
      <c r="V394" s="384"/>
      <c r="W394" s="384"/>
      <c r="X394" s="384"/>
      <c r="Y394" s="384"/>
      <c r="Z394" s="384"/>
      <c r="AA394" s="384"/>
      <c r="AB394" s="384"/>
      <c r="AC394" s="384"/>
      <c r="AD394" s="384"/>
      <c r="AE394" s="384"/>
      <c r="AF394" s="384"/>
      <c r="AG394" s="384"/>
      <c r="AH394" s="384"/>
      <c r="AI394" s="384"/>
      <c r="AJ394" s="384"/>
      <c r="AK394" s="384"/>
      <c r="AL394" s="384"/>
      <c r="AM394" s="628"/>
    </row>
    <row r="395" spans="1:39" ht="12.75">
      <c r="A395" s="612"/>
      <c r="B395" s="613"/>
      <c r="C395" s="614"/>
      <c r="D395" s="615"/>
      <c r="E395" s="625"/>
      <c r="F395" s="627"/>
      <c r="G395" s="383"/>
      <c r="H395" s="384"/>
      <c r="I395" s="384"/>
      <c r="J395" s="384"/>
      <c r="K395" s="384"/>
      <c r="L395" s="384"/>
      <c r="M395" s="384"/>
      <c r="N395" s="384"/>
      <c r="O395" s="384"/>
      <c r="P395" s="384"/>
      <c r="Q395" s="384"/>
      <c r="R395" s="384"/>
      <c r="S395" s="384"/>
      <c r="T395" s="384"/>
      <c r="U395" s="384"/>
      <c r="V395" s="384"/>
      <c r="W395" s="384"/>
      <c r="X395" s="384"/>
      <c r="Y395" s="384"/>
      <c r="Z395" s="384"/>
      <c r="AA395" s="384"/>
      <c r="AB395" s="384"/>
      <c r="AC395" s="384"/>
      <c r="AD395" s="384"/>
      <c r="AE395" s="384"/>
      <c r="AF395" s="384"/>
      <c r="AG395" s="384"/>
      <c r="AH395" s="384"/>
      <c r="AI395" s="384"/>
      <c r="AJ395" s="384"/>
      <c r="AK395" s="384"/>
      <c r="AL395" s="384"/>
      <c r="AM395" s="628"/>
    </row>
    <row r="396" spans="1:39" ht="12.75">
      <c r="A396" s="612"/>
      <c r="B396" s="613"/>
      <c r="C396" s="614"/>
      <c r="D396" s="615"/>
      <c r="E396" s="625"/>
      <c r="F396" s="382"/>
      <c r="G396" s="383"/>
      <c r="H396" s="384"/>
      <c r="I396" s="384"/>
      <c r="J396" s="384"/>
      <c r="K396" s="384"/>
      <c r="L396" s="384"/>
      <c r="M396" s="384"/>
      <c r="N396" s="384"/>
      <c r="O396" s="384"/>
      <c r="P396" s="384"/>
      <c r="Q396" s="384"/>
      <c r="R396" s="384"/>
      <c r="S396" s="384"/>
      <c r="T396" s="384"/>
      <c r="U396" s="384"/>
      <c r="V396" s="384"/>
      <c r="W396" s="384"/>
      <c r="X396" s="384"/>
      <c r="Y396" s="384"/>
      <c r="Z396" s="384"/>
      <c r="AA396" s="384"/>
      <c r="AB396" s="384"/>
      <c r="AC396" s="384"/>
      <c r="AD396" s="384"/>
      <c r="AE396" s="384"/>
      <c r="AF396" s="384"/>
      <c r="AG396" s="384"/>
      <c r="AH396" s="384"/>
      <c r="AI396" s="384"/>
      <c r="AJ396" s="384"/>
      <c r="AK396" s="384"/>
      <c r="AL396" s="384"/>
      <c r="AM396" s="628"/>
    </row>
    <row r="397" spans="1:39" ht="12.75">
      <c r="A397" s="612"/>
      <c r="B397" s="613"/>
      <c r="C397" s="614"/>
      <c r="D397" s="615"/>
      <c r="E397" s="625"/>
      <c r="F397" s="626"/>
      <c r="G397" s="383"/>
      <c r="H397" s="384"/>
      <c r="I397" s="384"/>
      <c r="J397" s="384"/>
      <c r="K397" s="384"/>
      <c r="L397" s="384"/>
      <c r="M397" s="384"/>
      <c r="N397" s="384"/>
      <c r="O397" s="384"/>
      <c r="P397" s="384"/>
      <c r="Q397" s="384"/>
      <c r="R397" s="384"/>
      <c r="S397" s="384"/>
      <c r="T397" s="384"/>
      <c r="U397" s="384"/>
      <c r="V397" s="384"/>
      <c r="W397" s="384"/>
      <c r="X397" s="384"/>
      <c r="Y397" s="384"/>
      <c r="Z397" s="384"/>
      <c r="AA397" s="384"/>
      <c r="AB397" s="384"/>
      <c r="AC397" s="384"/>
      <c r="AD397" s="384"/>
      <c r="AE397" s="384"/>
      <c r="AF397" s="384"/>
      <c r="AG397" s="384"/>
      <c r="AH397" s="384"/>
      <c r="AI397" s="384"/>
      <c r="AJ397" s="384"/>
      <c r="AK397" s="384"/>
      <c r="AL397" s="384"/>
      <c r="AM397" s="628"/>
    </row>
    <row r="398" spans="1:39" ht="12.75">
      <c r="A398" s="612"/>
      <c r="B398" s="613"/>
      <c r="C398" s="614"/>
      <c r="D398" s="615"/>
      <c r="E398" s="625"/>
      <c r="F398" s="627"/>
      <c r="G398" s="383"/>
      <c r="H398" s="384"/>
      <c r="I398" s="384"/>
      <c r="J398" s="384"/>
      <c r="K398" s="384"/>
      <c r="L398" s="384"/>
      <c r="M398" s="384"/>
      <c r="N398" s="384"/>
      <c r="O398" s="384"/>
      <c r="P398" s="384"/>
      <c r="Q398" s="384"/>
      <c r="R398" s="384"/>
      <c r="S398" s="384"/>
      <c r="T398" s="384"/>
      <c r="U398" s="384"/>
      <c r="V398" s="384"/>
      <c r="W398" s="384"/>
      <c r="X398" s="384"/>
      <c r="Y398" s="384"/>
      <c r="Z398" s="384"/>
      <c r="AA398" s="384"/>
      <c r="AB398" s="384"/>
      <c r="AC398" s="384"/>
      <c r="AD398" s="384"/>
      <c r="AE398" s="384"/>
      <c r="AF398" s="384"/>
      <c r="AG398" s="384"/>
      <c r="AH398" s="384"/>
      <c r="AI398" s="384"/>
      <c r="AJ398" s="384"/>
      <c r="AK398" s="384"/>
      <c r="AL398" s="384"/>
      <c r="AM398" s="628"/>
    </row>
    <row r="399" spans="1:39" ht="12.75">
      <c r="A399" s="612"/>
      <c r="B399" s="613"/>
      <c r="C399" s="614"/>
      <c r="D399" s="615"/>
      <c r="E399" s="625"/>
      <c r="F399" s="382"/>
      <c r="G399" s="383"/>
      <c r="H399" s="391"/>
      <c r="I399" s="391"/>
      <c r="J399" s="391"/>
      <c r="K399" s="391"/>
      <c r="L399" s="391"/>
      <c r="M399" s="391"/>
      <c r="N399" s="391"/>
      <c r="O399" s="391"/>
      <c r="P399" s="391"/>
      <c r="Q399" s="391"/>
      <c r="R399" s="391"/>
      <c r="S399" s="391"/>
      <c r="T399" s="391"/>
      <c r="U399" s="391"/>
      <c r="V399" s="391"/>
      <c r="W399" s="391"/>
      <c r="X399" s="391"/>
      <c r="Y399" s="391"/>
      <c r="Z399" s="391"/>
      <c r="AA399" s="391"/>
      <c r="AB399" s="391"/>
      <c r="AC399" s="391"/>
      <c r="AD399" s="391"/>
      <c r="AE399" s="391"/>
      <c r="AF399" s="391"/>
      <c r="AG399" s="391"/>
      <c r="AH399" s="391"/>
      <c r="AI399" s="391"/>
      <c r="AJ399" s="391"/>
      <c r="AK399" s="391"/>
      <c r="AL399" s="391"/>
      <c r="AM399" s="628"/>
    </row>
    <row r="400" spans="1:39" ht="12.75">
      <c r="A400" s="612"/>
      <c r="B400" s="613"/>
      <c r="C400" s="614"/>
      <c r="D400" s="615"/>
      <c r="E400" s="625"/>
      <c r="F400" s="382"/>
      <c r="G400" s="383"/>
      <c r="H400" s="391"/>
      <c r="I400" s="391"/>
      <c r="J400" s="391"/>
      <c r="K400" s="391"/>
      <c r="L400" s="391"/>
      <c r="M400" s="391"/>
      <c r="N400" s="391"/>
      <c r="O400" s="391"/>
      <c r="P400" s="391"/>
      <c r="Q400" s="391"/>
      <c r="R400" s="391"/>
      <c r="S400" s="391"/>
      <c r="T400" s="391"/>
      <c r="U400" s="391"/>
      <c r="V400" s="391"/>
      <c r="W400" s="391"/>
      <c r="X400" s="391"/>
      <c r="Y400" s="391"/>
      <c r="Z400" s="391"/>
      <c r="AA400" s="391"/>
      <c r="AB400" s="391"/>
      <c r="AC400" s="391"/>
      <c r="AD400" s="391"/>
      <c r="AE400" s="391"/>
      <c r="AF400" s="391"/>
      <c r="AG400" s="391"/>
      <c r="AH400" s="391"/>
      <c r="AI400" s="391"/>
      <c r="AJ400" s="391"/>
      <c r="AK400" s="391"/>
      <c r="AL400" s="391"/>
      <c r="AM400" s="628"/>
    </row>
    <row r="401" spans="1:39" ht="12.75">
      <c r="A401" s="612"/>
      <c r="B401" s="613"/>
      <c r="C401" s="614"/>
      <c r="D401" s="615"/>
      <c r="E401" s="625"/>
      <c r="F401" s="382"/>
      <c r="G401" s="383"/>
      <c r="H401" s="384"/>
      <c r="I401" s="384"/>
      <c r="J401" s="384"/>
      <c r="K401" s="384"/>
      <c r="L401" s="384"/>
      <c r="M401" s="384"/>
      <c r="N401" s="384"/>
      <c r="O401" s="384"/>
      <c r="P401" s="384"/>
      <c r="Q401" s="384"/>
      <c r="R401" s="384"/>
      <c r="S401" s="384"/>
      <c r="T401" s="384"/>
      <c r="U401" s="384"/>
      <c r="V401" s="384"/>
      <c r="W401" s="384"/>
      <c r="X401" s="384"/>
      <c r="Y401" s="384"/>
      <c r="Z401" s="384"/>
      <c r="AA401" s="384"/>
      <c r="AB401" s="384"/>
      <c r="AC401" s="384"/>
      <c r="AD401" s="384"/>
      <c r="AE401" s="384"/>
      <c r="AF401" s="384"/>
      <c r="AG401" s="384"/>
      <c r="AH401" s="384"/>
      <c r="AI401" s="384"/>
      <c r="AJ401" s="384"/>
      <c r="AK401" s="384"/>
      <c r="AL401" s="384"/>
      <c r="AM401" s="624"/>
    </row>
    <row r="402" spans="1:39" ht="12.75">
      <c r="A402" s="612"/>
      <c r="B402" s="613"/>
      <c r="C402" s="614"/>
      <c r="D402" s="615"/>
      <c r="E402" s="625"/>
      <c r="F402" s="626"/>
      <c r="G402" s="383"/>
      <c r="H402" s="384"/>
      <c r="I402" s="384"/>
      <c r="J402" s="384"/>
      <c r="K402" s="384"/>
      <c r="L402" s="384"/>
      <c r="M402" s="384"/>
      <c r="N402" s="384"/>
      <c r="O402" s="384"/>
      <c r="P402" s="384"/>
      <c r="Q402" s="384"/>
      <c r="R402" s="384"/>
      <c r="S402" s="384"/>
      <c r="T402" s="384"/>
      <c r="U402" s="384"/>
      <c r="V402" s="384"/>
      <c r="W402" s="384"/>
      <c r="X402" s="384"/>
      <c r="Y402" s="384"/>
      <c r="Z402" s="384"/>
      <c r="AA402" s="384"/>
      <c r="AB402" s="384"/>
      <c r="AC402" s="384"/>
      <c r="AD402" s="384"/>
      <c r="AE402" s="384"/>
      <c r="AF402" s="384"/>
      <c r="AG402" s="384"/>
      <c r="AH402" s="384"/>
      <c r="AI402" s="384"/>
      <c r="AJ402" s="384"/>
      <c r="AK402" s="384"/>
      <c r="AL402" s="384"/>
      <c r="AM402" s="628"/>
    </row>
    <row r="403" spans="1:39" ht="12.75">
      <c r="A403" s="612"/>
      <c r="B403" s="613"/>
      <c r="C403" s="614"/>
      <c r="D403" s="615"/>
      <c r="E403" s="625"/>
      <c r="F403" s="627"/>
      <c r="G403" s="383"/>
      <c r="H403" s="384"/>
      <c r="I403" s="384"/>
      <c r="J403" s="384"/>
      <c r="K403" s="384"/>
      <c r="L403" s="384"/>
      <c r="M403" s="384"/>
      <c r="N403" s="384"/>
      <c r="O403" s="384"/>
      <c r="P403" s="384"/>
      <c r="Q403" s="384"/>
      <c r="R403" s="384"/>
      <c r="S403" s="384"/>
      <c r="T403" s="384"/>
      <c r="U403" s="384"/>
      <c r="V403" s="384"/>
      <c r="W403" s="384"/>
      <c r="X403" s="384"/>
      <c r="Y403" s="384"/>
      <c r="Z403" s="384"/>
      <c r="AA403" s="384"/>
      <c r="AB403" s="384"/>
      <c r="AC403" s="384"/>
      <c r="AD403" s="384"/>
      <c r="AE403" s="384"/>
      <c r="AF403" s="384"/>
      <c r="AG403" s="384"/>
      <c r="AH403" s="384"/>
      <c r="AI403" s="384"/>
      <c r="AJ403" s="384"/>
      <c r="AK403" s="384"/>
      <c r="AL403" s="384"/>
      <c r="AM403" s="628"/>
    </row>
    <row r="404" spans="1:39" ht="12.75">
      <c r="A404" s="612"/>
      <c r="B404" s="613"/>
      <c r="C404" s="614"/>
      <c r="D404" s="615"/>
      <c r="E404" s="625"/>
      <c r="F404" s="382"/>
      <c r="G404" s="383"/>
      <c r="H404" s="384"/>
      <c r="I404" s="384"/>
      <c r="J404" s="384"/>
      <c r="K404" s="384"/>
      <c r="L404" s="384"/>
      <c r="M404" s="384"/>
      <c r="N404" s="384"/>
      <c r="O404" s="384"/>
      <c r="P404" s="384"/>
      <c r="Q404" s="384"/>
      <c r="R404" s="384"/>
      <c r="S404" s="384"/>
      <c r="T404" s="384"/>
      <c r="U404" s="384"/>
      <c r="V404" s="384"/>
      <c r="W404" s="384"/>
      <c r="X404" s="384"/>
      <c r="Y404" s="384"/>
      <c r="Z404" s="384"/>
      <c r="AA404" s="384"/>
      <c r="AB404" s="384"/>
      <c r="AC404" s="384"/>
      <c r="AD404" s="384"/>
      <c r="AE404" s="384"/>
      <c r="AF404" s="384"/>
      <c r="AG404" s="384"/>
      <c r="AH404" s="384"/>
      <c r="AI404" s="384"/>
      <c r="AJ404" s="384"/>
      <c r="AK404" s="384"/>
      <c r="AL404" s="384"/>
      <c r="AM404" s="628"/>
    </row>
    <row r="405" spans="1:39" ht="12.75">
      <c r="A405" s="612"/>
      <c r="B405" s="613"/>
      <c r="C405" s="614"/>
      <c r="D405" s="615"/>
      <c r="E405" s="625"/>
      <c r="F405" s="626"/>
      <c r="G405" s="383"/>
      <c r="H405" s="384"/>
      <c r="I405" s="384"/>
      <c r="J405" s="384"/>
      <c r="K405" s="384"/>
      <c r="L405" s="384"/>
      <c r="M405" s="384"/>
      <c r="N405" s="384"/>
      <c r="O405" s="384"/>
      <c r="P405" s="384"/>
      <c r="Q405" s="384"/>
      <c r="R405" s="384"/>
      <c r="S405" s="384"/>
      <c r="T405" s="384"/>
      <c r="U405" s="384"/>
      <c r="V405" s="384"/>
      <c r="W405" s="384"/>
      <c r="X405" s="384"/>
      <c r="Y405" s="384"/>
      <c r="Z405" s="384"/>
      <c r="AA405" s="384"/>
      <c r="AB405" s="384"/>
      <c r="AC405" s="384"/>
      <c r="AD405" s="384"/>
      <c r="AE405" s="384"/>
      <c r="AF405" s="384"/>
      <c r="AG405" s="384"/>
      <c r="AH405" s="384"/>
      <c r="AI405" s="384"/>
      <c r="AJ405" s="384"/>
      <c r="AK405" s="384"/>
      <c r="AL405" s="384"/>
      <c r="AM405" s="628"/>
    </row>
    <row r="406" spans="1:39" ht="12.75">
      <c r="A406" s="612"/>
      <c r="B406" s="613"/>
      <c r="C406" s="614"/>
      <c r="D406" s="615"/>
      <c r="E406" s="625"/>
      <c r="F406" s="627"/>
      <c r="G406" s="383"/>
      <c r="H406" s="384"/>
      <c r="I406" s="384"/>
      <c r="J406" s="384"/>
      <c r="K406" s="384"/>
      <c r="L406" s="384"/>
      <c r="M406" s="384"/>
      <c r="N406" s="384"/>
      <c r="O406" s="384"/>
      <c r="P406" s="384"/>
      <c r="Q406" s="384"/>
      <c r="R406" s="384"/>
      <c r="S406" s="384"/>
      <c r="T406" s="384"/>
      <c r="U406" s="384"/>
      <c r="V406" s="384"/>
      <c r="W406" s="384"/>
      <c r="X406" s="384"/>
      <c r="Y406" s="384"/>
      <c r="Z406" s="384"/>
      <c r="AA406" s="384"/>
      <c r="AB406" s="384"/>
      <c r="AC406" s="384"/>
      <c r="AD406" s="384"/>
      <c r="AE406" s="384"/>
      <c r="AF406" s="384"/>
      <c r="AG406" s="384"/>
      <c r="AH406" s="384"/>
      <c r="AI406" s="384"/>
      <c r="AJ406" s="384"/>
      <c r="AK406" s="384"/>
      <c r="AL406" s="384"/>
      <c r="AM406" s="628"/>
    </row>
    <row r="407" spans="1:39" ht="12.75">
      <c r="A407" s="612"/>
      <c r="B407" s="613"/>
      <c r="C407" s="614"/>
      <c r="D407" s="615"/>
      <c r="E407" s="625"/>
      <c r="F407" s="382"/>
      <c r="G407" s="383"/>
      <c r="H407" s="391"/>
      <c r="I407" s="391"/>
      <c r="J407" s="391"/>
      <c r="K407" s="391"/>
      <c r="L407" s="391"/>
      <c r="M407" s="391"/>
      <c r="N407" s="391"/>
      <c r="O407" s="391"/>
      <c r="P407" s="391"/>
      <c r="Q407" s="391"/>
      <c r="R407" s="391"/>
      <c r="S407" s="391"/>
      <c r="T407" s="391"/>
      <c r="U407" s="391"/>
      <c r="V407" s="391"/>
      <c r="W407" s="391"/>
      <c r="X407" s="391"/>
      <c r="Y407" s="391"/>
      <c r="Z407" s="391"/>
      <c r="AA407" s="391"/>
      <c r="AB407" s="391"/>
      <c r="AC407" s="391"/>
      <c r="AD407" s="391"/>
      <c r="AE407" s="391"/>
      <c r="AF407" s="391"/>
      <c r="AG407" s="391"/>
      <c r="AH407" s="391"/>
      <c r="AI407" s="391"/>
      <c r="AJ407" s="391"/>
      <c r="AK407" s="391"/>
      <c r="AL407" s="391"/>
      <c r="AM407" s="628"/>
    </row>
    <row r="408" spans="1:39" ht="12.75">
      <c r="A408" s="612"/>
      <c r="B408" s="613"/>
      <c r="C408" s="614"/>
      <c r="D408" s="615"/>
      <c r="E408" s="625"/>
      <c r="F408" s="382"/>
      <c r="G408" s="383"/>
      <c r="H408" s="391"/>
      <c r="I408" s="391"/>
      <c r="J408" s="391"/>
      <c r="K408" s="391"/>
      <c r="L408" s="391"/>
      <c r="M408" s="391"/>
      <c r="N408" s="391"/>
      <c r="O408" s="391"/>
      <c r="P408" s="391"/>
      <c r="Q408" s="391"/>
      <c r="R408" s="391"/>
      <c r="S408" s="391"/>
      <c r="T408" s="391"/>
      <c r="U408" s="391"/>
      <c r="V408" s="391"/>
      <c r="W408" s="391"/>
      <c r="X408" s="391"/>
      <c r="Y408" s="391"/>
      <c r="Z408" s="391"/>
      <c r="AA408" s="391"/>
      <c r="AB408" s="391"/>
      <c r="AC408" s="391"/>
      <c r="AD408" s="391"/>
      <c r="AE408" s="391"/>
      <c r="AF408" s="391"/>
      <c r="AG408" s="391"/>
      <c r="AH408" s="391"/>
      <c r="AI408" s="391"/>
      <c r="AJ408" s="391"/>
      <c r="AK408" s="391"/>
      <c r="AL408" s="391"/>
      <c r="AM408" s="628"/>
    </row>
    <row r="409" spans="1:39" ht="12.75">
      <c r="A409" s="612"/>
      <c r="B409" s="613"/>
      <c r="C409" s="614"/>
      <c r="D409" s="615"/>
      <c r="E409" s="625"/>
      <c r="F409" s="382"/>
      <c r="G409" s="383"/>
      <c r="H409" s="384"/>
      <c r="I409" s="384"/>
      <c r="J409" s="384"/>
      <c r="K409" s="384"/>
      <c r="L409" s="384"/>
      <c r="M409" s="384"/>
      <c r="N409" s="384"/>
      <c r="O409" s="384"/>
      <c r="P409" s="384"/>
      <c r="Q409" s="384"/>
      <c r="R409" s="384"/>
      <c r="S409" s="384"/>
      <c r="T409" s="384"/>
      <c r="U409" s="384"/>
      <c r="V409" s="384"/>
      <c r="W409" s="384"/>
      <c r="X409" s="384"/>
      <c r="Y409" s="384"/>
      <c r="Z409" s="384"/>
      <c r="AA409" s="384"/>
      <c r="AB409" s="384"/>
      <c r="AC409" s="384"/>
      <c r="AD409" s="384"/>
      <c r="AE409" s="384"/>
      <c r="AF409" s="384"/>
      <c r="AG409" s="384"/>
      <c r="AH409" s="384"/>
      <c r="AI409" s="384"/>
      <c r="AJ409" s="384"/>
      <c r="AK409" s="384"/>
      <c r="AL409" s="384"/>
      <c r="AM409" s="624"/>
    </row>
    <row r="410" spans="1:39" ht="12.75">
      <c r="A410" s="612"/>
      <c r="B410" s="613"/>
      <c r="C410" s="614"/>
      <c r="D410" s="615"/>
      <c r="E410" s="625"/>
      <c r="F410" s="626"/>
      <c r="G410" s="383"/>
      <c r="H410" s="384"/>
      <c r="I410" s="384"/>
      <c r="J410" s="384"/>
      <c r="K410" s="384"/>
      <c r="L410" s="384"/>
      <c r="M410" s="384"/>
      <c r="N410" s="384"/>
      <c r="O410" s="384"/>
      <c r="P410" s="384"/>
      <c r="Q410" s="384"/>
      <c r="R410" s="384"/>
      <c r="S410" s="384"/>
      <c r="T410" s="384"/>
      <c r="U410" s="384"/>
      <c r="V410" s="384"/>
      <c r="W410" s="384"/>
      <c r="X410" s="384"/>
      <c r="Y410" s="384"/>
      <c r="Z410" s="384"/>
      <c r="AA410" s="384"/>
      <c r="AB410" s="384"/>
      <c r="AC410" s="384"/>
      <c r="AD410" s="384"/>
      <c r="AE410" s="384"/>
      <c r="AF410" s="384"/>
      <c r="AG410" s="384"/>
      <c r="AH410" s="384"/>
      <c r="AI410" s="384"/>
      <c r="AJ410" s="384"/>
      <c r="AK410" s="384"/>
      <c r="AL410" s="384"/>
      <c r="AM410" s="628"/>
    </row>
    <row r="411" spans="1:39" ht="12.75">
      <c r="A411" s="612"/>
      <c r="B411" s="613"/>
      <c r="C411" s="614"/>
      <c r="D411" s="615"/>
      <c r="E411" s="625"/>
      <c r="F411" s="627"/>
      <c r="G411" s="383"/>
      <c r="H411" s="384"/>
      <c r="I411" s="384"/>
      <c r="J411" s="384"/>
      <c r="K411" s="384"/>
      <c r="L411" s="384"/>
      <c r="M411" s="384"/>
      <c r="N411" s="384"/>
      <c r="O411" s="384"/>
      <c r="P411" s="384"/>
      <c r="Q411" s="384"/>
      <c r="R411" s="384"/>
      <c r="S411" s="384"/>
      <c r="T411" s="384"/>
      <c r="U411" s="384"/>
      <c r="V411" s="384"/>
      <c r="W411" s="384"/>
      <c r="X411" s="384"/>
      <c r="Y411" s="384"/>
      <c r="Z411" s="384"/>
      <c r="AA411" s="384"/>
      <c r="AB411" s="384"/>
      <c r="AC411" s="384"/>
      <c r="AD411" s="384"/>
      <c r="AE411" s="384"/>
      <c r="AF411" s="384"/>
      <c r="AG411" s="384"/>
      <c r="AH411" s="384"/>
      <c r="AI411" s="384"/>
      <c r="AJ411" s="384"/>
      <c r="AK411" s="384"/>
      <c r="AL411" s="384"/>
      <c r="AM411" s="628"/>
    </row>
    <row r="412" spans="1:39" ht="12.75">
      <c r="A412" s="612"/>
      <c r="B412" s="613"/>
      <c r="C412" s="614"/>
      <c r="D412" s="615"/>
      <c r="E412" s="625"/>
      <c r="F412" s="382"/>
      <c r="G412" s="383"/>
      <c r="H412" s="384"/>
      <c r="I412" s="384"/>
      <c r="J412" s="384"/>
      <c r="K412" s="384"/>
      <c r="L412" s="384"/>
      <c r="M412" s="384"/>
      <c r="N412" s="384"/>
      <c r="O412" s="384"/>
      <c r="P412" s="384"/>
      <c r="Q412" s="384"/>
      <c r="R412" s="384"/>
      <c r="S412" s="384"/>
      <c r="T412" s="384"/>
      <c r="U412" s="384"/>
      <c r="V412" s="384"/>
      <c r="W412" s="384"/>
      <c r="X412" s="384"/>
      <c r="Y412" s="384"/>
      <c r="Z412" s="384"/>
      <c r="AA412" s="384"/>
      <c r="AB412" s="384"/>
      <c r="AC412" s="384"/>
      <c r="AD412" s="384"/>
      <c r="AE412" s="384"/>
      <c r="AF412" s="384"/>
      <c r="AG412" s="384"/>
      <c r="AH412" s="384"/>
      <c r="AI412" s="384"/>
      <c r="AJ412" s="384"/>
      <c r="AK412" s="384"/>
      <c r="AL412" s="384"/>
      <c r="AM412" s="628"/>
    </row>
    <row r="413" spans="1:39" ht="12.75">
      <c r="A413" s="612"/>
      <c r="B413" s="613"/>
      <c r="C413" s="614"/>
      <c r="D413" s="615"/>
      <c r="E413" s="625"/>
      <c r="F413" s="626"/>
      <c r="G413" s="383"/>
      <c r="H413" s="384"/>
      <c r="I413" s="384"/>
      <c r="J413" s="384"/>
      <c r="K413" s="384"/>
      <c r="L413" s="384"/>
      <c r="M413" s="384"/>
      <c r="N413" s="384"/>
      <c r="O413" s="384"/>
      <c r="P413" s="384"/>
      <c r="Q413" s="384"/>
      <c r="R413" s="384"/>
      <c r="S413" s="384"/>
      <c r="T413" s="384"/>
      <c r="U413" s="384"/>
      <c r="V413" s="384"/>
      <c r="W413" s="384"/>
      <c r="X413" s="384"/>
      <c r="Y413" s="384"/>
      <c r="Z413" s="384"/>
      <c r="AA413" s="384"/>
      <c r="AB413" s="384"/>
      <c r="AC413" s="384"/>
      <c r="AD413" s="384"/>
      <c r="AE413" s="384"/>
      <c r="AF413" s="384"/>
      <c r="AG413" s="384"/>
      <c r="AH413" s="384"/>
      <c r="AI413" s="384"/>
      <c r="AJ413" s="384"/>
      <c r="AK413" s="384"/>
      <c r="AL413" s="384"/>
      <c r="AM413" s="628"/>
    </row>
    <row r="414" spans="1:39" ht="12.75">
      <c r="A414" s="612"/>
      <c r="B414" s="613"/>
      <c r="C414" s="614"/>
      <c r="D414" s="615"/>
      <c r="E414" s="625"/>
      <c r="F414" s="627"/>
      <c r="G414" s="383"/>
      <c r="H414" s="384"/>
      <c r="I414" s="384"/>
      <c r="J414" s="384"/>
      <c r="K414" s="384"/>
      <c r="L414" s="384"/>
      <c r="M414" s="384"/>
      <c r="N414" s="384"/>
      <c r="O414" s="384"/>
      <c r="P414" s="384"/>
      <c r="Q414" s="384"/>
      <c r="R414" s="384"/>
      <c r="S414" s="384"/>
      <c r="T414" s="384"/>
      <c r="U414" s="384"/>
      <c r="V414" s="384"/>
      <c r="W414" s="384"/>
      <c r="X414" s="384"/>
      <c r="Y414" s="384"/>
      <c r="Z414" s="384"/>
      <c r="AA414" s="384"/>
      <c r="AB414" s="384"/>
      <c r="AC414" s="384"/>
      <c r="AD414" s="384"/>
      <c r="AE414" s="384"/>
      <c r="AF414" s="384"/>
      <c r="AG414" s="384"/>
      <c r="AH414" s="384"/>
      <c r="AI414" s="384"/>
      <c r="AJ414" s="384"/>
      <c r="AK414" s="384"/>
      <c r="AL414" s="384"/>
      <c r="AM414" s="628"/>
    </row>
    <row r="415" spans="1:39" ht="12.75">
      <c r="A415" s="612"/>
      <c r="B415" s="613"/>
      <c r="C415" s="614"/>
      <c r="D415" s="615"/>
      <c r="E415" s="625"/>
      <c r="F415" s="382"/>
      <c r="G415" s="383"/>
      <c r="H415" s="391"/>
      <c r="I415" s="391"/>
      <c r="J415" s="391"/>
      <c r="K415" s="391"/>
      <c r="L415" s="391"/>
      <c r="M415" s="391"/>
      <c r="N415" s="391"/>
      <c r="O415" s="391"/>
      <c r="P415" s="391"/>
      <c r="Q415" s="391"/>
      <c r="R415" s="391"/>
      <c r="S415" s="391"/>
      <c r="T415" s="391"/>
      <c r="U415" s="391"/>
      <c r="V415" s="391"/>
      <c r="W415" s="391"/>
      <c r="X415" s="391"/>
      <c r="Y415" s="391"/>
      <c r="Z415" s="391"/>
      <c r="AA415" s="391"/>
      <c r="AB415" s="391"/>
      <c r="AC415" s="391"/>
      <c r="AD415" s="391"/>
      <c r="AE415" s="391"/>
      <c r="AF415" s="391"/>
      <c r="AG415" s="391"/>
      <c r="AH415" s="391"/>
      <c r="AI415" s="391"/>
      <c r="AJ415" s="391"/>
      <c r="AK415" s="391"/>
      <c r="AL415" s="391"/>
      <c r="AM415" s="628"/>
    </row>
    <row r="416" spans="1:39" ht="12.75">
      <c r="A416" s="612"/>
      <c r="B416" s="613"/>
      <c r="C416" s="614"/>
      <c r="D416" s="615"/>
      <c r="E416" s="625"/>
      <c r="F416" s="382"/>
      <c r="G416" s="383"/>
      <c r="H416" s="391"/>
      <c r="I416" s="391"/>
      <c r="J416" s="391"/>
      <c r="K416" s="391"/>
      <c r="L416" s="391"/>
      <c r="M416" s="391"/>
      <c r="N416" s="391"/>
      <c r="O416" s="391"/>
      <c r="P416" s="391"/>
      <c r="Q416" s="391"/>
      <c r="R416" s="391"/>
      <c r="S416" s="391"/>
      <c r="T416" s="391"/>
      <c r="U416" s="391"/>
      <c r="V416" s="391"/>
      <c r="W416" s="391"/>
      <c r="X416" s="391"/>
      <c r="Y416" s="391"/>
      <c r="Z416" s="391"/>
      <c r="AA416" s="391"/>
      <c r="AB416" s="391"/>
      <c r="AC416" s="391"/>
      <c r="AD416" s="391"/>
      <c r="AE416" s="391"/>
      <c r="AF416" s="391"/>
      <c r="AG416" s="391"/>
      <c r="AH416" s="391"/>
      <c r="AI416" s="391"/>
      <c r="AJ416" s="391"/>
      <c r="AK416" s="391"/>
      <c r="AL416" s="391"/>
      <c r="AM416" s="628"/>
    </row>
    <row r="417" spans="1:39" ht="12.75">
      <c r="A417" s="612"/>
      <c r="B417" s="613"/>
      <c r="C417" s="614"/>
      <c r="D417" s="615"/>
      <c r="E417" s="625"/>
      <c r="F417" s="382"/>
      <c r="G417" s="383"/>
      <c r="H417" s="384"/>
      <c r="I417" s="384"/>
      <c r="J417" s="384"/>
      <c r="K417" s="384"/>
      <c r="L417" s="384"/>
      <c r="M417" s="384"/>
      <c r="N417" s="384"/>
      <c r="O417" s="384"/>
      <c r="P417" s="384"/>
      <c r="Q417" s="384"/>
      <c r="R417" s="384"/>
      <c r="S417" s="384"/>
      <c r="T417" s="384"/>
      <c r="U417" s="384"/>
      <c r="V417" s="384"/>
      <c r="W417" s="384"/>
      <c r="X417" s="384"/>
      <c r="Y417" s="384"/>
      <c r="Z417" s="384"/>
      <c r="AA417" s="384"/>
      <c r="AB417" s="384"/>
      <c r="AC417" s="384"/>
      <c r="AD417" s="384"/>
      <c r="AE417" s="384"/>
      <c r="AF417" s="384"/>
      <c r="AG417" s="384"/>
      <c r="AH417" s="384"/>
      <c r="AI417" s="384"/>
      <c r="AJ417" s="384"/>
      <c r="AK417" s="384"/>
      <c r="AL417" s="384"/>
      <c r="AM417" s="624"/>
    </row>
    <row r="418" spans="1:39" ht="12.75">
      <c r="A418" s="612"/>
      <c r="B418" s="613"/>
      <c r="C418" s="614"/>
      <c r="D418" s="615"/>
      <c r="E418" s="625"/>
      <c r="F418" s="626"/>
      <c r="G418" s="383"/>
      <c r="H418" s="384"/>
      <c r="I418" s="384"/>
      <c r="J418" s="384"/>
      <c r="K418" s="384"/>
      <c r="L418" s="384"/>
      <c r="M418" s="384"/>
      <c r="N418" s="384"/>
      <c r="O418" s="384"/>
      <c r="P418" s="384"/>
      <c r="Q418" s="384"/>
      <c r="R418" s="384"/>
      <c r="S418" s="384"/>
      <c r="T418" s="384"/>
      <c r="U418" s="384"/>
      <c r="V418" s="384"/>
      <c r="W418" s="384"/>
      <c r="X418" s="384"/>
      <c r="Y418" s="384"/>
      <c r="Z418" s="384"/>
      <c r="AA418" s="384"/>
      <c r="AB418" s="384"/>
      <c r="AC418" s="384"/>
      <c r="AD418" s="384"/>
      <c r="AE418" s="384"/>
      <c r="AF418" s="384"/>
      <c r="AG418" s="384"/>
      <c r="AH418" s="384"/>
      <c r="AI418" s="384"/>
      <c r="AJ418" s="384"/>
      <c r="AK418" s="384"/>
      <c r="AL418" s="384"/>
      <c r="AM418" s="628"/>
    </row>
    <row r="419" spans="1:39" ht="12.75">
      <c r="A419" s="612"/>
      <c r="B419" s="613"/>
      <c r="C419" s="614"/>
      <c r="D419" s="615"/>
      <c r="E419" s="625"/>
      <c r="F419" s="627"/>
      <c r="G419" s="383"/>
      <c r="H419" s="384"/>
      <c r="I419" s="384"/>
      <c r="J419" s="384"/>
      <c r="K419" s="384"/>
      <c r="L419" s="384"/>
      <c r="M419" s="384"/>
      <c r="N419" s="384"/>
      <c r="O419" s="384"/>
      <c r="P419" s="384"/>
      <c r="Q419" s="384"/>
      <c r="R419" s="384"/>
      <c r="S419" s="384"/>
      <c r="T419" s="384"/>
      <c r="U419" s="384"/>
      <c r="V419" s="384"/>
      <c r="W419" s="384"/>
      <c r="X419" s="384"/>
      <c r="Y419" s="384"/>
      <c r="Z419" s="384"/>
      <c r="AA419" s="384"/>
      <c r="AB419" s="384"/>
      <c r="AC419" s="384"/>
      <c r="AD419" s="384"/>
      <c r="AE419" s="384"/>
      <c r="AF419" s="384"/>
      <c r="AG419" s="384"/>
      <c r="AH419" s="384"/>
      <c r="AI419" s="384"/>
      <c r="AJ419" s="384"/>
      <c r="AK419" s="384"/>
      <c r="AL419" s="384"/>
      <c r="AM419" s="628"/>
    </row>
    <row r="420" spans="1:39" ht="12.75">
      <c r="A420" s="612"/>
      <c r="B420" s="613"/>
      <c r="C420" s="614"/>
      <c r="D420" s="615"/>
      <c r="E420" s="625"/>
      <c r="F420" s="382"/>
      <c r="G420" s="383"/>
      <c r="H420" s="384"/>
      <c r="I420" s="384"/>
      <c r="J420" s="384"/>
      <c r="K420" s="384"/>
      <c r="L420" s="384"/>
      <c r="M420" s="384"/>
      <c r="N420" s="384"/>
      <c r="O420" s="384"/>
      <c r="P420" s="384"/>
      <c r="Q420" s="384"/>
      <c r="R420" s="384"/>
      <c r="S420" s="384"/>
      <c r="T420" s="384"/>
      <c r="U420" s="384"/>
      <c r="V420" s="384"/>
      <c r="W420" s="384"/>
      <c r="X420" s="384"/>
      <c r="Y420" s="384"/>
      <c r="Z420" s="384"/>
      <c r="AA420" s="384"/>
      <c r="AB420" s="384"/>
      <c r="AC420" s="384"/>
      <c r="AD420" s="384"/>
      <c r="AE420" s="384"/>
      <c r="AF420" s="384"/>
      <c r="AG420" s="384"/>
      <c r="AH420" s="384"/>
      <c r="AI420" s="384"/>
      <c r="AJ420" s="384"/>
      <c r="AK420" s="384"/>
      <c r="AL420" s="384"/>
      <c r="AM420" s="628"/>
    </row>
    <row r="421" spans="1:39" ht="12.75">
      <c r="A421" s="612"/>
      <c r="B421" s="613"/>
      <c r="C421" s="614"/>
      <c r="D421" s="615"/>
      <c r="E421" s="625"/>
      <c r="F421" s="626"/>
      <c r="G421" s="383"/>
      <c r="H421" s="384"/>
      <c r="I421" s="384"/>
      <c r="J421" s="384"/>
      <c r="K421" s="384"/>
      <c r="L421" s="384"/>
      <c r="M421" s="384"/>
      <c r="N421" s="384"/>
      <c r="O421" s="384"/>
      <c r="P421" s="384"/>
      <c r="Q421" s="384"/>
      <c r="R421" s="384"/>
      <c r="S421" s="384"/>
      <c r="T421" s="384"/>
      <c r="U421" s="384"/>
      <c r="V421" s="384"/>
      <c r="W421" s="384"/>
      <c r="X421" s="384"/>
      <c r="Y421" s="384"/>
      <c r="Z421" s="384"/>
      <c r="AA421" s="384"/>
      <c r="AB421" s="384"/>
      <c r="AC421" s="384"/>
      <c r="AD421" s="384"/>
      <c r="AE421" s="384"/>
      <c r="AF421" s="384"/>
      <c r="AG421" s="384"/>
      <c r="AH421" s="384"/>
      <c r="AI421" s="384"/>
      <c r="AJ421" s="384"/>
      <c r="AK421" s="384"/>
      <c r="AL421" s="384"/>
      <c r="AM421" s="628"/>
    </row>
    <row r="422" spans="1:39" ht="12.75">
      <c r="A422" s="612"/>
      <c r="B422" s="613"/>
      <c r="C422" s="614"/>
      <c r="D422" s="615"/>
      <c r="E422" s="625"/>
      <c r="F422" s="627"/>
      <c r="G422" s="383"/>
      <c r="H422" s="384"/>
      <c r="I422" s="384"/>
      <c r="J422" s="384"/>
      <c r="K422" s="384"/>
      <c r="L422" s="384"/>
      <c r="M422" s="384"/>
      <c r="N422" s="384"/>
      <c r="O422" s="384"/>
      <c r="P422" s="384"/>
      <c r="Q422" s="384"/>
      <c r="R422" s="384"/>
      <c r="S422" s="384"/>
      <c r="T422" s="384"/>
      <c r="U422" s="384"/>
      <c r="V422" s="384"/>
      <c r="W422" s="384"/>
      <c r="X422" s="384"/>
      <c r="Y422" s="384"/>
      <c r="Z422" s="384"/>
      <c r="AA422" s="384"/>
      <c r="AB422" s="384"/>
      <c r="AC422" s="384"/>
      <c r="AD422" s="384"/>
      <c r="AE422" s="384"/>
      <c r="AF422" s="384"/>
      <c r="AG422" s="384"/>
      <c r="AH422" s="384"/>
      <c r="AI422" s="384"/>
      <c r="AJ422" s="384"/>
      <c r="AK422" s="384"/>
      <c r="AL422" s="384"/>
      <c r="AM422" s="628"/>
    </row>
    <row r="423" spans="1:39" ht="12.75">
      <c r="A423" s="612"/>
      <c r="B423" s="613"/>
      <c r="C423" s="614"/>
      <c r="D423" s="615"/>
      <c r="E423" s="625"/>
      <c r="F423" s="382"/>
      <c r="G423" s="383"/>
      <c r="H423" s="391"/>
      <c r="I423" s="391"/>
      <c r="J423" s="391"/>
      <c r="K423" s="391"/>
      <c r="L423" s="391"/>
      <c r="M423" s="391"/>
      <c r="N423" s="391"/>
      <c r="O423" s="391"/>
      <c r="P423" s="391"/>
      <c r="Q423" s="391"/>
      <c r="R423" s="391"/>
      <c r="S423" s="391"/>
      <c r="T423" s="391"/>
      <c r="U423" s="391"/>
      <c r="V423" s="391"/>
      <c r="W423" s="391"/>
      <c r="X423" s="391"/>
      <c r="Y423" s="391"/>
      <c r="Z423" s="391"/>
      <c r="AA423" s="391"/>
      <c r="AB423" s="391"/>
      <c r="AC423" s="391"/>
      <c r="AD423" s="391"/>
      <c r="AE423" s="391"/>
      <c r="AF423" s="391"/>
      <c r="AG423" s="391"/>
      <c r="AH423" s="391"/>
      <c r="AI423" s="391"/>
      <c r="AJ423" s="391"/>
      <c r="AK423" s="391"/>
      <c r="AL423" s="391"/>
      <c r="AM423" s="628"/>
    </row>
    <row r="424" spans="1:39" ht="12.75">
      <c r="A424" s="612"/>
      <c r="B424" s="613"/>
      <c r="C424" s="614"/>
      <c r="D424" s="615"/>
      <c r="E424" s="625"/>
      <c r="F424" s="382"/>
      <c r="G424" s="383"/>
      <c r="H424" s="391"/>
      <c r="I424" s="391"/>
      <c r="J424" s="391"/>
      <c r="K424" s="391"/>
      <c r="L424" s="391"/>
      <c r="M424" s="391"/>
      <c r="N424" s="391"/>
      <c r="O424" s="391"/>
      <c r="P424" s="391"/>
      <c r="Q424" s="391"/>
      <c r="R424" s="391"/>
      <c r="S424" s="391"/>
      <c r="T424" s="391"/>
      <c r="U424" s="391"/>
      <c r="V424" s="391"/>
      <c r="W424" s="391"/>
      <c r="X424" s="391"/>
      <c r="Y424" s="391"/>
      <c r="Z424" s="391"/>
      <c r="AA424" s="391"/>
      <c r="AB424" s="391"/>
      <c r="AC424" s="391"/>
      <c r="AD424" s="391"/>
      <c r="AE424" s="391"/>
      <c r="AF424" s="391"/>
      <c r="AG424" s="391"/>
      <c r="AH424" s="391"/>
      <c r="AI424" s="391"/>
      <c r="AJ424" s="391"/>
      <c r="AK424" s="391"/>
      <c r="AL424" s="391"/>
      <c r="AM424" s="628"/>
    </row>
    <row r="425" spans="1:39" ht="12.75">
      <c r="A425" s="612"/>
      <c r="B425" s="613"/>
      <c r="C425" s="614"/>
      <c r="D425" s="615"/>
      <c r="E425" s="625"/>
      <c r="F425" s="382"/>
      <c r="G425" s="383"/>
      <c r="H425" s="384"/>
      <c r="I425" s="384"/>
      <c r="J425" s="384"/>
      <c r="K425" s="384"/>
      <c r="L425" s="384"/>
      <c r="M425" s="384"/>
      <c r="N425" s="384"/>
      <c r="O425" s="384"/>
      <c r="P425" s="384"/>
      <c r="Q425" s="384"/>
      <c r="R425" s="384"/>
      <c r="S425" s="384"/>
      <c r="T425" s="384"/>
      <c r="U425" s="384"/>
      <c r="V425" s="384"/>
      <c r="W425" s="384"/>
      <c r="X425" s="384"/>
      <c r="Y425" s="384"/>
      <c r="Z425" s="384"/>
      <c r="AA425" s="384"/>
      <c r="AB425" s="384"/>
      <c r="AC425" s="384"/>
      <c r="AD425" s="384"/>
      <c r="AE425" s="384"/>
      <c r="AF425" s="384"/>
      <c r="AG425" s="384"/>
      <c r="AH425" s="384"/>
      <c r="AI425" s="384"/>
      <c r="AJ425" s="384"/>
      <c r="AK425" s="384"/>
      <c r="AL425" s="384"/>
      <c r="AM425" s="624"/>
    </row>
    <row r="426" spans="1:39" ht="12.75">
      <c r="A426" s="612"/>
      <c r="B426" s="613"/>
      <c r="C426" s="614"/>
      <c r="D426" s="615"/>
      <c r="E426" s="625"/>
      <c r="F426" s="626"/>
      <c r="G426" s="383"/>
      <c r="H426" s="384"/>
      <c r="I426" s="384"/>
      <c r="J426" s="384"/>
      <c r="K426" s="384"/>
      <c r="L426" s="384"/>
      <c r="M426" s="384"/>
      <c r="N426" s="384"/>
      <c r="O426" s="384"/>
      <c r="P426" s="384"/>
      <c r="Q426" s="384"/>
      <c r="R426" s="384"/>
      <c r="S426" s="384"/>
      <c r="T426" s="384"/>
      <c r="U426" s="384"/>
      <c r="V426" s="384"/>
      <c r="W426" s="384"/>
      <c r="X426" s="384"/>
      <c r="Y426" s="384"/>
      <c r="Z426" s="384"/>
      <c r="AA426" s="384"/>
      <c r="AB426" s="384"/>
      <c r="AC426" s="384"/>
      <c r="AD426" s="384"/>
      <c r="AE426" s="384"/>
      <c r="AF426" s="384"/>
      <c r="AG426" s="384"/>
      <c r="AH426" s="384"/>
      <c r="AI426" s="384"/>
      <c r="AJ426" s="384"/>
      <c r="AK426" s="384"/>
      <c r="AL426" s="384"/>
      <c r="AM426" s="628"/>
    </row>
    <row r="427" spans="1:39" ht="12.75">
      <c r="A427" s="612"/>
      <c r="B427" s="613"/>
      <c r="C427" s="614"/>
      <c r="D427" s="615"/>
      <c r="E427" s="625"/>
      <c r="F427" s="627"/>
      <c r="G427" s="383"/>
      <c r="H427" s="384"/>
      <c r="I427" s="384"/>
      <c r="J427" s="384"/>
      <c r="K427" s="384"/>
      <c r="L427" s="384"/>
      <c r="M427" s="384"/>
      <c r="N427" s="384"/>
      <c r="O427" s="384"/>
      <c r="P427" s="384"/>
      <c r="Q427" s="384"/>
      <c r="R427" s="384"/>
      <c r="S427" s="384"/>
      <c r="T427" s="384"/>
      <c r="U427" s="384"/>
      <c r="V427" s="384"/>
      <c r="W427" s="384"/>
      <c r="X427" s="384"/>
      <c r="Y427" s="384"/>
      <c r="Z427" s="384"/>
      <c r="AA427" s="384"/>
      <c r="AB427" s="384"/>
      <c r="AC427" s="384"/>
      <c r="AD427" s="384"/>
      <c r="AE427" s="384"/>
      <c r="AF427" s="384"/>
      <c r="AG427" s="384"/>
      <c r="AH427" s="384"/>
      <c r="AI427" s="384"/>
      <c r="AJ427" s="384"/>
      <c r="AK427" s="384"/>
      <c r="AL427" s="384"/>
      <c r="AM427" s="628"/>
    </row>
    <row r="428" spans="1:39" ht="12.75">
      <c r="A428" s="612"/>
      <c r="B428" s="613"/>
      <c r="C428" s="614"/>
      <c r="D428" s="615"/>
      <c r="E428" s="625"/>
      <c r="F428" s="382"/>
      <c r="G428" s="383"/>
      <c r="H428" s="384"/>
      <c r="I428" s="384"/>
      <c r="J428" s="384"/>
      <c r="K428" s="384"/>
      <c r="L428" s="384"/>
      <c r="M428" s="384"/>
      <c r="N428" s="384"/>
      <c r="O428" s="384"/>
      <c r="P428" s="384"/>
      <c r="Q428" s="384"/>
      <c r="R428" s="384"/>
      <c r="S428" s="384"/>
      <c r="T428" s="384"/>
      <c r="U428" s="384"/>
      <c r="V428" s="384"/>
      <c r="W428" s="384"/>
      <c r="X428" s="384"/>
      <c r="Y428" s="384"/>
      <c r="Z428" s="384"/>
      <c r="AA428" s="384"/>
      <c r="AB428" s="384"/>
      <c r="AC428" s="384"/>
      <c r="AD428" s="384"/>
      <c r="AE428" s="384"/>
      <c r="AF428" s="384"/>
      <c r="AG428" s="384"/>
      <c r="AH428" s="384"/>
      <c r="AI428" s="384"/>
      <c r="AJ428" s="384"/>
      <c r="AK428" s="384"/>
      <c r="AL428" s="384"/>
      <c r="AM428" s="628"/>
    </row>
    <row r="429" spans="1:39" ht="12.75">
      <c r="A429" s="612"/>
      <c r="B429" s="613"/>
      <c r="C429" s="614"/>
      <c r="D429" s="615"/>
      <c r="E429" s="625"/>
      <c r="F429" s="626"/>
      <c r="G429" s="383"/>
      <c r="H429" s="384"/>
      <c r="I429" s="384"/>
      <c r="J429" s="384"/>
      <c r="K429" s="384"/>
      <c r="L429" s="384"/>
      <c r="M429" s="384"/>
      <c r="N429" s="384"/>
      <c r="O429" s="384"/>
      <c r="P429" s="384"/>
      <c r="Q429" s="384"/>
      <c r="R429" s="384"/>
      <c r="S429" s="384"/>
      <c r="T429" s="384"/>
      <c r="U429" s="384"/>
      <c r="V429" s="384"/>
      <c r="W429" s="384"/>
      <c r="X429" s="384"/>
      <c r="Y429" s="384"/>
      <c r="Z429" s="384"/>
      <c r="AA429" s="384"/>
      <c r="AB429" s="384"/>
      <c r="AC429" s="384"/>
      <c r="AD429" s="384"/>
      <c r="AE429" s="384"/>
      <c r="AF429" s="384"/>
      <c r="AG429" s="384"/>
      <c r="AH429" s="384"/>
      <c r="AI429" s="384"/>
      <c r="AJ429" s="384"/>
      <c r="AK429" s="384"/>
      <c r="AL429" s="384"/>
      <c r="AM429" s="628"/>
    </row>
    <row r="430" spans="1:39" ht="12.75">
      <c r="A430" s="612"/>
      <c r="B430" s="613"/>
      <c r="C430" s="614"/>
      <c r="D430" s="615"/>
      <c r="E430" s="625"/>
      <c r="F430" s="627"/>
      <c r="G430" s="383"/>
      <c r="H430" s="384"/>
      <c r="I430" s="384"/>
      <c r="J430" s="384"/>
      <c r="K430" s="384"/>
      <c r="L430" s="384"/>
      <c r="M430" s="384"/>
      <c r="N430" s="384"/>
      <c r="O430" s="384"/>
      <c r="P430" s="384"/>
      <c r="Q430" s="384"/>
      <c r="R430" s="384"/>
      <c r="S430" s="384"/>
      <c r="T430" s="384"/>
      <c r="U430" s="384"/>
      <c r="V430" s="384"/>
      <c r="W430" s="384"/>
      <c r="X430" s="384"/>
      <c r="Y430" s="384"/>
      <c r="Z430" s="384"/>
      <c r="AA430" s="384"/>
      <c r="AB430" s="384"/>
      <c r="AC430" s="384"/>
      <c r="AD430" s="384"/>
      <c r="AE430" s="384"/>
      <c r="AF430" s="384"/>
      <c r="AG430" s="384"/>
      <c r="AH430" s="384"/>
      <c r="AI430" s="384"/>
      <c r="AJ430" s="384"/>
      <c r="AK430" s="384"/>
      <c r="AL430" s="384"/>
      <c r="AM430" s="628"/>
    </row>
    <row r="431" spans="1:39" ht="12.75">
      <c r="A431" s="612"/>
      <c r="B431" s="613"/>
      <c r="C431" s="614"/>
      <c r="D431" s="615"/>
      <c r="E431" s="625"/>
      <c r="F431" s="382"/>
      <c r="G431" s="383"/>
      <c r="H431" s="391"/>
      <c r="I431" s="391"/>
      <c r="J431" s="391"/>
      <c r="K431" s="391"/>
      <c r="L431" s="391"/>
      <c r="M431" s="391"/>
      <c r="N431" s="391"/>
      <c r="O431" s="391"/>
      <c r="P431" s="391"/>
      <c r="Q431" s="391"/>
      <c r="R431" s="391"/>
      <c r="S431" s="391"/>
      <c r="T431" s="391"/>
      <c r="U431" s="391"/>
      <c r="V431" s="391"/>
      <c r="W431" s="391"/>
      <c r="X431" s="391"/>
      <c r="Y431" s="391"/>
      <c r="Z431" s="391"/>
      <c r="AA431" s="391"/>
      <c r="AB431" s="391"/>
      <c r="AC431" s="391"/>
      <c r="AD431" s="391"/>
      <c r="AE431" s="391"/>
      <c r="AF431" s="391"/>
      <c r="AG431" s="391"/>
      <c r="AH431" s="391"/>
      <c r="AI431" s="391"/>
      <c r="AJ431" s="391"/>
      <c r="AK431" s="391"/>
      <c r="AL431" s="391"/>
      <c r="AM431" s="628"/>
    </row>
    <row r="432" spans="1:39" ht="12.75">
      <c r="A432" s="612"/>
      <c r="B432" s="613"/>
      <c r="C432" s="614"/>
      <c r="D432" s="615"/>
      <c r="E432" s="625"/>
      <c r="F432" s="382"/>
      <c r="G432" s="383"/>
      <c r="H432" s="391"/>
      <c r="I432" s="391"/>
      <c r="J432" s="391"/>
      <c r="K432" s="391"/>
      <c r="L432" s="391"/>
      <c r="M432" s="391"/>
      <c r="N432" s="391"/>
      <c r="O432" s="391"/>
      <c r="P432" s="391"/>
      <c r="Q432" s="391"/>
      <c r="R432" s="391"/>
      <c r="S432" s="391"/>
      <c r="T432" s="391"/>
      <c r="U432" s="391"/>
      <c r="V432" s="391"/>
      <c r="W432" s="391"/>
      <c r="X432" s="391"/>
      <c r="Y432" s="391"/>
      <c r="Z432" s="391"/>
      <c r="AA432" s="391"/>
      <c r="AB432" s="391"/>
      <c r="AC432" s="391"/>
      <c r="AD432" s="391"/>
      <c r="AE432" s="391"/>
      <c r="AF432" s="391"/>
      <c r="AG432" s="391"/>
      <c r="AH432" s="391"/>
      <c r="AI432" s="391"/>
      <c r="AJ432" s="391"/>
      <c r="AK432" s="391"/>
      <c r="AL432" s="391"/>
      <c r="AM432" s="628"/>
    </row>
    <row r="433" spans="1:39" ht="12.75">
      <c r="A433" s="612"/>
      <c r="B433" s="613"/>
      <c r="C433" s="614"/>
      <c r="D433" s="615"/>
      <c r="E433" s="625"/>
      <c r="F433" s="382"/>
      <c r="G433" s="383"/>
      <c r="H433" s="384"/>
      <c r="I433" s="384"/>
      <c r="J433" s="384"/>
      <c r="K433" s="384"/>
      <c r="L433" s="384"/>
      <c r="M433" s="384"/>
      <c r="N433" s="384"/>
      <c r="O433" s="384"/>
      <c r="P433" s="384"/>
      <c r="Q433" s="384"/>
      <c r="R433" s="384"/>
      <c r="S433" s="384"/>
      <c r="T433" s="384"/>
      <c r="U433" s="384"/>
      <c r="V433" s="384"/>
      <c r="W433" s="384"/>
      <c r="X433" s="384"/>
      <c r="Y433" s="384"/>
      <c r="Z433" s="384"/>
      <c r="AA433" s="384"/>
      <c r="AB433" s="384"/>
      <c r="AC433" s="384"/>
      <c r="AD433" s="384"/>
      <c r="AE433" s="384"/>
      <c r="AF433" s="384"/>
      <c r="AG433" s="384"/>
      <c r="AH433" s="384"/>
      <c r="AI433" s="384"/>
      <c r="AJ433" s="384"/>
      <c r="AK433" s="384"/>
      <c r="AL433" s="384"/>
      <c r="AM433" s="624"/>
    </row>
    <row r="434" spans="1:39" ht="12.75">
      <c r="A434" s="612"/>
      <c r="B434" s="613"/>
      <c r="C434" s="614"/>
      <c r="D434" s="615"/>
      <c r="E434" s="625"/>
      <c r="F434" s="626"/>
      <c r="G434" s="383"/>
      <c r="H434" s="384"/>
      <c r="I434" s="384"/>
      <c r="J434" s="384"/>
      <c r="K434" s="384"/>
      <c r="L434" s="384"/>
      <c r="M434" s="384"/>
      <c r="N434" s="384"/>
      <c r="O434" s="384"/>
      <c r="P434" s="384"/>
      <c r="Q434" s="384"/>
      <c r="R434" s="384"/>
      <c r="S434" s="384"/>
      <c r="T434" s="384"/>
      <c r="U434" s="384"/>
      <c r="V434" s="384"/>
      <c r="W434" s="384"/>
      <c r="X434" s="384"/>
      <c r="Y434" s="384"/>
      <c r="Z434" s="384"/>
      <c r="AA434" s="384"/>
      <c r="AB434" s="384"/>
      <c r="AC434" s="384"/>
      <c r="AD434" s="384"/>
      <c r="AE434" s="384"/>
      <c r="AF434" s="384"/>
      <c r="AG434" s="384"/>
      <c r="AH434" s="384"/>
      <c r="AI434" s="384"/>
      <c r="AJ434" s="384"/>
      <c r="AK434" s="384"/>
      <c r="AL434" s="384"/>
      <c r="AM434" s="628"/>
    </row>
    <row r="435" spans="1:39" ht="12.75">
      <c r="A435" s="612"/>
      <c r="B435" s="613"/>
      <c r="C435" s="614"/>
      <c r="D435" s="615"/>
      <c r="E435" s="625"/>
      <c r="F435" s="627"/>
      <c r="G435" s="383"/>
      <c r="H435" s="384"/>
      <c r="I435" s="384"/>
      <c r="J435" s="384"/>
      <c r="K435" s="384"/>
      <c r="L435" s="384"/>
      <c r="M435" s="384"/>
      <c r="N435" s="384"/>
      <c r="O435" s="384"/>
      <c r="P435" s="384"/>
      <c r="Q435" s="384"/>
      <c r="R435" s="384"/>
      <c r="S435" s="384"/>
      <c r="T435" s="384"/>
      <c r="U435" s="384"/>
      <c r="V435" s="384"/>
      <c r="W435" s="384"/>
      <c r="X435" s="384"/>
      <c r="Y435" s="384"/>
      <c r="Z435" s="384"/>
      <c r="AA435" s="384"/>
      <c r="AB435" s="384"/>
      <c r="AC435" s="384"/>
      <c r="AD435" s="384"/>
      <c r="AE435" s="384"/>
      <c r="AF435" s="384"/>
      <c r="AG435" s="384"/>
      <c r="AH435" s="384"/>
      <c r="AI435" s="384"/>
      <c r="AJ435" s="384"/>
      <c r="AK435" s="384"/>
      <c r="AL435" s="384"/>
      <c r="AM435" s="628"/>
    </row>
    <row r="436" spans="1:39" ht="12.75">
      <c r="A436" s="612"/>
      <c r="B436" s="613"/>
      <c r="C436" s="614"/>
      <c r="D436" s="615"/>
      <c r="E436" s="625"/>
      <c r="F436" s="382"/>
      <c r="G436" s="383"/>
      <c r="H436" s="384"/>
      <c r="I436" s="384"/>
      <c r="J436" s="384"/>
      <c r="K436" s="384"/>
      <c r="L436" s="384"/>
      <c r="M436" s="384"/>
      <c r="N436" s="384"/>
      <c r="O436" s="384"/>
      <c r="P436" s="384"/>
      <c r="Q436" s="384"/>
      <c r="R436" s="384"/>
      <c r="S436" s="384"/>
      <c r="T436" s="384"/>
      <c r="U436" s="384"/>
      <c r="V436" s="384"/>
      <c r="W436" s="384"/>
      <c r="X436" s="384"/>
      <c r="Y436" s="384"/>
      <c r="Z436" s="384"/>
      <c r="AA436" s="384"/>
      <c r="AB436" s="384"/>
      <c r="AC436" s="384"/>
      <c r="AD436" s="384"/>
      <c r="AE436" s="384"/>
      <c r="AF436" s="384"/>
      <c r="AG436" s="384"/>
      <c r="AH436" s="384"/>
      <c r="AI436" s="384"/>
      <c r="AJ436" s="384"/>
      <c r="AK436" s="384"/>
      <c r="AL436" s="384"/>
      <c r="AM436" s="628"/>
    </row>
    <row r="437" spans="1:39" ht="12.75">
      <c r="A437" s="612"/>
      <c r="B437" s="613"/>
      <c r="C437" s="614"/>
      <c r="D437" s="615"/>
      <c r="E437" s="625"/>
      <c r="F437" s="626"/>
      <c r="G437" s="383"/>
      <c r="H437" s="384"/>
      <c r="I437" s="384"/>
      <c r="J437" s="384"/>
      <c r="K437" s="384"/>
      <c r="L437" s="384"/>
      <c r="M437" s="384"/>
      <c r="N437" s="384"/>
      <c r="O437" s="384"/>
      <c r="P437" s="384"/>
      <c r="Q437" s="384"/>
      <c r="R437" s="384"/>
      <c r="S437" s="384"/>
      <c r="T437" s="384"/>
      <c r="U437" s="384"/>
      <c r="V437" s="384"/>
      <c r="W437" s="384"/>
      <c r="X437" s="384"/>
      <c r="Y437" s="384"/>
      <c r="Z437" s="384"/>
      <c r="AA437" s="384"/>
      <c r="AB437" s="384"/>
      <c r="AC437" s="384"/>
      <c r="AD437" s="384"/>
      <c r="AE437" s="384"/>
      <c r="AF437" s="384"/>
      <c r="AG437" s="384"/>
      <c r="AH437" s="384"/>
      <c r="AI437" s="384"/>
      <c r="AJ437" s="384"/>
      <c r="AK437" s="384"/>
      <c r="AL437" s="384"/>
      <c r="AM437" s="628"/>
    </row>
    <row r="438" spans="1:39" ht="12.75">
      <c r="A438" s="612"/>
      <c r="B438" s="613"/>
      <c r="C438" s="614"/>
      <c r="D438" s="615"/>
      <c r="E438" s="625"/>
      <c r="F438" s="627"/>
      <c r="G438" s="383"/>
      <c r="H438" s="384"/>
      <c r="I438" s="384"/>
      <c r="J438" s="384"/>
      <c r="K438" s="384"/>
      <c r="L438" s="384"/>
      <c r="M438" s="384"/>
      <c r="N438" s="384"/>
      <c r="O438" s="384"/>
      <c r="P438" s="384"/>
      <c r="Q438" s="384"/>
      <c r="R438" s="384"/>
      <c r="S438" s="384"/>
      <c r="T438" s="384"/>
      <c r="U438" s="384"/>
      <c r="V438" s="384"/>
      <c r="W438" s="384"/>
      <c r="X438" s="384"/>
      <c r="Y438" s="384"/>
      <c r="Z438" s="384"/>
      <c r="AA438" s="384"/>
      <c r="AB438" s="384"/>
      <c r="AC438" s="384"/>
      <c r="AD438" s="384"/>
      <c r="AE438" s="384"/>
      <c r="AF438" s="384"/>
      <c r="AG438" s="384"/>
      <c r="AH438" s="384"/>
      <c r="AI438" s="384"/>
      <c r="AJ438" s="384"/>
      <c r="AK438" s="384"/>
      <c r="AL438" s="384"/>
      <c r="AM438" s="628"/>
    </row>
    <row r="439" spans="1:39" ht="12.75">
      <c r="A439" s="612"/>
      <c r="B439" s="613"/>
      <c r="C439" s="614"/>
      <c r="D439" s="615"/>
      <c r="E439" s="625"/>
      <c r="F439" s="382"/>
      <c r="G439" s="383"/>
      <c r="H439" s="391"/>
      <c r="I439" s="391"/>
      <c r="J439" s="391"/>
      <c r="K439" s="391"/>
      <c r="L439" s="391"/>
      <c r="M439" s="391"/>
      <c r="N439" s="391"/>
      <c r="O439" s="391"/>
      <c r="P439" s="391"/>
      <c r="Q439" s="391"/>
      <c r="R439" s="391"/>
      <c r="S439" s="391"/>
      <c r="T439" s="391"/>
      <c r="U439" s="391"/>
      <c r="V439" s="391"/>
      <c r="W439" s="391"/>
      <c r="X439" s="391"/>
      <c r="Y439" s="391"/>
      <c r="Z439" s="391"/>
      <c r="AA439" s="391"/>
      <c r="AB439" s="391"/>
      <c r="AC439" s="391"/>
      <c r="AD439" s="391"/>
      <c r="AE439" s="391"/>
      <c r="AF439" s="391"/>
      <c r="AG439" s="391"/>
      <c r="AH439" s="391"/>
      <c r="AI439" s="391"/>
      <c r="AJ439" s="391"/>
      <c r="AK439" s="391"/>
      <c r="AL439" s="391"/>
      <c r="AM439" s="628"/>
    </row>
    <row r="440" spans="1:39" ht="12.75">
      <c r="A440" s="612"/>
      <c r="B440" s="613"/>
      <c r="C440" s="614"/>
      <c r="D440" s="615"/>
      <c r="E440" s="625"/>
      <c r="F440" s="382"/>
      <c r="G440" s="383"/>
      <c r="H440" s="391"/>
      <c r="I440" s="391"/>
      <c r="J440" s="391"/>
      <c r="K440" s="391"/>
      <c r="L440" s="391"/>
      <c r="M440" s="391"/>
      <c r="N440" s="391"/>
      <c r="O440" s="391"/>
      <c r="P440" s="391"/>
      <c r="Q440" s="391"/>
      <c r="R440" s="391"/>
      <c r="S440" s="391"/>
      <c r="T440" s="391"/>
      <c r="U440" s="391"/>
      <c r="V440" s="391"/>
      <c r="W440" s="391"/>
      <c r="X440" s="391"/>
      <c r="Y440" s="391"/>
      <c r="Z440" s="391"/>
      <c r="AA440" s="391"/>
      <c r="AB440" s="391"/>
      <c r="AC440" s="391"/>
      <c r="AD440" s="391"/>
      <c r="AE440" s="391"/>
      <c r="AF440" s="391"/>
      <c r="AG440" s="391"/>
      <c r="AH440" s="391"/>
      <c r="AI440" s="391"/>
      <c r="AJ440" s="391"/>
      <c r="AK440" s="391"/>
      <c r="AL440" s="391"/>
      <c r="AM440" s="628"/>
    </row>
  </sheetData>
  <sheetProtection/>
  <mergeCells count="497">
    <mergeCell ref="E54:E57"/>
    <mergeCell ref="AM54:AM61"/>
    <mergeCell ref="F55:F56"/>
    <mergeCell ref="E58:E61"/>
    <mergeCell ref="F58:F59"/>
    <mergeCell ref="A54:A61"/>
    <mergeCell ref="B54:B61"/>
    <mergeCell ref="C54:C61"/>
    <mergeCell ref="D54:D61"/>
    <mergeCell ref="E326:E329"/>
    <mergeCell ref="AM326:AM333"/>
    <mergeCell ref="F327:F328"/>
    <mergeCell ref="E330:E333"/>
    <mergeCell ref="F330:F331"/>
    <mergeCell ref="A326:A333"/>
    <mergeCell ref="B326:B333"/>
    <mergeCell ref="C326:C333"/>
    <mergeCell ref="D326:D333"/>
    <mergeCell ref="E318:E321"/>
    <mergeCell ref="AM318:AM325"/>
    <mergeCell ref="F319:F320"/>
    <mergeCell ref="E322:E325"/>
    <mergeCell ref="F322:F323"/>
    <mergeCell ref="A318:A325"/>
    <mergeCell ref="B318:B325"/>
    <mergeCell ref="C318:C325"/>
    <mergeCell ref="D318:D325"/>
    <mergeCell ref="E433:E436"/>
    <mergeCell ref="AM433:AM440"/>
    <mergeCell ref="F434:F435"/>
    <mergeCell ref="E437:E440"/>
    <mergeCell ref="F437:F438"/>
    <mergeCell ref="A433:A440"/>
    <mergeCell ref="B433:B440"/>
    <mergeCell ref="C433:C440"/>
    <mergeCell ref="D433:D440"/>
    <mergeCell ref="E425:E428"/>
    <mergeCell ref="AM425:AM432"/>
    <mergeCell ref="F426:F427"/>
    <mergeCell ref="E429:E432"/>
    <mergeCell ref="F429:F430"/>
    <mergeCell ref="A425:A432"/>
    <mergeCell ref="B425:B432"/>
    <mergeCell ref="C425:C432"/>
    <mergeCell ref="D425:D432"/>
    <mergeCell ref="E417:E420"/>
    <mergeCell ref="AM417:AM424"/>
    <mergeCell ref="F418:F419"/>
    <mergeCell ref="E421:E424"/>
    <mergeCell ref="F421:F422"/>
    <mergeCell ref="A417:A424"/>
    <mergeCell ref="B417:B424"/>
    <mergeCell ref="C417:C424"/>
    <mergeCell ref="D417:D424"/>
    <mergeCell ref="E409:E412"/>
    <mergeCell ref="AM409:AM416"/>
    <mergeCell ref="F410:F411"/>
    <mergeCell ref="E413:E416"/>
    <mergeCell ref="F413:F414"/>
    <mergeCell ref="A409:A416"/>
    <mergeCell ref="B409:B416"/>
    <mergeCell ref="C409:C416"/>
    <mergeCell ref="D409:D416"/>
    <mergeCell ref="E401:E404"/>
    <mergeCell ref="AM401:AM408"/>
    <mergeCell ref="F402:F403"/>
    <mergeCell ref="E405:E408"/>
    <mergeCell ref="F405:F406"/>
    <mergeCell ref="A401:A408"/>
    <mergeCell ref="B401:B408"/>
    <mergeCell ref="C401:C408"/>
    <mergeCell ref="D401:D408"/>
    <mergeCell ref="E393:E396"/>
    <mergeCell ref="AM393:AM400"/>
    <mergeCell ref="F394:F395"/>
    <mergeCell ref="E397:E400"/>
    <mergeCell ref="F397:F398"/>
    <mergeCell ref="A393:A400"/>
    <mergeCell ref="B393:B400"/>
    <mergeCell ref="C393:C400"/>
    <mergeCell ref="D393:D400"/>
    <mergeCell ref="E385:E388"/>
    <mergeCell ref="AM385:AM392"/>
    <mergeCell ref="F386:F387"/>
    <mergeCell ref="E389:E392"/>
    <mergeCell ref="F389:F390"/>
    <mergeCell ref="A385:A392"/>
    <mergeCell ref="B385:B392"/>
    <mergeCell ref="C385:C392"/>
    <mergeCell ref="D385:D392"/>
    <mergeCell ref="E377:E380"/>
    <mergeCell ref="AM377:AM384"/>
    <mergeCell ref="F378:F379"/>
    <mergeCell ref="E381:E384"/>
    <mergeCell ref="F381:F382"/>
    <mergeCell ref="A377:A384"/>
    <mergeCell ref="B377:B384"/>
    <mergeCell ref="C377:C384"/>
    <mergeCell ref="D377:D384"/>
    <mergeCell ref="E369:E372"/>
    <mergeCell ref="AM369:AM376"/>
    <mergeCell ref="F370:F371"/>
    <mergeCell ref="E373:E376"/>
    <mergeCell ref="F373:F374"/>
    <mergeCell ref="A369:A376"/>
    <mergeCell ref="B369:B376"/>
    <mergeCell ref="C369:C376"/>
    <mergeCell ref="D369:D376"/>
    <mergeCell ref="E361:E364"/>
    <mergeCell ref="AM361:AM368"/>
    <mergeCell ref="F362:F363"/>
    <mergeCell ref="E365:E368"/>
    <mergeCell ref="F365:F366"/>
    <mergeCell ref="A361:A368"/>
    <mergeCell ref="B361:B368"/>
    <mergeCell ref="C361:C368"/>
    <mergeCell ref="D361:D368"/>
    <mergeCell ref="A356:A360"/>
    <mergeCell ref="B356:B360"/>
    <mergeCell ref="C356:C360"/>
    <mergeCell ref="D356:D360"/>
    <mergeCell ref="AM356:AM360"/>
    <mergeCell ref="E357:E360"/>
    <mergeCell ref="F357:F358"/>
    <mergeCell ref="AM354:AM355"/>
    <mergeCell ref="E352:E355"/>
    <mergeCell ref="F352:F353"/>
    <mergeCell ref="F345:F346"/>
    <mergeCell ref="F348:F349"/>
    <mergeCell ref="A344:E351"/>
    <mergeCell ref="AM344:AM351"/>
    <mergeCell ref="A352:A355"/>
    <mergeCell ref="B352:B355"/>
    <mergeCell ref="C352:C355"/>
    <mergeCell ref="E310:E313"/>
    <mergeCell ref="A310:A317"/>
    <mergeCell ref="B310:B317"/>
    <mergeCell ref="C310:C317"/>
    <mergeCell ref="D310:D317"/>
    <mergeCell ref="A334:A341"/>
    <mergeCell ref="D352:D355"/>
    <mergeCell ref="AM310:AM317"/>
    <mergeCell ref="F311:F312"/>
    <mergeCell ref="E314:E317"/>
    <mergeCell ref="F314:F315"/>
    <mergeCell ref="E302:E305"/>
    <mergeCell ref="AM302:AM309"/>
    <mergeCell ref="F303:F304"/>
    <mergeCell ref="E306:E309"/>
    <mergeCell ref="F306:F307"/>
    <mergeCell ref="A302:A309"/>
    <mergeCell ref="B302:B309"/>
    <mergeCell ref="C302:C309"/>
    <mergeCell ref="D302:D309"/>
    <mergeCell ref="E294:E297"/>
    <mergeCell ref="AM294:AM301"/>
    <mergeCell ref="F295:F296"/>
    <mergeCell ref="E298:E301"/>
    <mergeCell ref="F298:F299"/>
    <mergeCell ref="A294:A301"/>
    <mergeCell ref="B294:B301"/>
    <mergeCell ref="C294:C301"/>
    <mergeCell ref="D294:D301"/>
    <mergeCell ref="E278:E281"/>
    <mergeCell ref="AM278:AM285"/>
    <mergeCell ref="F279:F280"/>
    <mergeCell ref="E282:E285"/>
    <mergeCell ref="F282:F283"/>
    <mergeCell ref="A278:A285"/>
    <mergeCell ref="B278:B285"/>
    <mergeCell ref="C278:C285"/>
    <mergeCell ref="D278:D285"/>
    <mergeCell ref="E270:E273"/>
    <mergeCell ref="AM270:AM277"/>
    <mergeCell ref="F271:F272"/>
    <mergeCell ref="E274:E277"/>
    <mergeCell ref="F274:F275"/>
    <mergeCell ref="A270:A277"/>
    <mergeCell ref="B270:B277"/>
    <mergeCell ref="C270:C277"/>
    <mergeCell ref="D270:D277"/>
    <mergeCell ref="E262:E265"/>
    <mergeCell ref="AM262:AM269"/>
    <mergeCell ref="F263:F264"/>
    <mergeCell ref="E266:E269"/>
    <mergeCell ref="F266:F267"/>
    <mergeCell ref="A262:A269"/>
    <mergeCell ref="B262:B269"/>
    <mergeCell ref="C262:C269"/>
    <mergeCell ref="D262:D269"/>
    <mergeCell ref="E254:E257"/>
    <mergeCell ref="AM254:AM261"/>
    <mergeCell ref="F255:F256"/>
    <mergeCell ref="E258:E261"/>
    <mergeCell ref="F258:F259"/>
    <mergeCell ref="A254:A261"/>
    <mergeCell ref="B254:B261"/>
    <mergeCell ref="C254:C261"/>
    <mergeCell ref="D254:D261"/>
    <mergeCell ref="AM246:AM253"/>
    <mergeCell ref="F247:F248"/>
    <mergeCell ref="E250:E253"/>
    <mergeCell ref="F250:F251"/>
    <mergeCell ref="F242:F243"/>
    <mergeCell ref="A246:A253"/>
    <mergeCell ref="B246:B253"/>
    <mergeCell ref="C246:C253"/>
    <mergeCell ref="D246:D253"/>
    <mergeCell ref="E246:E249"/>
    <mergeCell ref="A238:A245"/>
    <mergeCell ref="B238:B245"/>
    <mergeCell ref="C238:C245"/>
    <mergeCell ref="D238:D245"/>
    <mergeCell ref="A230:A237"/>
    <mergeCell ref="B230:B237"/>
    <mergeCell ref="C230:C237"/>
    <mergeCell ref="D230:D237"/>
    <mergeCell ref="E206:E209"/>
    <mergeCell ref="AM206:AM213"/>
    <mergeCell ref="F207:F208"/>
    <mergeCell ref="E210:E213"/>
    <mergeCell ref="F210:F211"/>
    <mergeCell ref="A206:A213"/>
    <mergeCell ref="B206:B213"/>
    <mergeCell ref="C206:C213"/>
    <mergeCell ref="D206:D213"/>
    <mergeCell ref="E198:E201"/>
    <mergeCell ref="AM198:AM205"/>
    <mergeCell ref="F199:F200"/>
    <mergeCell ref="E202:E205"/>
    <mergeCell ref="F202:F203"/>
    <mergeCell ref="A198:A205"/>
    <mergeCell ref="B198:B205"/>
    <mergeCell ref="C198:C205"/>
    <mergeCell ref="D198:D205"/>
    <mergeCell ref="E190:E193"/>
    <mergeCell ref="AM190:AM197"/>
    <mergeCell ref="F191:F192"/>
    <mergeCell ref="E194:E197"/>
    <mergeCell ref="F194:F195"/>
    <mergeCell ref="A190:A197"/>
    <mergeCell ref="B190:B197"/>
    <mergeCell ref="C190:C197"/>
    <mergeCell ref="D190:D197"/>
    <mergeCell ref="AM174:AM181"/>
    <mergeCell ref="F175:F176"/>
    <mergeCell ref="E178:E181"/>
    <mergeCell ref="F178:F179"/>
    <mergeCell ref="B158:B165"/>
    <mergeCell ref="C158:C165"/>
    <mergeCell ref="D158:D165"/>
    <mergeCell ref="AM166:AM173"/>
    <mergeCell ref="F167:F168"/>
    <mergeCell ref="E170:E173"/>
    <mergeCell ref="F170:F171"/>
    <mergeCell ref="E158:E161"/>
    <mergeCell ref="AM158:AM165"/>
    <mergeCell ref="F159:F160"/>
    <mergeCell ref="C174:C181"/>
    <mergeCell ref="D174:D181"/>
    <mergeCell ref="E174:E177"/>
    <mergeCell ref="F162:F163"/>
    <mergeCell ref="C166:C173"/>
    <mergeCell ref="D166:D173"/>
    <mergeCell ref="E166:E169"/>
    <mergeCell ref="E162:E165"/>
    <mergeCell ref="E86:E89"/>
    <mergeCell ref="AM86:AM93"/>
    <mergeCell ref="F87:F88"/>
    <mergeCell ref="E90:E93"/>
    <mergeCell ref="F90:F91"/>
    <mergeCell ref="E46:E49"/>
    <mergeCell ref="AM46:AM53"/>
    <mergeCell ref="F47:F48"/>
    <mergeCell ref="E50:E53"/>
    <mergeCell ref="F50:F51"/>
    <mergeCell ref="AM30:AM37"/>
    <mergeCell ref="F31:F32"/>
    <mergeCell ref="E34:E37"/>
    <mergeCell ref="E38:E41"/>
    <mergeCell ref="AM38:AM45"/>
    <mergeCell ref="F39:F40"/>
    <mergeCell ref="E42:E45"/>
    <mergeCell ref="F42:F43"/>
    <mergeCell ref="A6:A13"/>
    <mergeCell ref="B6:B13"/>
    <mergeCell ref="C6:C13"/>
    <mergeCell ref="D6:D13"/>
    <mergeCell ref="C22:C29"/>
    <mergeCell ref="D22:D29"/>
    <mergeCell ref="E22:E25"/>
    <mergeCell ref="A22:A29"/>
    <mergeCell ref="B22:B29"/>
    <mergeCell ref="AM22:AM29"/>
    <mergeCell ref="F23:F24"/>
    <mergeCell ref="E26:E29"/>
    <mergeCell ref="F26:F27"/>
    <mergeCell ref="AM94:AM101"/>
    <mergeCell ref="F95:F96"/>
    <mergeCell ref="E98:E101"/>
    <mergeCell ref="F98:F99"/>
    <mergeCell ref="E150:E153"/>
    <mergeCell ref="AM150:AM157"/>
    <mergeCell ref="F151:F152"/>
    <mergeCell ref="E154:E157"/>
    <mergeCell ref="F154:F155"/>
    <mergeCell ref="E110:E113"/>
    <mergeCell ref="AM110:AM117"/>
    <mergeCell ref="F111:F112"/>
    <mergeCell ref="E114:E117"/>
    <mergeCell ref="F114:F115"/>
    <mergeCell ref="D110:D117"/>
    <mergeCell ref="B334:B341"/>
    <mergeCell ref="C334:C341"/>
    <mergeCell ref="D334:D341"/>
    <mergeCell ref="B150:B157"/>
    <mergeCell ref="C150:C157"/>
    <mergeCell ref="C214:C221"/>
    <mergeCell ref="D214:D221"/>
    <mergeCell ref="D150:D157"/>
    <mergeCell ref="B174:B181"/>
    <mergeCell ref="A150:A157"/>
    <mergeCell ref="A214:A221"/>
    <mergeCell ref="B214:B221"/>
    <mergeCell ref="A222:A229"/>
    <mergeCell ref="B222:B229"/>
    <mergeCell ref="A174:A181"/>
    <mergeCell ref="A166:A173"/>
    <mergeCell ref="B166:B173"/>
    <mergeCell ref="A158:A165"/>
    <mergeCell ref="A182:A189"/>
    <mergeCell ref="A110:A117"/>
    <mergeCell ref="A126:A133"/>
    <mergeCell ref="B110:B117"/>
    <mergeCell ref="C110:C117"/>
    <mergeCell ref="C126:C133"/>
    <mergeCell ref="C78:C85"/>
    <mergeCell ref="D78:D85"/>
    <mergeCell ref="C94:C101"/>
    <mergeCell ref="D94:D101"/>
    <mergeCell ref="D86:D93"/>
    <mergeCell ref="C86:C93"/>
    <mergeCell ref="F82:F83"/>
    <mergeCell ref="E70:E73"/>
    <mergeCell ref="E334:E337"/>
    <mergeCell ref="AM334:AM341"/>
    <mergeCell ref="F335:F336"/>
    <mergeCell ref="E338:E341"/>
    <mergeCell ref="F338:F339"/>
    <mergeCell ref="E214:E217"/>
    <mergeCell ref="E94:E97"/>
    <mergeCell ref="E234:E237"/>
    <mergeCell ref="A70:A77"/>
    <mergeCell ref="B70:B77"/>
    <mergeCell ref="A94:A101"/>
    <mergeCell ref="B94:B101"/>
    <mergeCell ref="A78:A85"/>
    <mergeCell ref="B78:B85"/>
    <mergeCell ref="A86:A93"/>
    <mergeCell ref="B86:B93"/>
    <mergeCell ref="E218:E221"/>
    <mergeCell ref="F218:F219"/>
    <mergeCell ref="A118:A125"/>
    <mergeCell ref="B118:B125"/>
    <mergeCell ref="C118:C125"/>
    <mergeCell ref="D118:D125"/>
    <mergeCell ref="E118:E121"/>
    <mergeCell ref="B142:B149"/>
    <mergeCell ref="B126:B133"/>
    <mergeCell ref="C142:C149"/>
    <mergeCell ref="C222:C229"/>
    <mergeCell ref="D222:D229"/>
    <mergeCell ref="E286:E289"/>
    <mergeCell ref="AM286:AM293"/>
    <mergeCell ref="F287:F288"/>
    <mergeCell ref="F234:F235"/>
    <mergeCell ref="E238:E241"/>
    <mergeCell ref="AM238:AM245"/>
    <mergeCell ref="F239:F240"/>
    <mergeCell ref="E242:E245"/>
    <mergeCell ref="AM230:AM237"/>
    <mergeCell ref="F231:F232"/>
    <mergeCell ref="E222:E225"/>
    <mergeCell ref="AM222:AM229"/>
    <mergeCell ref="F223:F224"/>
    <mergeCell ref="E226:E229"/>
    <mergeCell ref="F226:F227"/>
    <mergeCell ref="C70:C77"/>
    <mergeCell ref="D70:D77"/>
    <mergeCell ref="F74:F75"/>
    <mergeCell ref="AM214:AM221"/>
    <mergeCell ref="F215:F216"/>
    <mergeCell ref="AM70:AM77"/>
    <mergeCell ref="F71:F72"/>
    <mergeCell ref="E74:E77"/>
    <mergeCell ref="E78:E81"/>
    <mergeCell ref="AM78:AM85"/>
    <mergeCell ref="AM118:AM125"/>
    <mergeCell ref="F119:F120"/>
    <mergeCell ref="E122:E125"/>
    <mergeCell ref="F122:F123"/>
    <mergeCell ref="C38:C45"/>
    <mergeCell ref="D38:D45"/>
    <mergeCell ref="C46:C53"/>
    <mergeCell ref="D46:D53"/>
    <mergeCell ref="C30:C37"/>
    <mergeCell ref="D30:D37"/>
    <mergeCell ref="F34:F35"/>
    <mergeCell ref="E30:E33"/>
    <mergeCell ref="D126:D133"/>
    <mergeCell ref="AM142:AM149"/>
    <mergeCell ref="F143:F144"/>
    <mergeCell ref="E146:E149"/>
    <mergeCell ref="F146:F147"/>
    <mergeCell ref="D142:D149"/>
    <mergeCell ref="E126:E129"/>
    <mergeCell ref="E142:E145"/>
    <mergeCell ref="AM126:AM133"/>
    <mergeCell ref="E134:E137"/>
    <mergeCell ref="A30:A37"/>
    <mergeCell ref="B30:B37"/>
    <mergeCell ref="A46:A53"/>
    <mergeCell ref="B46:B53"/>
    <mergeCell ref="A38:A45"/>
    <mergeCell ref="B38:B45"/>
    <mergeCell ref="A142:A149"/>
    <mergeCell ref="AM14:AM21"/>
    <mergeCell ref="F15:F16"/>
    <mergeCell ref="E18:E21"/>
    <mergeCell ref="F18:F19"/>
    <mergeCell ref="E14:E17"/>
    <mergeCell ref="A14:A21"/>
    <mergeCell ref="B14:B21"/>
    <mergeCell ref="C14:C21"/>
    <mergeCell ref="D14:D21"/>
    <mergeCell ref="AM6:AM13"/>
    <mergeCell ref="F7:F8"/>
    <mergeCell ref="E10:E13"/>
    <mergeCell ref="F10:F11"/>
    <mergeCell ref="AM4:AM5"/>
    <mergeCell ref="E6:E9"/>
    <mergeCell ref="A3:AM3"/>
    <mergeCell ref="A4:A5"/>
    <mergeCell ref="B4:B5"/>
    <mergeCell ref="C4:C5"/>
    <mergeCell ref="D4:D5"/>
    <mergeCell ref="E4:E5"/>
    <mergeCell ref="F4:F5"/>
    <mergeCell ref="G4:G5"/>
    <mergeCell ref="H4:H5"/>
    <mergeCell ref="I4:AL4"/>
    <mergeCell ref="E290:E293"/>
    <mergeCell ref="F290:F291"/>
    <mergeCell ref="F127:F128"/>
    <mergeCell ref="E130:E133"/>
    <mergeCell ref="F130:F131"/>
    <mergeCell ref="E230:E233"/>
    <mergeCell ref="F79:F80"/>
    <mergeCell ref="E82:E85"/>
    <mergeCell ref="A286:A293"/>
    <mergeCell ref="B286:B293"/>
    <mergeCell ref="C286:C293"/>
    <mergeCell ref="D286:D293"/>
    <mergeCell ref="A134:A141"/>
    <mergeCell ref="B134:B141"/>
    <mergeCell ref="C134:C141"/>
    <mergeCell ref="D134:D141"/>
    <mergeCell ref="AM134:AM141"/>
    <mergeCell ref="F135:F136"/>
    <mergeCell ref="E138:E141"/>
    <mergeCell ref="F138:F139"/>
    <mergeCell ref="A62:A69"/>
    <mergeCell ref="B62:B69"/>
    <mergeCell ref="C62:C69"/>
    <mergeCell ref="D62:D69"/>
    <mergeCell ref="E62:E65"/>
    <mergeCell ref="AM62:AM69"/>
    <mergeCell ref="F63:F64"/>
    <mergeCell ref="E66:E69"/>
    <mergeCell ref="F66:F67"/>
    <mergeCell ref="A102:A109"/>
    <mergeCell ref="B102:B109"/>
    <mergeCell ref="C102:C109"/>
    <mergeCell ref="D102:D109"/>
    <mergeCell ref="E102:E105"/>
    <mergeCell ref="AM102:AM109"/>
    <mergeCell ref="F103:F104"/>
    <mergeCell ref="E106:E109"/>
    <mergeCell ref="F106:F107"/>
    <mergeCell ref="B182:B189"/>
    <mergeCell ref="C182:C189"/>
    <mergeCell ref="D182:D189"/>
    <mergeCell ref="E182:E185"/>
    <mergeCell ref="AM182:AM189"/>
    <mergeCell ref="F183:F184"/>
    <mergeCell ref="E186:E189"/>
    <mergeCell ref="F186:F187"/>
  </mergeCells>
  <printOptions/>
  <pageMargins left="0.26" right="0.23" top="0.43" bottom="0.32" header="0.17" footer="0.16"/>
  <pageSetup horizontalDpi="600" verticalDpi="600" orientation="landscape" paperSize="9" r:id="rId1"/>
  <headerFooter alignWithMargins="0">
    <oddFooter>&amp;C&amp;8&amp;P</oddFooter>
  </headerFooter>
  <rowBreaks count="1" manualBreakCount="1">
    <brk id="37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68"/>
  <sheetViews>
    <sheetView zoomScaleSheetLayoutView="100" workbookViewId="0" topLeftCell="A1">
      <pane xSplit="8" ySplit="5" topLeftCell="I19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G493" sqref="G493"/>
    </sheetView>
  </sheetViews>
  <sheetFormatPr defaultColWidth="9.00390625" defaultRowHeight="12.75"/>
  <cols>
    <col min="1" max="1" width="3.25390625" style="406" customWidth="1"/>
    <col min="2" max="2" width="26.375" style="406" customWidth="1"/>
    <col min="3" max="3" width="8.375" style="407" customWidth="1"/>
    <col min="4" max="4" width="12.25390625" style="407" customWidth="1"/>
    <col min="5" max="5" width="8.375" style="407" customWidth="1"/>
    <col min="6" max="6" width="9.125" style="344" customWidth="1"/>
    <col min="7" max="7" width="14.25390625" style="406" customWidth="1"/>
    <col min="8" max="8" width="9.375" style="344" customWidth="1"/>
    <col min="9" max="9" width="9.75390625" style="344" customWidth="1"/>
    <col min="10" max="10" width="9.625" style="344" bestFit="1" customWidth="1"/>
    <col min="11" max="11" width="8.75390625" style="344" customWidth="1"/>
    <col min="12" max="12" width="8.00390625" style="344" customWidth="1"/>
    <col min="13" max="13" width="7.75390625" style="344" customWidth="1"/>
    <col min="14" max="38" width="9.125" style="344" hidden="1" customWidth="1"/>
    <col min="39" max="39" width="10.25390625" style="344" customWidth="1"/>
    <col min="40" max="16384" width="9.125" style="344" customWidth="1"/>
  </cols>
  <sheetData>
    <row r="1" spans="1:39" ht="12.75">
      <c r="A1" s="405"/>
      <c r="AH1" s="408"/>
      <c r="AI1" s="408"/>
      <c r="AJ1" s="408"/>
      <c r="AK1" s="408"/>
      <c r="AL1" s="408"/>
      <c r="AM1" s="346" t="s">
        <v>231</v>
      </c>
    </row>
    <row r="2" spans="1:39" ht="12.75">
      <c r="A2" s="405"/>
      <c r="AH2" s="408"/>
      <c r="AI2" s="408"/>
      <c r="AJ2" s="408"/>
      <c r="AK2" s="408"/>
      <c r="AL2" s="408"/>
      <c r="AM2" s="346" t="s">
        <v>232</v>
      </c>
    </row>
    <row r="3" spans="1:39" ht="31.5" customHeight="1" thickBot="1">
      <c r="A3" s="606" t="s">
        <v>233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</row>
    <row r="4" spans="1:39" s="409" customFormat="1" ht="22.5" customHeight="1" thickBot="1">
      <c r="A4" s="607" t="s">
        <v>184</v>
      </c>
      <c r="B4" s="605" t="s">
        <v>102</v>
      </c>
      <c r="C4" s="655" t="s">
        <v>185</v>
      </c>
      <c r="D4" s="655" t="s">
        <v>103</v>
      </c>
      <c r="E4" s="610" t="s">
        <v>104</v>
      </c>
      <c r="F4" s="605" t="s">
        <v>105</v>
      </c>
      <c r="G4" s="605" t="s">
        <v>106</v>
      </c>
      <c r="H4" s="602" t="s">
        <v>108</v>
      </c>
      <c r="I4" s="604" t="s">
        <v>186</v>
      </c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  <c r="AK4" s="604"/>
      <c r="AL4" s="604"/>
      <c r="AM4" s="652" t="s">
        <v>110</v>
      </c>
    </row>
    <row r="5" spans="1:39" s="409" customFormat="1" ht="21" customHeight="1" thickBot="1">
      <c r="A5" s="653"/>
      <c r="B5" s="654"/>
      <c r="C5" s="656"/>
      <c r="D5" s="656"/>
      <c r="E5" s="657"/>
      <c r="F5" s="653"/>
      <c r="G5" s="654"/>
      <c r="H5" s="658"/>
      <c r="I5" s="347">
        <v>2012</v>
      </c>
      <c r="J5" s="347">
        <v>2013</v>
      </c>
      <c r="K5" s="347">
        <v>2014</v>
      </c>
      <c r="L5" s="347">
        <v>2015</v>
      </c>
      <c r="M5" s="347">
        <v>2016</v>
      </c>
      <c r="N5" s="347">
        <v>2017</v>
      </c>
      <c r="O5" s="347">
        <v>2018</v>
      </c>
      <c r="P5" s="348">
        <v>2019</v>
      </c>
      <c r="Q5" s="348">
        <v>2020</v>
      </c>
      <c r="R5" s="348">
        <v>2021</v>
      </c>
      <c r="S5" s="348">
        <v>2022</v>
      </c>
      <c r="T5" s="348">
        <v>2023</v>
      </c>
      <c r="U5" s="348">
        <v>2024</v>
      </c>
      <c r="V5" s="348">
        <v>2025</v>
      </c>
      <c r="W5" s="348">
        <v>2026</v>
      </c>
      <c r="X5" s="348">
        <v>2027</v>
      </c>
      <c r="Y5" s="348">
        <v>2028</v>
      </c>
      <c r="Z5" s="348">
        <v>2029</v>
      </c>
      <c r="AA5" s="348">
        <v>2030</v>
      </c>
      <c r="AB5" s="349">
        <v>2031</v>
      </c>
      <c r="AC5" s="349">
        <v>2032</v>
      </c>
      <c r="AD5" s="349">
        <v>2033</v>
      </c>
      <c r="AE5" s="349">
        <v>2034</v>
      </c>
      <c r="AF5" s="349">
        <v>2035</v>
      </c>
      <c r="AG5" s="349">
        <v>2036</v>
      </c>
      <c r="AH5" s="349">
        <v>2036</v>
      </c>
      <c r="AI5" s="349">
        <v>2037</v>
      </c>
      <c r="AJ5" s="349">
        <v>2038</v>
      </c>
      <c r="AK5" s="349">
        <v>2039</v>
      </c>
      <c r="AL5" s="349">
        <v>2040</v>
      </c>
      <c r="AM5" s="652"/>
    </row>
    <row r="6" spans="1:39" ht="12.75">
      <c r="A6" s="640">
        <v>1</v>
      </c>
      <c r="B6" s="643" t="s">
        <v>234</v>
      </c>
      <c r="C6" s="646">
        <v>80195</v>
      </c>
      <c r="D6" s="649" t="s">
        <v>235</v>
      </c>
      <c r="E6" s="634">
        <v>2011</v>
      </c>
      <c r="F6" s="350" t="s">
        <v>113</v>
      </c>
      <c r="G6" s="416" t="s">
        <v>114</v>
      </c>
      <c r="H6" s="352">
        <v>56424</v>
      </c>
      <c r="I6" s="353">
        <v>117538</v>
      </c>
      <c r="J6" s="353"/>
      <c r="K6" s="353"/>
      <c r="L6" s="353"/>
      <c r="M6" s="353"/>
      <c r="N6" s="353"/>
      <c r="O6" s="353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580">
        <f>SUM(J12:AL13)</f>
        <v>0</v>
      </c>
    </row>
    <row r="7" spans="1:39" ht="12.75">
      <c r="A7" s="641"/>
      <c r="B7" s="644"/>
      <c r="C7" s="647"/>
      <c r="D7" s="650"/>
      <c r="E7" s="635"/>
      <c r="F7" s="583">
        <f>SUM(H12:AL12)</f>
        <v>173962</v>
      </c>
      <c r="G7" s="417" t="s">
        <v>115</v>
      </c>
      <c r="H7" s="356"/>
      <c r="I7" s="357"/>
      <c r="J7" s="357"/>
      <c r="K7" s="357"/>
      <c r="L7" s="357"/>
      <c r="M7" s="357"/>
      <c r="N7" s="357"/>
      <c r="O7" s="357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581"/>
    </row>
    <row r="8" spans="1:39" ht="12.75">
      <c r="A8" s="641"/>
      <c r="B8" s="644"/>
      <c r="C8" s="647"/>
      <c r="D8" s="650"/>
      <c r="E8" s="635"/>
      <c r="F8" s="584"/>
      <c r="G8" s="417" t="s">
        <v>116</v>
      </c>
      <c r="H8" s="356"/>
      <c r="I8" s="357"/>
      <c r="J8" s="357"/>
      <c r="K8" s="357"/>
      <c r="L8" s="357"/>
      <c r="M8" s="357"/>
      <c r="N8" s="357"/>
      <c r="O8" s="357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581"/>
    </row>
    <row r="9" spans="1:39" ht="12.75">
      <c r="A9" s="641"/>
      <c r="B9" s="644"/>
      <c r="C9" s="647"/>
      <c r="D9" s="650"/>
      <c r="E9" s="636"/>
      <c r="F9" s="359" t="s">
        <v>117</v>
      </c>
      <c r="G9" s="417" t="s">
        <v>118</v>
      </c>
      <c r="H9" s="356"/>
      <c r="I9" s="357"/>
      <c r="J9" s="357"/>
      <c r="K9" s="357"/>
      <c r="L9" s="357"/>
      <c r="M9" s="357"/>
      <c r="N9" s="357"/>
      <c r="O9" s="357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581"/>
    </row>
    <row r="10" spans="1:39" ht="12.75">
      <c r="A10" s="641"/>
      <c r="B10" s="644"/>
      <c r="C10" s="647"/>
      <c r="D10" s="650"/>
      <c r="E10" s="638">
        <v>2012</v>
      </c>
      <c r="F10" s="583">
        <f>SUM(H13:AL13)</f>
        <v>0</v>
      </c>
      <c r="G10" s="417" t="s">
        <v>122</v>
      </c>
      <c r="H10" s="356"/>
      <c r="I10" s="357"/>
      <c r="J10" s="357"/>
      <c r="K10" s="357"/>
      <c r="L10" s="357"/>
      <c r="M10" s="357"/>
      <c r="N10" s="357"/>
      <c r="O10" s="357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581"/>
    </row>
    <row r="11" spans="1:39" ht="12.75">
      <c r="A11" s="641"/>
      <c r="B11" s="644"/>
      <c r="C11" s="647"/>
      <c r="D11" s="650"/>
      <c r="E11" s="635"/>
      <c r="F11" s="584"/>
      <c r="G11" s="417" t="s">
        <v>123</v>
      </c>
      <c r="H11" s="356"/>
      <c r="I11" s="357"/>
      <c r="J11" s="357"/>
      <c r="K11" s="357"/>
      <c r="L11" s="357"/>
      <c r="M11" s="357"/>
      <c r="N11" s="357"/>
      <c r="O11" s="357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581"/>
    </row>
    <row r="12" spans="1:39" ht="12.75">
      <c r="A12" s="641"/>
      <c r="B12" s="644"/>
      <c r="C12" s="647"/>
      <c r="D12" s="650"/>
      <c r="E12" s="635"/>
      <c r="F12" s="359" t="s">
        <v>121</v>
      </c>
      <c r="G12" s="417" t="s">
        <v>124</v>
      </c>
      <c r="H12" s="360">
        <f aca="true" t="shared" si="0" ref="H12:AL12">H6+H8+H10</f>
        <v>56424</v>
      </c>
      <c r="I12" s="361">
        <f t="shared" si="0"/>
        <v>117538</v>
      </c>
      <c r="J12" s="361">
        <f t="shared" si="0"/>
        <v>0</v>
      </c>
      <c r="K12" s="361">
        <f t="shared" si="0"/>
        <v>0</v>
      </c>
      <c r="L12" s="361">
        <f t="shared" si="0"/>
        <v>0</v>
      </c>
      <c r="M12" s="361">
        <f t="shared" si="0"/>
        <v>0</v>
      </c>
      <c r="N12" s="361">
        <f t="shared" si="0"/>
        <v>0</v>
      </c>
      <c r="O12" s="361">
        <f t="shared" si="0"/>
        <v>0</v>
      </c>
      <c r="P12" s="361">
        <f t="shared" si="0"/>
        <v>0</v>
      </c>
      <c r="Q12" s="361">
        <f t="shared" si="0"/>
        <v>0</v>
      </c>
      <c r="R12" s="361">
        <f t="shared" si="0"/>
        <v>0</v>
      </c>
      <c r="S12" s="361">
        <f t="shared" si="0"/>
        <v>0</v>
      </c>
      <c r="T12" s="361">
        <f t="shared" si="0"/>
        <v>0</v>
      </c>
      <c r="U12" s="361">
        <f t="shared" si="0"/>
        <v>0</v>
      </c>
      <c r="V12" s="361">
        <f t="shared" si="0"/>
        <v>0</v>
      </c>
      <c r="W12" s="361">
        <f t="shared" si="0"/>
        <v>0</v>
      </c>
      <c r="X12" s="361">
        <f t="shared" si="0"/>
        <v>0</v>
      </c>
      <c r="Y12" s="361">
        <f t="shared" si="0"/>
        <v>0</v>
      </c>
      <c r="Z12" s="361">
        <f t="shared" si="0"/>
        <v>0</v>
      </c>
      <c r="AA12" s="361">
        <f t="shared" si="0"/>
        <v>0</v>
      </c>
      <c r="AB12" s="361">
        <f t="shared" si="0"/>
        <v>0</v>
      </c>
      <c r="AC12" s="361">
        <f t="shared" si="0"/>
        <v>0</v>
      </c>
      <c r="AD12" s="361">
        <f t="shared" si="0"/>
        <v>0</v>
      </c>
      <c r="AE12" s="361">
        <f t="shared" si="0"/>
        <v>0</v>
      </c>
      <c r="AF12" s="361">
        <f t="shared" si="0"/>
        <v>0</v>
      </c>
      <c r="AG12" s="361">
        <f t="shared" si="0"/>
        <v>0</v>
      </c>
      <c r="AH12" s="361">
        <f t="shared" si="0"/>
        <v>0</v>
      </c>
      <c r="AI12" s="361">
        <f t="shared" si="0"/>
        <v>0</v>
      </c>
      <c r="AJ12" s="361">
        <f t="shared" si="0"/>
        <v>0</v>
      </c>
      <c r="AK12" s="361">
        <f t="shared" si="0"/>
        <v>0</v>
      </c>
      <c r="AL12" s="362">
        <f t="shared" si="0"/>
        <v>0</v>
      </c>
      <c r="AM12" s="581"/>
    </row>
    <row r="13" spans="1:39" ht="13.5" thickBot="1">
      <c r="A13" s="642"/>
      <c r="B13" s="645"/>
      <c r="C13" s="648"/>
      <c r="D13" s="650"/>
      <c r="E13" s="639"/>
      <c r="F13" s="363">
        <f>F7+F10</f>
        <v>173962</v>
      </c>
      <c r="G13" s="418" t="s">
        <v>125</v>
      </c>
      <c r="H13" s="365">
        <f aca="true" t="shared" si="1" ref="H13:AL13">H7+H9+H11</f>
        <v>0</v>
      </c>
      <c r="I13" s="366">
        <f t="shared" si="1"/>
        <v>0</v>
      </c>
      <c r="J13" s="366">
        <f t="shared" si="1"/>
        <v>0</v>
      </c>
      <c r="K13" s="366">
        <f t="shared" si="1"/>
        <v>0</v>
      </c>
      <c r="L13" s="366">
        <f t="shared" si="1"/>
        <v>0</v>
      </c>
      <c r="M13" s="366">
        <f t="shared" si="1"/>
        <v>0</v>
      </c>
      <c r="N13" s="366">
        <f t="shared" si="1"/>
        <v>0</v>
      </c>
      <c r="O13" s="366">
        <f t="shared" si="1"/>
        <v>0</v>
      </c>
      <c r="P13" s="366">
        <f t="shared" si="1"/>
        <v>0</v>
      </c>
      <c r="Q13" s="366">
        <f t="shared" si="1"/>
        <v>0</v>
      </c>
      <c r="R13" s="366">
        <f t="shared" si="1"/>
        <v>0</v>
      </c>
      <c r="S13" s="366">
        <f t="shared" si="1"/>
        <v>0</v>
      </c>
      <c r="T13" s="366">
        <f t="shared" si="1"/>
        <v>0</v>
      </c>
      <c r="U13" s="366">
        <f t="shared" si="1"/>
        <v>0</v>
      </c>
      <c r="V13" s="366">
        <f t="shared" si="1"/>
        <v>0</v>
      </c>
      <c r="W13" s="366">
        <f t="shared" si="1"/>
        <v>0</v>
      </c>
      <c r="X13" s="366">
        <f t="shared" si="1"/>
        <v>0</v>
      </c>
      <c r="Y13" s="366">
        <f t="shared" si="1"/>
        <v>0</v>
      </c>
      <c r="Z13" s="366">
        <f t="shared" si="1"/>
        <v>0</v>
      </c>
      <c r="AA13" s="366">
        <f t="shared" si="1"/>
        <v>0</v>
      </c>
      <c r="AB13" s="366">
        <f t="shared" si="1"/>
        <v>0</v>
      </c>
      <c r="AC13" s="366">
        <f t="shared" si="1"/>
        <v>0</v>
      </c>
      <c r="AD13" s="366">
        <f t="shared" si="1"/>
        <v>0</v>
      </c>
      <c r="AE13" s="366">
        <f t="shared" si="1"/>
        <v>0</v>
      </c>
      <c r="AF13" s="366">
        <f t="shared" si="1"/>
        <v>0</v>
      </c>
      <c r="AG13" s="366">
        <f t="shared" si="1"/>
        <v>0</v>
      </c>
      <c r="AH13" s="366">
        <f t="shared" si="1"/>
        <v>0</v>
      </c>
      <c r="AI13" s="366">
        <f t="shared" si="1"/>
        <v>0</v>
      </c>
      <c r="AJ13" s="366">
        <f t="shared" si="1"/>
        <v>0</v>
      </c>
      <c r="AK13" s="366">
        <f t="shared" si="1"/>
        <v>0</v>
      </c>
      <c r="AL13" s="367">
        <f t="shared" si="1"/>
        <v>0</v>
      </c>
      <c r="AM13" s="582"/>
    </row>
    <row r="14" spans="1:39" ht="12.75" customHeight="1">
      <c r="A14" s="640">
        <v>2</v>
      </c>
      <c r="B14" s="643" t="s">
        <v>236</v>
      </c>
      <c r="C14" s="646">
        <v>85404</v>
      </c>
      <c r="D14" s="649" t="s">
        <v>188</v>
      </c>
      <c r="E14" s="635">
        <v>2011</v>
      </c>
      <c r="F14" s="350" t="s">
        <v>113</v>
      </c>
      <c r="G14" s="416" t="s">
        <v>114</v>
      </c>
      <c r="H14" s="352">
        <v>20948</v>
      </c>
      <c r="I14" s="353">
        <v>85128</v>
      </c>
      <c r="J14" s="353">
        <v>84268</v>
      </c>
      <c r="K14" s="353"/>
      <c r="L14" s="353"/>
      <c r="M14" s="353"/>
      <c r="N14" s="353"/>
      <c r="O14" s="353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580">
        <f>SUM(J20:AL21)</f>
        <v>84268</v>
      </c>
    </row>
    <row r="15" spans="1:39" ht="12.75">
      <c r="A15" s="641"/>
      <c r="B15" s="644"/>
      <c r="C15" s="647"/>
      <c r="D15" s="650"/>
      <c r="E15" s="635"/>
      <c r="F15" s="583">
        <f>SUM(H20:AL20)</f>
        <v>190344</v>
      </c>
      <c r="G15" s="417" t="s">
        <v>115</v>
      </c>
      <c r="H15" s="356"/>
      <c r="I15" s="357"/>
      <c r="J15" s="357"/>
      <c r="K15" s="357"/>
      <c r="L15" s="357"/>
      <c r="M15" s="357"/>
      <c r="N15" s="357"/>
      <c r="O15" s="357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581"/>
    </row>
    <row r="16" spans="1:39" ht="12.75">
      <c r="A16" s="641"/>
      <c r="B16" s="644"/>
      <c r="C16" s="647"/>
      <c r="D16" s="650"/>
      <c r="E16" s="635"/>
      <c r="F16" s="584"/>
      <c r="G16" s="417" t="s">
        <v>116</v>
      </c>
      <c r="H16" s="356"/>
      <c r="I16" s="357"/>
      <c r="J16" s="357"/>
      <c r="K16" s="357"/>
      <c r="L16" s="357"/>
      <c r="M16" s="357"/>
      <c r="N16" s="357"/>
      <c r="O16" s="357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581"/>
    </row>
    <row r="17" spans="1:39" ht="12.75">
      <c r="A17" s="641"/>
      <c r="B17" s="644"/>
      <c r="C17" s="647"/>
      <c r="D17" s="650"/>
      <c r="E17" s="636"/>
      <c r="F17" s="359" t="s">
        <v>117</v>
      </c>
      <c r="G17" s="417" t="s">
        <v>118</v>
      </c>
      <c r="H17" s="356"/>
      <c r="I17" s="357"/>
      <c r="J17" s="357"/>
      <c r="K17" s="357"/>
      <c r="L17" s="357"/>
      <c r="M17" s="357"/>
      <c r="N17" s="357"/>
      <c r="O17" s="357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581"/>
    </row>
    <row r="18" spans="1:39" ht="12.75">
      <c r="A18" s="641"/>
      <c r="B18" s="644"/>
      <c r="C18" s="647"/>
      <c r="D18" s="650"/>
      <c r="E18" s="638">
        <v>2013</v>
      </c>
      <c r="F18" s="583">
        <f>SUM(H21:AL21)</f>
        <v>0</v>
      </c>
      <c r="G18" s="417" t="s">
        <v>122</v>
      </c>
      <c r="H18" s="356"/>
      <c r="I18" s="357"/>
      <c r="J18" s="357"/>
      <c r="K18" s="357"/>
      <c r="L18" s="357"/>
      <c r="M18" s="357"/>
      <c r="N18" s="357"/>
      <c r="O18" s="357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581"/>
    </row>
    <row r="19" spans="1:39" ht="12.75">
      <c r="A19" s="641"/>
      <c r="B19" s="644"/>
      <c r="C19" s="647"/>
      <c r="D19" s="650"/>
      <c r="E19" s="635"/>
      <c r="F19" s="584"/>
      <c r="G19" s="417" t="s">
        <v>123</v>
      </c>
      <c r="H19" s="356"/>
      <c r="I19" s="357"/>
      <c r="J19" s="357"/>
      <c r="K19" s="357"/>
      <c r="L19" s="357"/>
      <c r="M19" s="357"/>
      <c r="N19" s="357"/>
      <c r="O19" s="357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581"/>
    </row>
    <row r="20" spans="1:39" ht="12.75">
      <c r="A20" s="641"/>
      <c r="B20" s="644"/>
      <c r="C20" s="647"/>
      <c r="D20" s="650"/>
      <c r="E20" s="635"/>
      <c r="F20" s="359" t="s">
        <v>121</v>
      </c>
      <c r="G20" s="417" t="s">
        <v>124</v>
      </c>
      <c r="H20" s="360">
        <f aca="true" t="shared" si="2" ref="H20:AL20">H14+H16+H18</f>
        <v>20948</v>
      </c>
      <c r="I20" s="361">
        <f t="shared" si="2"/>
        <v>85128</v>
      </c>
      <c r="J20" s="361">
        <f t="shared" si="2"/>
        <v>84268</v>
      </c>
      <c r="K20" s="361">
        <f t="shared" si="2"/>
        <v>0</v>
      </c>
      <c r="L20" s="361">
        <f t="shared" si="2"/>
        <v>0</v>
      </c>
      <c r="M20" s="361">
        <f t="shared" si="2"/>
        <v>0</v>
      </c>
      <c r="N20" s="361">
        <f t="shared" si="2"/>
        <v>0</v>
      </c>
      <c r="O20" s="361">
        <f t="shared" si="2"/>
        <v>0</v>
      </c>
      <c r="P20" s="361">
        <f t="shared" si="2"/>
        <v>0</v>
      </c>
      <c r="Q20" s="361">
        <f t="shared" si="2"/>
        <v>0</v>
      </c>
      <c r="R20" s="361">
        <f t="shared" si="2"/>
        <v>0</v>
      </c>
      <c r="S20" s="361">
        <f t="shared" si="2"/>
        <v>0</v>
      </c>
      <c r="T20" s="361">
        <f t="shared" si="2"/>
        <v>0</v>
      </c>
      <c r="U20" s="361">
        <f t="shared" si="2"/>
        <v>0</v>
      </c>
      <c r="V20" s="361">
        <f t="shared" si="2"/>
        <v>0</v>
      </c>
      <c r="W20" s="361">
        <f t="shared" si="2"/>
        <v>0</v>
      </c>
      <c r="X20" s="361">
        <f t="shared" si="2"/>
        <v>0</v>
      </c>
      <c r="Y20" s="361">
        <f t="shared" si="2"/>
        <v>0</v>
      </c>
      <c r="Z20" s="361">
        <f t="shared" si="2"/>
        <v>0</v>
      </c>
      <c r="AA20" s="361">
        <f t="shared" si="2"/>
        <v>0</v>
      </c>
      <c r="AB20" s="361">
        <f t="shared" si="2"/>
        <v>0</v>
      </c>
      <c r="AC20" s="361">
        <f t="shared" si="2"/>
        <v>0</v>
      </c>
      <c r="AD20" s="361">
        <f t="shared" si="2"/>
        <v>0</v>
      </c>
      <c r="AE20" s="361">
        <f t="shared" si="2"/>
        <v>0</v>
      </c>
      <c r="AF20" s="361">
        <f t="shared" si="2"/>
        <v>0</v>
      </c>
      <c r="AG20" s="361">
        <f t="shared" si="2"/>
        <v>0</v>
      </c>
      <c r="AH20" s="361">
        <f t="shared" si="2"/>
        <v>0</v>
      </c>
      <c r="AI20" s="361">
        <f t="shared" si="2"/>
        <v>0</v>
      </c>
      <c r="AJ20" s="361">
        <f t="shared" si="2"/>
        <v>0</v>
      </c>
      <c r="AK20" s="361">
        <f t="shared" si="2"/>
        <v>0</v>
      </c>
      <c r="AL20" s="362">
        <f t="shared" si="2"/>
        <v>0</v>
      </c>
      <c r="AM20" s="581"/>
    </row>
    <row r="21" spans="1:39" ht="13.5" thickBot="1">
      <c r="A21" s="642"/>
      <c r="B21" s="645"/>
      <c r="C21" s="648"/>
      <c r="D21" s="650"/>
      <c r="E21" s="639"/>
      <c r="F21" s="363">
        <f>F15+F18</f>
        <v>190344</v>
      </c>
      <c r="G21" s="418" t="s">
        <v>125</v>
      </c>
      <c r="H21" s="365">
        <f aca="true" t="shared" si="3" ref="H21:AL21">H15+H17+H19</f>
        <v>0</v>
      </c>
      <c r="I21" s="366">
        <f t="shared" si="3"/>
        <v>0</v>
      </c>
      <c r="J21" s="366">
        <f t="shared" si="3"/>
        <v>0</v>
      </c>
      <c r="K21" s="366">
        <f t="shared" si="3"/>
        <v>0</v>
      </c>
      <c r="L21" s="366">
        <f t="shared" si="3"/>
        <v>0</v>
      </c>
      <c r="M21" s="366">
        <f t="shared" si="3"/>
        <v>0</v>
      </c>
      <c r="N21" s="366">
        <f t="shared" si="3"/>
        <v>0</v>
      </c>
      <c r="O21" s="366">
        <f t="shared" si="3"/>
        <v>0</v>
      </c>
      <c r="P21" s="366">
        <f t="shared" si="3"/>
        <v>0</v>
      </c>
      <c r="Q21" s="366">
        <f t="shared" si="3"/>
        <v>0</v>
      </c>
      <c r="R21" s="366">
        <f t="shared" si="3"/>
        <v>0</v>
      </c>
      <c r="S21" s="366">
        <f t="shared" si="3"/>
        <v>0</v>
      </c>
      <c r="T21" s="366">
        <f t="shared" si="3"/>
        <v>0</v>
      </c>
      <c r="U21" s="366">
        <f t="shared" si="3"/>
        <v>0</v>
      </c>
      <c r="V21" s="366">
        <f t="shared" si="3"/>
        <v>0</v>
      </c>
      <c r="W21" s="366">
        <f t="shared" si="3"/>
        <v>0</v>
      </c>
      <c r="X21" s="366">
        <f t="shared" si="3"/>
        <v>0</v>
      </c>
      <c r="Y21" s="366">
        <f t="shared" si="3"/>
        <v>0</v>
      </c>
      <c r="Z21" s="366">
        <f t="shared" si="3"/>
        <v>0</v>
      </c>
      <c r="AA21" s="366">
        <f t="shared" si="3"/>
        <v>0</v>
      </c>
      <c r="AB21" s="366">
        <f t="shared" si="3"/>
        <v>0</v>
      </c>
      <c r="AC21" s="366">
        <f t="shared" si="3"/>
        <v>0</v>
      </c>
      <c r="AD21" s="366">
        <f t="shared" si="3"/>
        <v>0</v>
      </c>
      <c r="AE21" s="366">
        <f t="shared" si="3"/>
        <v>0</v>
      </c>
      <c r="AF21" s="366">
        <f t="shared" si="3"/>
        <v>0</v>
      </c>
      <c r="AG21" s="366">
        <f t="shared" si="3"/>
        <v>0</v>
      </c>
      <c r="AH21" s="366">
        <f t="shared" si="3"/>
        <v>0</v>
      </c>
      <c r="AI21" s="366">
        <f t="shared" si="3"/>
        <v>0</v>
      </c>
      <c r="AJ21" s="366">
        <f t="shared" si="3"/>
        <v>0</v>
      </c>
      <c r="AK21" s="366">
        <f t="shared" si="3"/>
        <v>0</v>
      </c>
      <c r="AL21" s="367">
        <f t="shared" si="3"/>
        <v>0</v>
      </c>
      <c r="AM21" s="582"/>
    </row>
    <row r="22" spans="1:39" ht="12.75" customHeight="1">
      <c r="A22" s="640">
        <v>3</v>
      </c>
      <c r="B22" s="643" t="s">
        <v>237</v>
      </c>
      <c r="C22" s="646">
        <v>80195</v>
      </c>
      <c r="D22" s="649" t="s">
        <v>188</v>
      </c>
      <c r="E22" s="634">
        <v>2011</v>
      </c>
      <c r="F22" s="350" t="s">
        <v>113</v>
      </c>
      <c r="G22" s="416" t="s">
        <v>114</v>
      </c>
      <c r="H22" s="352">
        <v>230000</v>
      </c>
      <c r="I22" s="353">
        <v>240000</v>
      </c>
      <c r="J22" s="353">
        <v>250000</v>
      </c>
      <c r="K22" s="353"/>
      <c r="L22" s="353"/>
      <c r="M22" s="353"/>
      <c r="N22" s="353"/>
      <c r="O22" s="353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580">
        <f>SUM(J28:AL29)</f>
        <v>250000</v>
      </c>
    </row>
    <row r="23" spans="1:39" ht="12.75">
      <c r="A23" s="641"/>
      <c r="B23" s="644"/>
      <c r="C23" s="647"/>
      <c r="D23" s="650"/>
      <c r="E23" s="635"/>
      <c r="F23" s="583">
        <f>SUM(H28:AL28)</f>
        <v>720000</v>
      </c>
      <c r="G23" s="417" t="s">
        <v>115</v>
      </c>
      <c r="H23" s="356"/>
      <c r="I23" s="357"/>
      <c r="J23" s="357"/>
      <c r="K23" s="357"/>
      <c r="L23" s="357"/>
      <c r="M23" s="357"/>
      <c r="N23" s="357"/>
      <c r="O23" s="357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581"/>
    </row>
    <row r="24" spans="1:39" ht="12.75">
      <c r="A24" s="641"/>
      <c r="B24" s="644"/>
      <c r="C24" s="647"/>
      <c r="D24" s="650"/>
      <c r="E24" s="635"/>
      <c r="F24" s="584"/>
      <c r="G24" s="417" t="s">
        <v>116</v>
      </c>
      <c r="H24" s="356"/>
      <c r="I24" s="357"/>
      <c r="J24" s="357"/>
      <c r="K24" s="357"/>
      <c r="L24" s="357"/>
      <c r="M24" s="357"/>
      <c r="N24" s="357"/>
      <c r="O24" s="357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581"/>
    </row>
    <row r="25" spans="1:39" ht="12.75">
      <c r="A25" s="641"/>
      <c r="B25" s="644"/>
      <c r="C25" s="647"/>
      <c r="D25" s="650"/>
      <c r="E25" s="636"/>
      <c r="F25" s="359" t="s">
        <v>117</v>
      </c>
      <c r="G25" s="417" t="s">
        <v>118</v>
      </c>
      <c r="H25" s="356"/>
      <c r="I25" s="357"/>
      <c r="J25" s="357"/>
      <c r="K25" s="357"/>
      <c r="L25" s="357"/>
      <c r="M25" s="357"/>
      <c r="N25" s="357"/>
      <c r="O25" s="357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581"/>
    </row>
    <row r="26" spans="1:39" ht="12.75">
      <c r="A26" s="641"/>
      <c r="B26" s="644"/>
      <c r="C26" s="647"/>
      <c r="D26" s="650"/>
      <c r="E26" s="638">
        <v>2013</v>
      </c>
      <c r="F26" s="583">
        <f>SUM(H29:AL29)</f>
        <v>0</v>
      </c>
      <c r="G26" s="417" t="s">
        <v>122</v>
      </c>
      <c r="H26" s="356"/>
      <c r="I26" s="357"/>
      <c r="J26" s="357"/>
      <c r="K26" s="357"/>
      <c r="L26" s="357"/>
      <c r="M26" s="357"/>
      <c r="N26" s="357"/>
      <c r="O26" s="357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581"/>
    </row>
    <row r="27" spans="1:39" ht="12.75">
      <c r="A27" s="641"/>
      <c r="B27" s="644"/>
      <c r="C27" s="647"/>
      <c r="D27" s="650"/>
      <c r="E27" s="635"/>
      <c r="F27" s="584"/>
      <c r="G27" s="417" t="s">
        <v>123</v>
      </c>
      <c r="H27" s="356"/>
      <c r="I27" s="357"/>
      <c r="J27" s="357"/>
      <c r="K27" s="357"/>
      <c r="L27" s="357"/>
      <c r="M27" s="357"/>
      <c r="N27" s="357"/>
      <c r="O27" s="357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581"/>
    </row>
    <row r="28" spans="1:39" ht="12.75">
      <c r="A28" s="641"/>
      <c r="B28" s="644"/>
      <c r="C28" s="647"/>
      <c r="D28" s="650"/>
      <c r="E28" s="635"/>
      <c r="F28" s="359" t="s">
        <v>121</v>
      </c>
      <c r="G28" s="417" t="s">
        <v>124</v>
      </c>
      <c r="H28" s="360">
        <f aca="true" t="shared" si="4" ref="H28:AL28">H22+H24+H26</f>
        <v>230000</v>
      </c>
      <c r="I28" s="361">
        <f t="shared" si="4"/>
        <v>240000</v>
      </c>
      <c r="J28" s="361">
        <f t="shared" si="4"/>
        <v>250000</v>
      </c>
      <c r="K28" s="361">
        <f t="shared" si="4"/>
        <v>0</v>
      </c>
      <c r="L28" s="361">
        <f t="shared" si="4"/>
        <v>0</v>
      </c>
      <c r="M28" s="361">
        <f t="shared" si="4"/>
        <v>0</v>
      </c>
      <c r="N28" s="361">
        <f t="shared" si="4"/>
        <v>0</v>
      </c>
      <c r="O28" s="361">
        <f t="shared" si="4"/>
        <v>0</v>
      </c>
      <c r="P28" s="361">
        <f t="shared" si="4"/>
        <v>0</v>
      </c>
      <c r="Q28" s="361">
        <f t="shared" si="4"/>
        <v>0</v>
      </c>
      <c r="R28" s="361">
        <f t="shared" si="4"/>
        <v>0</v>
      </c>
      <c r="S28" s="361">
        <f t="shared" si="4"/>
        <v>0</v>
      </c>
      <c r="T28" s="361">
        <f t="shared" si="4"/>
        <v>0</v>
      </c>
      <c r="U28" s="361">
        <f t="shared" si="4"/>
        <v>0</v>
      </c>
      <c r="V28" s="361">
        <f t="shared" si="4"/>
        <v>0</v>
      </c>
      <c r="W28" s="361">
        <f t="shared" si="4"/>
        <v>0</v>
      </c>
      <c r="X28" s="361">
        <f t="shared" si="4"/>
        <v>0</v>
      </c>
      <c r="Y28" s="361">
        <f t="shared" si="4"/>
        <v>0</v>
      </c>
      <c r="Z28" s="361">
        <f t="shared" si="4"/>
        <v>0</v>
      </c>
      <c r="AA28" s="361">
        <f t="shared" si="4"/>
        <v>0</v>
      </c>
      <c r="AB28" s="361">
        <f t="shared" si="4"/>
        <v>0</v>
      </c>
      <c r="AC28" s="361">
        <f t="shared" si="4"/>
        <v>0</v>
      </c>
      <c r="AD28" s="361">
        <f t="shared" si="4"/>
        <v>0</v>
      </c>
      <c r="AE28" s="361">
        <f t="shared" si="4"/>
        <v>0</v>
      </c>
      <c r="AF28" s="361">
        <f t="shared" si="4"/>
        <v>0</v>
      </c>
      <c r="AG28" s="361">
        <f t="shared" si="4"/>
        <v>0</v>
      </c>
      <c r="AH28" s="361">
        <f t="shared" si="4"/>
        <v>0</v>
      </c>
      <c r="AI28" s="361">
        <f t="shared" si="4"/>
        <v>0</v>
      </c>
      <c r="AJ28" s="361">
        <f t="shared" si="4"/>
        <v>0</v>
      </c>
      <c r="AK28" s="361">
        <f t="shared" si="4"/>
        <v>0</v>
      </c>
      <c r="AL28" s="361">
        <f t="shared" si="4"/>
        <v>0</v>
      </c>
      <c r="AM28" s="581"/>
    </row>
    <row r="29" spans="1:39" ht="13.5" thickBot="1">
      <c r="A29" s="642"/>
      <c r="B29" s="645"/>
      <c r="C29" s="648"/>
      <c r="D29" s="650"/>
      <c r="E29" s="639"/>
      <c r="F29" s="363">
        <f>F23+F26</f>
        <v>720000</v>
      </c>
      <c r="G29" s="418" t="s">
        <v>125</v>
      </c>
      <c r="H29" s="365">
        <f aca="true" t="shared" si="5" ref="H29:AL29">H23+H25+H27</f>
        <v>0</v>
      </c>
      <c r="I29" s="366">
        <f t="shared" si="5"/>
        <v>0</v>
      </c>
      <c r="J29" s="366">
        <f t="shared" si="5"/>
        <v>0</v>
      </c>
      <c r="K29" s="366">
        <f t="shared" si="5"/>
        <v>0</v>
      </c>
      <c r="L29" s="366">
        <f t="shared" si="5"/>
        <v>0</v>
      </c>
      <c r="M29" s="366">
        <f t="shared" si="5"/>
        <v>0</v>
      </c>
      <c r="N29" s="366">
        <f t="shared" si="5"/>
        <v>0</v>
      </c>
      <c r="O29" s="366">
        <f t="shared" si="5"/>
        <v>0</v>
      </c>
      <c r="P29" s="366">
        <f t="shared" si="5"/>
        <v>0</v>
      </c>
      <c r="Q29" s="366">
        <f t="shared" si="5"/>
        <v>0</v>
      </c>
      <c r="R29" s="366">
        <f t="shared" si="5"/>
        <v>0</v>
      </c>
      <c r="S29" s="366">
        <f t="shared" si="5"/>
        <v>0</v>
      </c>
      <c r="T29" s="366">
        <f t="shared" si="5"/>
        <v>0</v>
      </c>
      <c r="U29" s="366">
        <f t="shared" si="5"/>
        <v>0</v>
      </c>
      <c r="V29" s="366">
        <f t="shared" si="5"/>
        <v>0</v>
      </c>
      <c r="W29" s="366">
        <f t="shared" si="5"/>
        <v>0</v>
      </c>
      <c r="X29" s="366">
        <f t="shared" si="5"/>
        <v>0</v>
      </c>
      <c r="Y29" s="366">
        <f t="shared" si="5"/>
        <v>0</v>
      </c>
      <c r="Z29" s="366">
        <f t="shared" si="5"/>
        <v>0</v>
      </c>
      <c r="AA29" s="366">
        <f t="shared" si="5"/>
        <v>0</v>
      </c>
      <c r="AB29" s="366">
        <f t="shared" si="5"/>
        <v>0</v>
      </c>
      <c r="AC29" s="366">
        <f t="shared" si="5"/>
        <v>0</v>
      </c>
      <c r="AD29" s="366">
        <f t="shared" si="5"/>
        <v>0</v>
      </c>
      <c r="AE29" s="366">
        <f t="shared" si="5"/>
        <v>0</v>
      </c>
      <c r="AF29" s="366">
        <f t="shared" si="5"/>
        <v>0</v>
      </c>
      <c r="AG29" s="366">
        <f t="shared" si="5"/>
        <v>0</v>
      </c>
      <c r="AH29" s="366">
        <f t="shared" si="5"/>
        <v>0</v>
      </c>
      <c r="AI29" s="366">
        <f t="shared" si="5"/>
        <v>0</v>
      </c>
      <c r="AJ29" s="366">
        <f t="shared" si="5"/>
        <v>0</v>
      </c>
      <c r="AK29" s="366">
        <f t="shared" si="5"/>
        <v>0</v>
      </c>
      <c r="AL29" s="366">
        <f t="shared" si="5"/>
        <v>0</v>
      </c>
      <c r="AM29" s="582"/>
    </row>
    <row r="30" spans="1:39" ht="12.75" customHeight="1">
      <c r="A30" s="640">
        <v>4</v>
      </c>
      <c r="B30" s="643" t="s">
        <v>238</v>
      </c>
      <c r="C30" s="646">
        <v>75495</v>
      </c>
      <c r="D30" s="649" t="s">
        <v>188</v>
      </c>
      <c r="E30" s="634">
        <v>2011</v>
      </c>
      <c r="F30" s="350" t="s">
        <v>113</v>
      </c>
      <c r="G30" s="416" t="s">
        <v>114</v>
      </c>
      <c r="H30" s="352">
        <v>638055</v>
      </c>
      <c r="I30" s="353">
        <v>472530</v>
      </c>
      <c r="J30" s="353">
        <v>557400</v>
      </c>
      <c r="K30" s="353">
        <v>660000</v>
      </c>
      <c r="L30" s="353">
        <v>745000</v>
      </c>
      <c r="M30" s="353"/>
      <c r="N30" s="353"/>
      <c r="O30" s="353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580">
        <f>SUM(J36:AL37)</f>
        <v>1962400</v>
      </c>
    </row>
    <row r="31" spans="1:39" ht="12.75">
      <c r="A31" s="641"/>
      <c r="B31" s="644"/>
      <c r="C31" s="647"/>
      <c r="D31" s="650"/>
      <c r="E31" s="635"/>
      <c r="F31" s="583">
        <f>SUM(H36:AL36)</f>
        <v>3072985</v>
      </c>
      <c r="G31" s="417" t="s">
        <v>115</v>
      </c>
      <c r="H31" s="356"/>
      <c r="I31" s="357"/>
      <c r="J31" s="357"/>
      <c r="K31" s="357"/>
      <c r="L31" s="357"/>
      <c r="M31" s="357"/>
      <c r="N31" s="357"/>
      <c r="O31" s="357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581"/>
    </row>
    <row r="32" spans="1:39" ht="12.75">
      <c r="A32" s="641"/>
      <c r="B32" s="644"/>
      <c r="C32" s="647"/>
      <c r="D32" s="650"/>
      <c r="E32" s="635"/>
      <c r="F32" s="584"/>
      <c r="G32" s="417" t="s">
        <v>116</v>
      </c>
      <c r="H32" s="356"/>
      <c r="I32" s="357"/>
      <c r="J32" s="357"/>
      <c r="K32" s="357"/>
      <c r="L32" s="357"/>
      <c r="M32" s="357"/>
      <c r="N32" s="357"/>
      <c r="O32" s="357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581"/>
    </row>
    <row r="33" spans="1:39" ht="12.75">
      <c r="A33" s="641"/>
      <c r="B33" s="644"/>
      <c r="C33" s="647"/>
      <c r="D33" s="650"/>
      <c r="E33" s="636"/>
      <c r="F33" s="359" t="s">
        <v>117</v>
      </c>
      <c r="G33" s="417" t="s">
        <v>118</v>
      </c>
      <c r="H33" s="356"/>
      <c r="I33" s="357"/>
      <c r="J33" s="357"/>
      <c r="K33" s="357"/>
      <c r="L33" s="357"/>
      <c r="M33" s="357"/>
      <c r="N33" s="357"/>
      <c r="O33" s="357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581"/>
    </row>
    <row r="34" spans="1:39" ht="12.75">
      <c r="A34" s="641"/>
      <c r="B34" s="644"/>
      <c r="C34" s="647"/>
      <c r="D34" s="650"/>
      <c r="E34" s="638">
        <v>2015</v>
      </c>
      <c r="F34" s="583">
        <f>SUM(H37:AL37)</f>
        <v>0</v>
      </c>
      <c r="G34" s="417" t="s">
        <v>122</v>
      </c>
      <c r="H34" s="356"/>
      <c r="I34" s="357"/>
      <c r="J34" s="357"/>
      <c r="K34" s="357"/>
      <c r="L34" s="357"/>
      <c r="M34" s="357"/>
      <c r="N34" s="357"/>
      <c r="O34" s="357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581"/>
    </row>
    <row r="35" spans="1:39" ht="12.75">
      <c r="A35" s="641"/>
      <c r="B35" s="644"/>
      <c r="C35" s="647"/>
      <c r="D35" s="650"/>
      <c r="E35" s="635"/>
      <c r="F35" s="584"/>
      <c r="G35" s="417" t="s">
        <v>123</v>
      </c>
      <c r="H35" s="356"/>
      <c r="I35" s="357"/>
      <c r="J35" s="357"/>
      <c r="K35" s="357"/>
      <c r="L35" s="357"/>
      <c r="M35" s="357"/>
      <c r="N35" s="357"/>
      <c r="O35" s="357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581"/>
    </row>
    <row r="36" spans="1:39" ht="12.75">
      <c r="A36" s="641"/>
      <c r="B36" s="644"/>
      <c r="C36" s="647"/>
      <c r="D36" s="650"/>
      <c r="E36" s="635"/>
      <c r="F36" s="359" t="s">
        <v>121</v>
      </c>
      <c r="G36" s="417" t="s">
        <v>124</v>
      </c>
      <c r="H36" s="360">
        <f aca="true" t="shared" si="6" ref="H36:AL36">H30+H32+H34</f>
        <v>638055</v>
      </c>
      <c r="I36" s="361">
        <f t="shared" si="6"/>
        <v>472530</v>
      </c>
      <c r="J36" s="361">
        <f t="shared" si="6"/>
        <v>557400</v>
      </c>
      <c r="K36" s="361">
        <f t="shared" si="6"/>
        <v>660000</v>
      </c>
      <c r="L36" s="361">
        <f t="shared" si="6"/>
        <v>745000</v>
      </c>
      <c r="M36" s="361">
        <f t="shared" si="6"/>
        <v>0</v>
      </c>
      <c r="N36" s="361">
        <f t="shared" si="6"/>
        <v>0</v>
      </c>
      <c r="O36" s="361">
        <f t="shared" si="6"/>
        <v>0</v>
      </c>
      <c r="P36" s="361">
        <f t="shared" si="6"/>
        <v>0</v>
      </c>
      <c r="Q36" s="361">
        <f t="shared" si="6"/>
        <v>0</v>
      </c>
      <c r="R36" s="361">
        <f t="shared" si="6"/>
        <v>0</v>
      </c>
      <c r="S36" s="361">
        <f t="shared" si="6"/>
        <v>0</v>
      </c>
      <c r="T36" s="361">
        <f t="shared" si="6"/>
        <v>0</v>
      </c>
      <c r="U36" s="361">
        <f t="shared" si="6"/>
        <v>0</v>
      </c>
      <c r="V36" s="361">
        <f t="shared" si="6"/>
        <v>0</v>
      </c>
      <c r="W36" s="361">
        <f t="shared" si="6"/>
        <v>0</v>
      </c>
      <c r="X36" s="361">
        <f t="shared" si="6"/>
        <v>0</v>
      </c>
      <c r="Y36" s="361">
        <f t="shared" si="6"/>
        <v>0</v>
      </c>
      <c r="Z36" s="361">
        <f t="shared" si="6"/>
        <v>0</v>
      </c>
      <c r="AA36" s="361">
        <f t="shared" si="6"/>
        <v>0</v>
      </c>
      <c r="AB36" s="361">
        <f t="shared" si="6"/>
        <v>0</v>
      </c>
      <c r="AC36" s="361">
        <f t="shared" si="6"/>
        <v>0</v>
      </c>
      <c r="AD36" s="361">
        <f t="shared" si="6"/>
        <v>0</v>
      </c>
      <c r="AE36" s="361">
        <f t="shared" si="6"/>
        <v>0</v>
      </c>
      <c r="AF36" s="361">
        <f t="shared" si="6"/>
        <v>0</v>
      </c>
      <c r="AG36" s="361">
        <f t="shared" si="6"/>
        <v>0</v>
      </c>
      <c r="AH36" s="361">
        <f t="shared" si="6"/>
        <v>0</v>
      </c>
      <c r="AI36" s="361">
        <f t="shared" si="6"/>
        <v>0</v>
      </c>
      <c r="AJ36" s="361">
        <f t="shared" si="6"/>
        <v>0</v>
      </c>
      <c r="AK36" s="361">
        <f t="shared" si="6"/>
        <v>0</v>
      </c>
      <c r="AL36" s="361">
        <f t="shared" si="6"/>
        <v>0</v>
      </c>
      <c r="AM36" s="581"/>
    </row>
    <row r="37" spans="1:39" ht="13.5" thickBot="1">
      <c r="A37" s="642"/>
      <c r="B37" s="645"/>
      <c r="C37" s="648"/>
      <c r="D37" s="651"/>
      <c r="E37" s="639"/>
      <c r="F37" s="363">
        <f>F31+F34</f>
        <v>3072985</v>
      </c>
      <c r="G37" s="418" t="s">
        <v>125</v>
      </c>
      <c r="H37" s="365">
        <f aca="true" t="shared" si="7" ref="H37:AL37">H31+H33+H35</f>
        <v>0</v>
      </c>
      <c r="I37" s="366">
        <f t="shared" si="7"/>
        <v>0</v>
      </c>
      <c r="J37" s="366">
        <f t="shared" si="7"/>
        <v>0</v>
      </c>
      <c r="K37" s="366">
        <f t="shared" si="7"/>
        <v>0</v>
      </c>
      <c r="L37" s="366">
        <f t="shared" si="7"/>
        <v>0</v>
      </c>
      <c r="M37" s="366">
        <f t="shared" si="7"/>
        <v>0</v>
      </c>
      <c r="N37" s="366">
        <f t="shared" si="7"/>
        <v>0</v>
      </c>
      <c r="O37" s="366">
        <f t="shared" si="7"/>
        <v>0</v>
      </c>
      <c r="P37" s="366">
        <f t="shared" si="7"/>
        <v>0</v>
      </c>
      <c r="Q37" s="366">
        <f t="shared" si="7"/>
        <v>0</v>
      </c>
      <c r="R37" s="366">
        <f t="shared" si="7"/>
        <v>0</v>
      </c>
      <c r="S37" s="366">
        <f t="shared" si="7"/>
        <v>0</v>
      </c>
      <c r="T37" s="366">
        <f t="shared" si="7"/>
        <v>0</v>
      </c>
      <c r="U37" s="366">
        <f t="shared" si="7"/>
        <v>0</v>
      </c>
      <c r="V37" s="366">
        <f t="shared" si="7"/>
        <v>0</v>
      </c>
      <c r="W37" s="366">
        <f t="shared" si="7"/>
        <v>0</v>
      </c>
      <c r="X37" s="366">
        <f t="shared" si="7"/>
        <v>0</v>
      </c>
      <c r="Y37" s="366">
        <f t="shared" si="7"/>
        <v>0</v>
      </c>
      <c r="Z37" s="366">
        <f t="shared" si="7"/>
        <v>0</v>
      </c>
      <c r="AA37" s="366">
        <f t="shared" si="7"/>
        <v>0</v>
      </c>
      <c r="AB37" s="366">
        <f t="shared" si="7"/>
        <v>0</v>
      </c>
      <c r="AC37" s="366">
        <f t="shared" si="7"/>
        <v>0</v>
      </c>
      <c r="AD37" s="366">
        <f t="shared" si="7"/>
        <v>0</v>
      </c>
      <c r="AE37" s="366">
        <f t="shared" si="7"/>
        <v>0</v>
      </c>
      <c r="AF37" s="366">
        <f t="shared" si="7"/>
        <v>0</v>
      </c>
      <c r="AG37" s="366">
        <f t="shared" si="7"/>
        <v>0</v>
      </c>
      <c r="AH37" s="366">
        <f t="shared" si="7"/>
        <v>0</v>
      </c>
      <c r="AI37" s="366">
        <f t="shared" si="7"/>
        <v>0</v>
      </c>
      <c r="AJ37" s="366">
        <f t="shared" si="7"/>
        <v>0</v>
      </c>
      <c r="AK37" s="366">
        <f t="shared" si="7"/>
        <v>0</v>
      </c>
      <c r="AL37" s="366">
        <f t="shared" si="7"/>
        <v>0</v>
      </c>
      <c r="AM37" s="582"/>
    </row>
    <row r="38" spans="1:39" ht="12.75" customHeight="1">
      <c r="A38" s="640">
        <v>5</v>
      </c>
      <c r="B38" s="643" t="s">
        <v>239</v>
      </c>
      <c r="C38" s="646">
        <v>75495</v>
      </c>
      <c r="D38" s="649" t="s">
        <v>188</v>
      </c>
      <c r="E38" s="634">
        <v>2011</v>
      </c>
      <c r="F38" s="350" t="s">
        <v>113</v>
      </c>
      <c r="G38" s="416" t="s">
        <v>114</v>
      </c>
      <c r="H38" s="352">
        <v>68616</v>
      </c>
      <c r="I38" s="353">
        <v>60000</v>
      </c>
      <c r="J38" s="353">
        <v>63000</v>
      </c>
      <c r="K38" s="353">
        <v>64000</v>
      </c>
      <c r="L38" s="353">
        <v>65000</v>
      </c>
      <c r="M38" s="353"/>
      <c r="N38" s="353"/>
      <c r="O38" s="353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580">
        <f>SUM(J44:AL45)</f>
        <v>192000</v>
      </c>
    </row>
    <row r="39" spans="1:39" ht="12.75">
      <c r="A39" s="641"/>
      <c r="B39" s="644"/>
      <c r="C39" s="647"/>
      <c r="D39" s="650"/>
      <c r="E39" s="635"/>
      <c r="F39" s="583">
        <f>SUM(H44:AL44)</f>
        <v>320616</v>
      </c>
      <c r="G39" s="417" t="s">
        <v>115</v>
      </c>
      <c r="H39" s="356"/>
      <c r="I39" s="357"/>
      <c r="J39" s="357"/>
      <c r="K39" s="357"/>
      <c r="L39" s="357"/>
      <c r="M39" s="357"/>
      <c r="N39" s="357"/>
      <c r="O39" s="357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581"/>
    </row>
    <row r="40" spans="1:39" ht="12.75">
      <c r="A40" s="641"/>
      <c r="B40" s="644"/>
      <c r="C40" s="647"/>
      <c r="D40" s="650"/>
      <c r="E40" s="635"/>
      <c r="F40" s="584"/>
      <c r="G40" s="417" t="s">
        <v>116</v>
      </c>
      <c r="H40" s="356"/>
      <c r="I40" s="357"/>
      <c r="J40" s="357"/>
      <c r="K40" s="357"/>
      <c r="L40" s="357"/>
      <c r="M40" s="357"/>
      <c r="N40" s="357"/>
      <c r="O40" s="357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581"/>
    </row>
    <row r="41" spans="1:39" ht="12.75">
      <c r="A41" s="641"/>
      <c r="B41" s="644"/>
      <c r="C41" s="647"/>
      <c r="D41" s="650"/>
      <c r="E41" s="636"/>
      <c r="F41" s="359" t="s">
        <v>117</v>
      </c>
      <c r="G41" s="417" t="s">
        <v>118</v>
      </c>
      <c r="H41" s="356"/>
      <c r="I41" s="357"/>
      <c r="J41" s="357"/>
      <c r="K41" s="357"/>
      <c r="L41" s="357"/>
      <c r="M41" s="357"/>
      <c r="N41" s="357"/>
      <c r="O41" s="357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581"/>
    </row>
    <row r="42" spans="1:39" ht="12.75">
      <c r="A42" s="641"/>
      <c r="B42" s="644"/>
      <c r="C42" s="647"/>
      <c r="D42" s="650"/>
      <c r="E42" s="638">
        <v>2015</v>
      </c>
      <c r="F42" s="583">
        <f>SUM(H45:AL45)</f>
        <v>0</v>
      </c>
      <c r="G42" s="417" t="s">
        <v>122</v>
      </c>
      <c r="H42" s="356"/>
      <c r="I42" s="357"/>
      <c r="J42" s="357"/>
      <c r="K42" s="357"/>
      <c r="L42" s="357"/>
      <c r="M42" s="357"/>
      <c r="N42" s="357"/>
      <c r="O42" s="357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581"/>
    </row>
    <row r="43" spans="1:39" ht="12.75">
      <c r="A43" s="641"/>
      <c r="B43" s="644"/>
      <c r="C43" s="647"/>
      <c r="D43" s="650"/>
      <c r="E43" s="635"/>
      <c r="F43" s="584"/>
      <c r="G43" s="417" t="s">
        <v>123</v>
      </c>
      <c r="H43" s="356"/>
      <c r="I43" s="357"/>
      <c r="J43" s="357"/>
      <c r="K43" s="357"/>
      <c r="L43" s="357"/>
      <c r="M43" s="357"/>
      <c r="N43" s="357"/>
      <c r="O43" s="357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581"/>
    </row>
    <row r="44" spans="1:39" ht="12.75">
      <c r="A44" s="641"/>
      <c r="B44" s="644"/>
      <c r="C44" s="647"/>
      <c r="D44" s="650"/>
      <c r="E44" s="635"/>
      <c r="F44" s="359" t="s">
        <v>121</v>
      </c>
      <c r="G44" s="417" t="s">
        <v>124</v>
      </c>
      <c r="H44" s="360">
        <f aca="true" t="shared" si="8" ref="H44:AL44">H38+H40+H42</f>
        <v>68616</v>
      </c>
      <c r="I44" s="361">
        <f t="shared" si="8"/>
        <v>60000</v>
      </c>
      <c r="J44" s="361">
        <f t="shared" si="8"/>
        <v>63000</v>
      </c>
      <c r="K44" s="361">
        <f t="shared" si="8"/>
        <v>64000</v>
      </c>
      <c r="L44" s="361">
        <f t="shared" si="8"/>
        <v>65000</v>
      </c>
      <c r="M44" s="361">
        <f t="shared" si="8"/>
        <v>0</v>
      </c>
      <c r="N44" s="361">
        <f t="shared" si="8"/>
        <v>0</v>
      </c>
      <c r="O44" s="361">
        <f t="shared" si="8"/>
        <v>0</v>
      </c>
      <c r="P44" s="361">
        <f t="shared" si="8"/>
        <v>0</v>
      </c>
      <c r="Q44" s="361">
        <f t="shared" si="8"/>
        <v>0</v>
      </c>
      <c r="R44" s="361">
        <f t="shared" si="8"/>
        <v>0</v>
      </c>
      <c r="S44" s="361">
        <f t="shared" si="8"/>
        <v>0</v>
      </c>
      <c r="T44" s="361">
        <f t="shared" si="8"/>
        <v>0</v>
      </c>
      <c r="U44" s="361">
        <f t="shared" si="8"/>
        <v>0</v>
      </c>
      <c r="V44" s="361">
        <f t="shared" si="8"/>
        <v>0</v>
      </c>
      <c r="W44" s="361">
        <f t="shared" si="8"/>
        <v>0</v>
      </c>
      <c r="X44" s="361">
        <f t="shared" si="8"/>
        <v>0</v>
      </c>
      <c r="Y44" s="361">
        <f t="shared" si="8"/>
        <v>0</v>
      </c>
      <c r="Z44" s="361">
        <f t="shared" si="8"/>
        <v>0</v>
      </c>
      <c r="AA44" s="361">
        <f t="shared" si="8"/>
        <v>0</v>
      </c>
      <c r="AB44" s="361">
        <f t="shared" si="8"/>
        <v>0</v>
      </c>
      <c r="AC44" s="361">
        <f t="shared" si="8"/>
        <v>0</v>
      </c>
      <c r="AD44" s="361">
        <f t="shared" si="8"/>
        <v>0</v>
      </c>
      <c r="AE44" s="361">
        <f t="shared" si="8"/>
        <v>0</v>
      </c>
      <c r="AF44" s="361">
        <f t="shared" si="8"/>
        <v>0</v>
      </c>
      <c r="AG44" s="361">
        <f t="shared" si="8"/>
        <v>0</v>
      </c>
      <c r="AH44" s="361">
        <f t="shared" si="8"/>
        <v>0</v>
      </c>
      <c r="AI44" s="361">
        <f t="shared" si="8"/>
        <v>0</v>
      </c>
      <c r="AJ44" s="361">
        <f t="shared" si="8"/>
        <v>0</v>
      </c>
      <c r="AK44" s="361">
        <f t="shared" si="8"/>
        <v>0</v>
      </c>
      <c r="AL44" s="361">
        <f t="shared" si="8"/>
        <v>0</v>
      </c>
      <c r="AM44" s="581"/>
    </row>
    <row r="45" spans="1:39" ht="13.5" thickBot="1">
      <c r="A45" s="642"/>
      <c r="B45" s="645"/>
      <c r="C45" s="648"/>
      <c r="D45" s="650"/>
      <c r="E45" s="639"/>
      <c r="F45" s="363">
        <f>F39+F42</f>
        <v>320616</v>
      </c>
      <c r="G45" s="418" t="s">
        <v>125</v>
      </c>
      <c r="H45" s="365">
        <f aca="true" t="shared" si="9" ref="H45:AL45">H39+H41+H43</f>
        <v>0</v>
      </c>
      <c r="I45" s="366">
        <f t="shared" si="9"/>
        <v>0</v>
      </c>
      <c r="J45" s="366">
        <f t="shared" si="9"/>
        <v>0</v>
      </c>
      <c r="K45" s="366">
        <f t="shared" si="9"/>
        <v>0</v>
      </c>
      <c r="L45" s="366">
        <f t="shared" si="9"/>
        <v>0</v>
      </c>
      <c r="M45" s="366">
        <f t="shared" si="9"/>
        <v>0</v>
      </c>
      <c r="N45" s="366">
        <f t="shared" si="9"/>
        <v>0</v>
      </c>
      <c r="O45" s="366">
        <f t="shared" si="9"/>
        <v>0</v>
      </c>
      <c r="P45" s="366">
        <f t="shared" si="9"/>
        <v>0</v>
      </c>
      <c r="Q45" s="366">
        <f t="shared" si="9"/>
        <v>0</v>
      </c>
      <c r="R45" s="366">
        <f t="shared" si="9"/>
        <v>0</v>
      </c>
      <c r="S45" s="366">
        <f t="shared" si="9"/>
        <v>0</v>
      </c>
      <c r="T45" s="366">
        <f t="shared" si="9"/>
        <v>0</v>
      </c>
      <c r="U45" s="366">
        <f t="shared" si="9"/>
        <v>0</v>
      </c>
      <c r="V45" s="366">
        <f t="shared" si="9"/>
        <v>0</v>
      </c>
      <c r="W45" s="366">
        <f t="shared" si="9"/>
        <v>0</v>
      </c>
      <c r="X45" s="366">
        <f t="shared" si="9"/>
        <v>0</v>
      </c>
      <c r="Y45" s="366">
        <f t="shared" si="9"/>
        <v>0</v>
      </c>
      <c r="Z45" s="366">
        <f t="shared" si="9"/>
        <v>0</v>
      </c>
      <c r="AA45" s="366">
        <f t="shared" si="9"/>
        <v>0</v>
      </c>
      <c r="AB45" s="366">
        <f t="shared" si="9"/>
        <v>0</v>
      </c>
      <c r="AC45" s="366">
        <f t="shared" si="9"/>
        <v>0</v>
      </c>
      <c r="AD45" s="366">
        <f t="shared" si="9"/>
        <v>0</v>
      </c>
      <c r="AE45" s="366">
        <f t="shared" si="9"/>
        <v>0</v>
      </c>
      <c r="AF45" s="366">
        <f t="shared" si="9"/>
        <v>0</v>
      </c>
      <c r="AG45" s="366">
        <f t="shared" si="9"/>
        <v>0</v>
      </c>
      <c r="AH45" s="366">
        <f t="shared" si="9"/>
        <v>0</v>
      </c>
      <c r="AI45" s="366">
        <f t="shared" si="9"/>
        <v>0</v>
      </c>
      <c r="AJ45" s="366">
        <f t="shared" si="9"/>
        <v>0</v>
      </c>
      <c r="AK45" s="366">
        <f t="shared" si="9"/>
        <v>0</v>
      </c>
      <c r="AL45" s="366">
        <f t="shared" si="9"/>
        <v>0</v>
      </c>
      <c r="AM45" s="582"/>
    </row>
    <row r="46" spans="1:39" ht="12.75" customHeight="1">
      <c r="A46" s="640">
        <v>6</v>
      </c>
      <c r="B46" s="643" t="s">
        <v>240</v>
      </c>
      <c r="C46" s="646">
        <v>80195</v>
      </c>
      <c r="D46" s="649" t="s">
        <v>188</v>
      </c>
      <c r="E46" s="635">
        <v>2011</v>
      </c>
      <c r="F46" s="350" t="s">
        <v>113</v>
      </c>
      <c r="G46" s="419" t="s">
        <v>114</v>
      </c>
      <c r="H46" s="352">
        <v>27049</v>
      </c>
      <c r="I46" s="369">
        <v>115500</v>
      </c>
      <c r="J46" s="369">
        <v>115118</v>
      </c>
      <c r="K46" s="369"/>
      <c r="L46" s="369"/>
      <c r="M46" s="369"/>
      <c r="N46" s="369"/>
      <c r="O46" s="369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580">
        <f>SUM(J52:AL53)</f>
        <v>115118</v>
      </c>
    </row>
    <row r="47" spans="1:39" ht="12.75">
      <c r="A47" s="641"/>
      <c r="B47" s="644"/>
      <c r="C47" s="647"/>
      <c r="D47" s="650"/>
      <c r="E47" s="635"/>
      <c r="F47" s="583">
        <f>SUM(H52:AL52)</f>
        <v>257667</v>
      </c>
      <c r="G47" s="417" t="s">
        <v>115</v>
      </c>
      <c r="H47" s="356"/>
      <c r="I47" s="357"/>
      <c r="J47" s="357"/>
      <c r="K47" s="357"/>
      <c r="L47" s="357"/>
      <c r="M47" s="357"/>
      <c r="N47" s="357"/>
      <c r="O47" s="357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581"/>
    </row>
    <row r="48" spans="1:39" ht="12.75">
      <c r="A48" s="641"/>
      <c r="B48" s="644"/>
      <c r="C48" s="647"/>
      <c r="D48" s="650"/>
      <c r="E48" s="635"/>
      <c r="F48" s="584"/>
      <c r="G48" s="417" t="s">
        <v>116</v>
      </c>
      <c r="H48" s="356"/>
      <c r="I48" s="357"/>
      <c r="J48" s="357"/>
      <c r="K48" s="357"/>
      <c r="L48" s="357"/>
      <c r="M48" s="357"/>
      <c r="N48" s="357"/>
      <c r="O48" s="357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581"/>
    </row>
    <row r="49" spans="1:39" ht="12.75">
      <c r="A49" s="641"/>
      <c r="B49" s="644"/>
      <c r="C49" s="647"/>
      <c r="D49" s="650"/>
      <c r="E49" s="636"/>
      <c r="F49" s="359" t="s">
        <v>117</v>
      </c>
      <c r="G49" s="417" t="s">
        <v>118</v>
      </c>
      <c r="H49" s="356"/>
      <c r="I49" s="357"/>
      <c r="J49" s="357"/>
      <c r="K49" s="357"/>
      <c r="L49" s="357"/>
      <c r="M49" s="357"/>
      <c r="N49" s="357"/>
      <c r="O49" s="357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581"/>
    </row>
    <row r="50" spans="1:39" ht="12.75">
      <c r="A50" s="641"/>
      <c r="B50" s="644"/>
      <c r="C50" s="647"/>
      <c r="D50" s="650"/>
      <c r="E50" s="638">
        <v>2013</v>
      </c>
      <c r="F50" s="583">
        <f>SUM(H53:AL53)</f>
        <v>0</v>
      </c>
      <c r="G50" s="417" t="s">
        <v>122</v>
      </c>
      <c r="H50" s="356"/>
      <c r="I50" s="357"/>
      <c r="J50" s="357"/>
      <c r="K50" s="357"/>
      <c r="L50" s="357"/>
      <c r="M50" s="357"/>
      <c r="N50" s="357"/>
      <c r="O50" s="357"/>
      <c r="P50" s="358"/>
      <c r="Q50" s="358"/>
      <c r="R50" s="358"/>
      <c r="S50" s="358"/>
      <c r="T50" s="357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581"/>
    </row>
    <row r="51" spans="1:39" ht="12.75">
      <c r="A51" s="641"/>
      <c r="B51" s="644"/>
      <c r="C51" s="647"/>
      <c r="D51" s="650"/>
      <c r="E51" s="635"/>
      <c r="F51" s="584"/>
      <c r="G51" s="417" t="s">
        <v>123</v>
      </c>
      <c r="H51" s="356"/>
      <c r="I51" s="357"/>
      <c r="J51" s="357"/>
      <c r="K51" s="357"/>
      <c r="L51" s="357"/>
      <c r="M51" s="357"/>
      <c r="N51" s="357"/>
      <c r="O51" s="357"/>
      <c r="P51" s="358"/>
      <c r="Q51" s="358"/>
      <c r="R51" s="358"/>
      <c r="S51" s="358"/>
      <c r="T51" s="357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581"/>
    </row>
    <row r="52" spans="1:39" ht="12.75">
      <c r="A52" s="641"/>
      <c r="B52" s="644"/>
      <c r="C52" s="647"/>
      <c r="D52" s="650"/>
      <c r="E52" s="635"/>
      <c r="F52" s="359" t="s">
        <v>121</v>
      </c>
      <c r="G52" s="417" t="s">
        <v>124</v>
      </c>
      <c r="H52" s="360">
        <f aca="true" t="shared" si="10" ref="H52:AL52">H46+H48+H50</f>
        <v>27049</v>
      </c>
      <c r="I52" s="361">
        <f t="shared" si="10"/>
        <v>115500</v>
      </c>
      <c r="J52" s="361">
        <f t="shared" si="10"/>
        <v>115118</v>
      </c>
      <c r="K52" s="361">
        <f t="shared" si="10"/>
        <v>0</v>
      </c>
      <c r="L52" s="361">
        <f t="shared" si="10"/>
        <v>0</v>
      </c>
      <c r="M52" s="361">
        <f t="shared" si="10"/>
        <v>0</v>
      </c>
      <c r="N52" s="361">
        <f t="shared" si="10"/>
        <v>0</v>
      </c>
      <c r="O52" s="361">
        <f t="shared" si="10"/>
        <v>0</v>
      </c>
      <c r="P52" s="361">
        <f t="shared" si="10"/>
        <v>0</v>
      </c>
      <c r="Q52" s="361">
        <f t="shared" si="10"/>
        <v>0</v>
      </c>
      <c r="R52" s="361">
        <f t="shared" si="10"/>
        <v>0</v>
      </c>
      <c r="S52" s="361">
        <f t="shared" si="10"/>
        <v>0</v>
      </c>
      <c r="T52" s="361">
        <f t="shared" si="10"/>
        <v>0</v>
      </c>
      <c r="U52" s="361">
        <f t="shared" si="10"/>
        <v>0</v>
      </c>
      <c r="V52" s="361">
        <f t="shared" si="10"/>
        <v>0</v>
      </c>
      <c r="W52" s="361">
        <f t="shared" si="10"/>
        <v>0</v>
      </c>
      <c r="X52" s="361">
        <f t="shared" si="10"/>
        <v>0</v>
      </c>
      <c r="Y52" s="361">
        <f t="shared" si="10"/>
        <v>0</v>
      </c>
      <c r="Z52" s="361">
        <f t="shared" si="10"/>
        <v>0</v>
      </c>
      <c r="AA52" s="361">
        <f t="shared" si="10"/>
        <v>0</v>
      </c>
      <c r="AB52" s="361">
        <f t="shared" si="10"/>
        <v>0</v>
      </c>
      <c r="AC52" s="361">
        <f t="shared" si="10"/>
        <v>0</v>
      </c>
      <c r="AD52" s="361">
        <f t="shared" si="10"/>
        <v>0</v>
      </c>
      <c r="AE52" s="361">
        <f t="shared" si="10"/>
        <v>0</v>
      </c>
      <c r="AF52" s="361">
        <f t="shared" si="10"/>
        <v>0</v>
      </c>
      <c r="AG52" s="361">
        <f t="shared" si="10"/>
        <v>0</v>
      </c>
      <c r="AH52" s="361">
        <f t="shared" si="10"/>
        <v>0</v>
      </c>
      <c r="AI52" s="361">
        <f t="shared" si="10"/>
        <v>0</v>
      </c>
      <c r="AJ52" s="361">
        <f t="shared" si="10"/>
        <v>0</v>
      </c>
      <c r="AK52" s="361">
        <f t="shared" si="10"/>
        <v>0</v>
      </c>
      <c r="AL52" s="361">
        <f t="shared" si="10"/>
        <v>0</v>
      </c>
      <c r="AM52" s="581"/>
    </row>
    <row r="53" spans="1:39" ht="13.5" thickBot="1">
      <c r="A53" s="642"/>
      <c r="B53" s="645"/>
      <c r="C53" s="648"/>
      <c r="D53" s="650"/>
      <c r="E53" s="639"/>
      <c r="F53" s="363">
        <f>F47+F50</f>
        <v>257667</v>
      </c>
      <c r="G53" s="418" t="s">
        <v>125</v>
      </c>
      <c r="H53" s="365">
        <f aca="true" t="shared" si="11" ref="H53:AL53">H47+H49+H51</f>
        <v>0</v>
      </c>
      <c r="I53" s="366">
        <f t="shared" si="11"/>
        <v>0</v>
      </c>
      <c r="J53" s="366">
        <f t="shared" si="11"/>
        <v>0</v>
      </c>
      <c r="K53" s="366">
        <f t="shared" si="11"/>
        <v>0</v>
      </c>
      <c r="L53" s="366">
        <f t="shared" si="11"/>
        <v>0</v>
      </c>
      <c r="M53" s="366">
        <f t="shared" si="11"/>
        <v>0</v>
      </c>
      <c r="N53" s="366">
        <f t="shared" si="11"/>
        <v>0</v>
      </c>
      <c r="O53" s="366">
        <f t="shared" si="11"/>
        <v>0</v>
      </c>
      <c r="P53" s="366">
        <f t="shared" si="11"/>
        <v>0</v>
      </c>
      <c r="Q53" s="366">
        <f t="shared" si="11"/>
        <v>0</v>
      </c>
      <c r="R53" s="366">
        <f t="shared" si="11"/>
        <v>0</v>
      </c>
      <c r="S53" s="366">
        <f t="shared" si="11"/>
        <v>0</v>
      </c>
      <c r="T53" s="366">
        <f t="shared" si="11"/>
        <v>0</v>
      </c>
      <c r="U53" s="371">
        <f t="shared" si="11"/>
        <v>0</v>
      </c>
      <c r="V53" s="371">
        <f t="shared" si="11"/>
        <v>0</v>
      </c>
      <c r="W53" s="371">
        <f t="shared" si="11"/>
        <v>0</v>
      </c>
      <c r="X53" s="371">
        <f t="shared" si="11"/>
        <v>0</v>
      </c>
      <c r="Y53" s="371">
        <f t="shared" si="11"/>
        <v>0</v>
      </c>
      <c r="Z53" s="371">
        <f t="shared" si="11"/>
        <v>0</v>
      </c>
      <c r="AA53" s="371">
        <f t="shared" si="11"/>
        <v>0</v>
      </c>
      <c r="AB53" s="371">
        <f t="shared" si="11"/>
        <v>0</v>
      </c>
      <c r="AC53" s="371">
        <f t="shared" si="11"/>
        <v>0</v>
      </c>
      <c r="AD53" s="371">
        <f t="shared" si="11"/>
        <v>0</v>
      </c>
      <c r="AE53" s="371">
        <f t="shared" si="11"/>
        <v>0</v>
      </c>
      <c r="AF53" s="371">
        <f t="shared" si="11"/>
        <v>0</v>
      </c>
      <c r="AG53" s="371">
        <f t="shared" si="11"/>
        <v>0</v>
      </c>
      <c r="AH53" s="371">
        <f t="shared" si="11"/>
        <v>0</v>
      </c>
      <c r="AI53" s="371">
        <f t="shared" si="11"/>
        <v>0</v>
      </c>
      <c r="AJ53" s="371">
        <f t="shared" si="11"/>
        <v>0</v>
      </c>
      <c r="AK53" s="371">
        <f t="shared" si="11"/>
        <v>0</v>
      </c>
      <c r="AL53" s="371">
        <f t="shared" si="11"/>
        <v>0</v>
      </c>
      <c r="AM53" s="582"/>
    </row>
    <row r="54" spans="1:39" ht="12.75" customHeight="1">
      <c r="A54" s="640">
        <v>7</v>
      </c>
      <c r="B54" s="644" t="s">
        <v>241</v>
      </c>
      <c r="C54" s="647">
        <v>80195</v>
      </c>
      <c r="D54" s="649" t="s">
        <v>188</v>
      </c>
      <c r="E54" s="635"/>
      <c r="F54" s="374" t="s">
        <v>113</v>
      </c>
      <c r="G54" s="419" t="s">
        <v>114</v>
      </c>
      <c r="H54" s="375">
        <v>3000</v>
      </c>
      <c r="I54" s="369">
        <v>6000</v>
      </c>
      <c r="J54" s="369">
        <v>6000</v>
      </c>
      <c r="K54" s="369"/>
      <c r="L54" s="369"/>
      <c r="M54" s="369"/>
      <c r="N54" s="369"/>
      <c r="O54" s="369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580">
        <f>SUM(J60:AL61)</f>
        <v>6000</v>
      </c>
    </row>
    <row r="55" spans="1:39" ht="12.75">
      <c r="A55" s="641"/>
      <c r="B55" s="644"/>
      <c r="C55" s="647"/>
      <c r="D55" s="650"/>
      <c r="E55" s="635"/>
      <c r="F55" s="583">
        <f>SUM(H60:AL60)</f>
        <v>15000</v>
      </c>
      <c r="G55" s="417" t="s">
        <v>115</v>
      </c>
      <c r="H55" s="356"/>
      <c r="I55" s="357"/>
      <c r="J55" s="357"/>
      <c r="K55" s="357"/>
      <c r="L55" s="357"/>
      <c r="M55" s="357"/>
      <c r="N55" s="357"/>
      <c r="O55" s="357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581"/>
    </row>
    <row r="56" spans="1:39" ht="12.75">
      <c r="A56" s="641"/>
      <c r="B56" s="644"/>
      <c r="C56" s="647"/>
      <c r="D56" s="650"/>
      <c r="E56" s="635"/>
      <c r="F56" s="584"/>
      <c r="G56" s="417" t="s">
        <v>116</v>
      </c>
      <c r="H56" s="356"/>
      <c r="I56" s="357"/>
      <c r="J56" s="357"/>
      <c r="K56" s="357"/>
      <c r="L56" s="357"/>
      <c r="M56" s="357"/>
      <c r="N56" s="357"/>
      <c r="O56" s="357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581"/>
    </row>
    <row r="57" spans="1:39" ht="12.75">
      <c r="A57" s="641"/>
      <c r="B57" s="644"/>
      <c r="C57" s="647"/>
      <c r="D57" s="650"/>
      <c r="E57" s="636"/>
      <c r="F57" s="359" t="s">
        <v>117</v>
      </c>
      <c r="G57" s="417" t="s">
        <v>118</v>
      </c>
      <c r="H57" s="356"/>
      <c r="I57" s="357"/>
      <c r="J57" s="357"/>
      <c r="K57" s="357"/>
      <c r="L57" s="357"/>
      <c r="M57" s="357"/>
      <c r="N57" s="357"/>
      <c r="O57" s="357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581"/>
    </row>
    <row r="58" spans="1:39" ht="12.75">
      <c r="A58" s="641"/>
      <c r="B58" s="644"/>
      <c r="C58" s="647"/>
      <c r="D58" s="650"/>
      <c r="E58" s="638">
        <v>2013</v>
      </c>
      <c r="F58" s="583">
        <f>SUM(H61:AL61)</f>
        <v>0</v>
      </c>
      <c r="G58" s="417" t="s">
        <v>122</v>
      </c>
      <c r="H58" s="356"/>
      <c r="I58" s="357"/>
      <c r="J58" s="357"/>
      <c r="K58" s="357"/>
      <c r="L58" s="357"/>
      <c r="M58" s="357"/>
      <c r="N58" s="357"/>
      <c r="O58" s="357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581"/>
    </row>
    <row r="59" spans="1:39" ht="12.75">
      <c r="A59" s="641"/>
      <c r="B59" s="644"/>
      <c r="C59" s="647"/>
      <c r="D59" s="650"/>
      <c r="E59" s="635"/>
      <c r="F59" s="584"/>
      <c r="G59" s="417" t="s">
        <v>123</v>
      </c>
      <c r="H59" s="356"/>
      <c r="I59" s="357"/>
      <c r="J59" s="357"/>
      <c r="K59" s="357"/>
      <c r="L59" s="357"/>
      <c r="M59" s="357"/>
      <c r="N59" s="357"/>
      <c r="O59" s="357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581"/>
    </row>
    <row r="60" spans="1:39" ht="12.75">
      <c r="A60" s="641"/>
      <c r="B60" s="644"/>
      <c r="C60" s="647"/>
      <c r="D60" s="650"/>
      <c r="E60" s="635"/>
      <c r="F60" s="359" t="s">
        <v>121</v>
      </c>
      <c r="G60" s="417" t="s">
        <v>124</v>
      </c>
      <c r="H60" s="360">
        <f aca="true" t="shared" si="12" ref="H60:AL60">H54+H56+H58</f>
        <v>3000</v>
      </c>
      <c r="I60" s="361">
        <f t="shared" si="12"/>
        <v>6000</v>
      </c>
      <c r="J60" s="361">
        <f t="shared" si="12"/>
        <v>6000</v>
      </c>
      <c r="K60" s="361">
        <f t="shared" si="12"/>
        <v>0</v>
      </c>
      <c r="L60" s="361">
        <f t="shared" si="12"/>
        <v>0</v>
      </c>
      <c r="M60" s="361">
        <f t="shared" si="12"/>
        <v>0</v>
      </c>
      <c r="N60" s="361">
        <f t="shared" si="12"/>
        <v>0</v>
      </c>
      <c r="O60" s="361">
        <f t="shared" si="12"/>
        <v>0</v>
      </c>
      <c r="P60" s="361">
        <f t="shared" si="12"/>
        <v>0</v>
      </c>
      <c r="Q60" s="361">
        <f t="shared" si="12"/>
        <v>0</v>
      </c>
      <c r="R60" s="361">
        <f t="shared" si="12"/>
        <v>0</v>
      </c>
      <c r="S60" s="361">
        <f t="shared" si="12"/>
        <v>0</v>
      </c>
      <c r="T60" s="361">
        <f t="shared" si="12"/>
        <v>0</v>
      </c>
      <c r="U60" s="361">
        <f t="shared" si="12"/>
        <v>0</v>
      </c>
      <c r="V60" s="361">
        <f t="shared" si="12"/>
        <v>0</v>
      </c>
      <c r="W60" s="361">
        <f t="shared" si="12"/>
        <v>0</v>
      </c>
      <c r="X60" s="361">
        <f t="shared" si="12"/>
        <v>0</v>
      </c>
      <c r="Y60" s="361">
        <f t="shared" si="12"/>
        <v>0</v>
      </c>
      <c r="Z60" s="361">
        <f t="shared" si="12"/>
        <v>0</v>
      </c>
      <c r="AA60" s="361">
        <f t="shared" si="12"/>
        <v>0</v>
      </c>
      <c r="AB60" s="361">
        <f t="shared" si="12"/>
        <v>0</v>
      </c>
      <c r="AC60" s="361">
        <f t="shared" si="12"/>
        <v>0</v>
      </c>
      <c r="AD60" s="361">
        <f t="shared" si="12"/>
        <v>0</v>
      </c>
      <c r="AE60" s="361">
        <f t="shared" si="12"/>
        <v>0</v>
      </c>
      <c r="AF60" s="361">
        <f t="shared" si="12"/>
        <v>0</v>
      </c>
      <c r="AG60" s="361">
        <f t="shared" si="12"/>
        <v>0</v>
      </c>
      <c r="AH60" s="361">
        <f t="shared" si="12"/>
        <v>0</v>
      </c>
      <c r="AI60" s="361">
        <f t="shared" si="12"/>
        <v>0</v>
      </c>
      <c r="AJ60" s="361">
        <f t="shared" si="12"/>
        <v>0</v>
      </c>
      <c r="AK60" s="361">
        <f t="shared" si="12"/>
        <v>0</v>
      </c>
      <c r="AL60" s="361">
        <f t="shared" si="12"/>
        <v>0</v>
      </c>
      <c r="AM60" s="581"/>
    </row>
    <row r="61" spans="1:39" ht="13.5" thickBot="1">
      <c r="A61" s="642"/>
      <c r="B61" s="645"/>
      <c r="C61" s="648"/>
      <c r="D61" s="650"/>
      <c r="E61" s="639"/>
      <c r="F61" s="363">
        <f>F55+F58</f>
        <v>15000</v>
      </c>
      <c r="G61" s="418" t="s">
        <v>125</v>
      </c>
      <c r="H61" s="365">
        <f aca="true" t="shared" si="13" ref="H61:AL61">H55+H57+H59</f>
        <v>0</v>
      </c>
      <c r="I61" s="366">
        <f t="shared" si="13"/>
        <v>0</v>
      </c>
      <c r="J61" s="366">
        <f t="shared" si="13"/>
        <v>0</v>
      </c>
      <c r="K61" s="366">
        <f t="shared" si="13"/>
        <v>0</v>
      </c>
      <c r="L61" s="366">
        <f t="shared" si="13"/>
        <v>0</v>
      </c>
      <c r="M61" s="366">
        <f t="shared" si="13"/>
        <v>0</v>
      </c>
      <c r="N61" s="366">
        <f t="shared" si="13"/>
        <v>0</v>
      </c>
      <c r="O61" s="366">
        <f t="shared" si="13"/>
        <v>0</v>
      </c>
      <c r="P61" s="366">
        <f t="shared" si="13"/>
        <v>0</v>
      </c>
      <c r="Q61" s="366">
        <f t="shared" si="13"/>
        <v>0</v>
      </c>
      <c r="R61" s="366">
        <f t="shared" si="13"/>
        <v>0</v>
      </c>
      <c r="S61" s="366">
        <f t="shared" si="13"/>
        <v>0</v>
      </c>
      <c r="T61" s="366">
        <f t="shared" si="13"/>
        <v>0</v>
      </c>
      <c r="U61" s="366">
        <f t="shared" si="13"/>
        <v>0</v>
      </c>
      <c r="V61" s="366">
        <f t="shared" si="13"/>
        <v>0</v>
      </c>
      <c r="W61" s="366">
        <f t="shared" si="13"/>
        <v>0</v>
      </c>
      <c r="X61" s="366">
        <f t="shared" si="13"/>
        <v>0</v>
      </c>
      <c r="Y61" s="366">
        <f t="shared" si="13"/>
        <v>0</v>
      </c>
      <c r="Z61" s="366">
        <f t="shared" si="13"/>
        <v>0</v>
      </c>
      <c r="AA61" s="366">
        <f t="shared" si="13"/>
        <v>0</v>
      </c>
      <c r="AB61" s="366">
        <f t="shared" si="13"/>
        <v>0</v>
      </c>
      <c r="AC61" s="366">
        <f t="shared" si="13"/>
        <v>0</v>
      </c>
      <c r="AD61" s="366">
        <f t="shared" si="13"/>
        <v>0</v>
      </c>
      <c r="AE61" s="366">
        <f t="shared" si="13"/>
        <v>0</v>
      </c>
      <c r="AF61" s="366">
        <f t="shared" si="13"/>
        <v>0</v>
      </c>
      <c r="AG61" s="366">
        <f t="shared" si="13"/>
        <v>0</v>
      </c>
      <c r="AH61" s="366">
        <f t="shared" si="13"/>
        <v>0</v>
      </c>
      <c r="AI61" s="366">
        <f t="shared" si="13"/>
        <v>0</v>
      </c>
      <c r="AJ61" s="366">
        <f t="shared" si="13"/>
        <v>0</v>
      </c>
      <c r="AK61" s="366">
        <f t="shared" si="13"/>
        <v>0</v>
      </c>
      <c r="AL61" s="366">
        <f t="shared" si="13"/>
        <v>0</v>
      </c>
      <c r="AM61" s="582"/>
    </row>
    <row r="62" spans="1:39" ht="12.75" customHeight="1">
      <c r="A62" s="640">
        <v>8</v>
      </c>
      <c r="B62" s="643" t="s">
        <v>242</v>
      </c>
      <c r="C62" s="646">
        <v>85311</v>
      </c>
      <c r="D62" s="649" t="s">
        <v>188</v>
      </c>
      <c r="E62" s="634">
        <v>2011</v>
      </c>
      <c r="F62" s="350" t="s">
        <v>113</v>
      </c>
      <c r="G62" s="416" t="s">
        <v>114</v>
      </c>
      <c r="H62" s="352">
        <v>72000</v>
      </c>
      <c r="I62" s="353">
        <v>108000</v>
      </c>
      <c r="J62" s="353">
        <v>108000</v>
      </c>
      <c r="K62" s="353">
        <v>108000</v>
      </c>
      <c r="L62" s="353">
        <v>108000</v>
      </c>
      <c r="M62" s="353"/>
      <c r="N62" s="353"/>
      <c r="O62" s="353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580">
        <f>SUM(J68:AL69)</f>
        <v>324000</v>
      </c>
    </row>
    <row r="63" spans="1:39" ht="12.75">
      <c r="A63" s="641"/>
      <c r="B63" s="644"/>
      <c r="C63" s="647"/>
      <c r="D63" s="650"/>
      <c r="E63" s="635"/>
      <c r="F63" s="583">
        <f>SUM(H68:AL68)</f>
        <v>504000</v>
      </c>
      <c r="G63" s="417" t="s">
        <v>115</v>
      </c>
      <c r="H63" s="356"/>
      <c r="I63" s="357"/>
      <c r="J63" s="357"/>
      <c r="K63" s="357"/>
      <c r="L63" s="357"/>
      <c r="M63" s="357"/>
      <c r="N63" s="357"/>
      <c r="O63" s="357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581"/>
    </row>
    <row r="64" spans="1:39" ht="12.75">
      <c r="A64" s="641"/>
      <c r="B64" s="644"/>
      <c r="C64" s="647"/>
      <c r="D64" s="650"/>
      <c r="E64" s="635"/>
      <c r="F64" s="584"/>
      <c r="G64" s="417" t="s">
        <v>116</v>
      </c>
      <c r="H64" s="356"/>
      <c r="I64" s="357"/>
      <c r="J64" s="357"/>
      <c r="K64" s="357"/>
      <c r="L64" s="357"/>
      <c r="M64" s="357"/>
      <c r="N64" s="357"/>
      <c r="O64" s="357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581"/>
    </row>
    <row r="65" spans="1:39" ht="12.75">
      <c r="A65" s="641"/>
      <c r="B65" s="644"/>
      <c r="C65" s="647"/>
      <c r="D65" s="650"/>
      <c r="E65" s="636"/>
      <c r="F65" s="359" t="s">
        <v>117</v>
      </c>
      <c r="G65" s="417" t="s">
        <v>118</v>
      </c>
      <c r="H65" s="356"/>
      <c r="I65" s="357"/>
      <c r="J65" s="357"/>
      <c r="K65" s="357"/>
      <c r="L65" s="357"/>
      <c r="M65" s="357"/>
      <c r="N65" s="357"/>
      <c r="O65" s="357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581"/>
    </row>
    <row r="66" spans="1:39" ht="12.75">
      <c r="A66" s="641"/>
      <c r="B66" s="644"/>
      <c r="C66" s="647"/>
      <c r="D66" s="650"/>
      <c r="E66" s="638">
        <v>2015</v>
      </c>
      <c r="F66" s="583">
        <f>SUM(H69:AL69)</f>
        <v>0</v>
      </c>
      <c r="G66" s="417" t="s">
        <v>122</v>
      </c>
      <c r="H66" s="356"/>
      <c r="I66" s="357"/>
      <c r="J66" s="357"/>
      <c r="K66" s="357"/>
      <c r="L66" s="357"/>
      <c r="M66" s="357"/>
      <c r="N66" s="357"/>
      <c r="O66" s="357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8"/>
      <c r="AL66" s="358"/>
      <c r="AM66" s="581"/>
    </row>
    <row r="67" spans="1:39" ht="12.75">
      <c r="A67" s="641"/>
      <c r="B67" s="644"/>
      <c r="C67" s="647"/>
      <c r="D67" s="650"/>
      <c r="E67" s="635"/>
      <c r="F67" s="584"/>
      <c r="G67" s="417" t="s">
        <v>123</v>
      </c>
      <c r="H67" s="356"/>
      <c r="I67" s="357"/>
      <c r="J67" s="357"/>
      <c r="K67" s="357"/>
      <c r="L67" s="357"/>
      <c r="M67" s="357"/>
      <c r="N67" s="357"/>
      <c r="O67" s="357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581"/>
    </row>
    <row r="68" spans="1:39" ht="12.75">
      <c r="A68" s="641"/>
      <c r="B68" s="644"/>
      <c r="C68" s="647"/>
      <c r="D68" s="650"/>
      <c r="E68" s="635"/>
      <c r="F68" s="359" t="s">
        <v>121</v>
      </c>
      <c r="G68" s="417" t="s">
        <v>124</v>
      </c>
      <c r="H68" s="360">
        <f aca="true" t="shared" si="14" ref="H68:AL68">H62+H64+H66</f>
        <v>72000</v>
      </c>
      <c r="I68" s="361">
        <f t="shared" si="14"/>
        <v>108000</v>
      </c>
      <c r="J68" s="361">
        <f t="shared" si="14"/>
        <v>108000</v>
      </c>
      <c r="K68" s="361">
        <f t="shared" si="14"/>
        <v>108000</v>
      </c>
      <c r="L68" s="361">
        <f t="shared" si="14"/>
        <v>108000</v>
      </c>
      <c r="M68" s="361">
        <f t="shared" si="14"/>
        <v>0</v>
      </c>
      <c r="N68" s="361">
        <f t="shared" si="14"/>
        <v>0</v>
      </c>
      <c r="O68" s="361">
        <f t="shared" si="14"/>
        <v>0</v>
      </c>
      <c r="P68" s="361">
        <f t="shared" si="14"/>
        <v>0</v>
      </c>
      <c r="Q68" s="361">
        <f t="shared" si="14"/>
        <v>0</v>
      </c>
      <c r="R68" s="361">
        <f t="shared" si="14"/>
        <v>0</v>
      </c>
      <c r="S68" s="361">
        <f t="shared" si="14"/>
        <v>0</v>
      </c>
      <c r="T68" s="361">
        <f t="shared" si="14"/>
        <v>0</v>
      </c>
      <c r="U68" s="361">
        <f t="shared" si="14"/>
        <v>0</v>
      </c>
      <c r="V68" s="361">
        <f t="shared" si="14"/>
        <v>0</v>
      </c>
      <c r="W68" s="361">
        <f t="shared" si="14"/>
        <v>0</v>
      </c>
      <c r="X68" s="361">
        <f t="shared" si="14"/>
        <v>0</v>
      </c>
      <c r="Y68" s="361">
        <f t="shared" si="14"/>
        <v>0</v>
      </c>
      <c r="Z68" s="361">
        <f t="shared" si="14"/>
        <v>0</v>
      </c>
      <c r="AA68" s="361">
        <f t="shared" si="14"/>
        <v>0</v>
      </c>
      <c r="AB68" s="361">
        <f t="shared" si="14"/>
        <v>0</v>
      </c>
      <c r="AC68" s="361">
        <f t="shared" si="14"/>
        <v>0</v>
      </c>
      <c r="AD68" s="361">
        <f t="shared" si="14"/>
        <v>0</v>
      </c>
      <c r="AE68" s="361">
        <f t="shared" si="14"/>
        <v>0</v>
      </c>
      <c r="AF68" s="361">
        <f t="shared" si="14"/>
        <v>0</v>
      </c>
      <c r="AG68" s="361">
        <f t="shared" si="14"/>
        <v>0</v>
      </c>
      <c r="AH68" s="361">
        <f t="shared" si="14"/>
        <v>0</v>
      </c>
      <c r="AI68" s="361">
        <f t="shared" si="14"/>
        <v>0</v>
      </c>
      <c r="AJ68" s="361">
        <f t="shared" si="14"/>
        <v>0</v>
      </c>
      <c r="AK68" s="361">
        <f t="shared" si="14"/>
        <v>0</v>
      </c>
      <c r="AL68" s="361">
        <f t="shared" si="14"/>
        <v>0</v>
      </c>
      <c r="AM68" s="581"/>
    </row>
    <row r="69" spans="1:39" ht="13.5" thickBot="1">
      <c r="A69" s="642"/>
      <c r="B69" s="645"/>
      <c r="C69" s="648"/>
      <c r="D69" s="650"/>
      <c r="E69" s="639"/>
      <c r="F69" s="363">
        <f>F63+F66</f>
        <v>504000</v>
      </c>
      <c r="G69" s="418" t="s">
        <v>125</v>
      </c>
      <c r="H69" s="365">
        <f aca="true" t="shared" si="15" ref="H69:AL69">H63+H65+H67</f>
        <v>0</v>
      </c>
      <c r="I69" s="366">
        <f t="shared" si="15"/>
        <v>0</v>
      </c>
      <c r="J69" s="366">
        <f t="shared" si="15"/>
        <v>0</v>
      </c>
      <c r="K69" s="366">
        <f t="shared" si="15"/>
        <v>0</v>
      </c>
      <c r="L69" s="366">
        <f t="shared" si="15"/>
        <v>0</v>
      </c>
      <c r="M69" s="366">
        <f t="shared" si="15"/>
        <v>0</v>
      </c>
      <c r="N69" s="366">
        <f t="shared" si="15"/>
        <v>0</v>
      </c>
      <c r="O69" s="366">
        <f t="shared" si="15"/>
        <v>0</v>
      </c>
      <c r="P69" s="366">
        <f t="shared" si="15"/>
        <v>0</v>
      </c>
      <c r="Q69" s="366">
        <f t="shared" si="15"/>
        <v>0</v>
      </c>
      <c r="R69" s="366">
        <f t="shared" si="15"/>
        <v>0</v>
      </c>
      <c r="S69" s="366">
        <f t="shared" si="15"/>
        <v>0</v>
      </c>
      <c r="T69" s="366">
        <f t="shared" si="15"/>
        <v>0</v>
      </c>
      <c r="U69" s="366">
        <f t="shared" si="15"/>
        <v>0</v>
      </c>
      <c r="V69" s="366">
        <f t="shared" si="15"/>
        <v>0</v>
      </c>
      <c r="W69" s="366">
        <f t="shared" si="15"/>
        <v>0</v>
      </c>
      <c r="X69" s="366">
        <f t="shared" si="15"/>
        <v>0</v>
      </c>
      <c r="Y69" s="366">
        <f t="shared" si="15"/>
        <v>0</v>
      </c>
      <c r="Z69" s="366">
        <f t="shared" si="15"/>
        <v>0</v>
      </c>
      <c r="AA69" s="366">
        <f t="shared" si="15"/>
        <v>0</v>
      </c>
      <c r="AB69" s="366">
        <f t="shared" si="15"/>
        <v>0</v>
      </c>
      <c r="AC69" s="366">
        <f t="shared" si="15"/>
        <v>0</v>
      </c>
      <c r="AD69" s="366">
        <f t="shared" si="15"/>
        <v>0</v>
      </c>
      <c r="AE69" s="366">
        <f t="shared" si="15"/>
        <v>0</v>
      </c>
      <c r="AF69" s="366">
        <f t="shared" si="15"/>
        <v>0</v>
      </c>
      <c r="AG69" s="366">
        <f t="shared" si="15"/>
        <v>0</v>
      </c>
      <c r="AH69" s="366">
        <f t="shared" si="15"/>
        <v>0</v>
      </c>
      <c r="AI69" s="366">
        <f t="shared" si="15"/>
        <v>0</v>
      </c>
      <c r="AJ69" s="366">
        <f t="shared" si="15"/>
        <v>0</v>
      </c>
      <c r="AK69" s="366">
        <f t="shared" si="15"/>
        <v>0</v>
      </c>
      <c r="AL69" s="366">
        <f t="shared" si="15"/>
        <v>0</v>
      </c>
      <c r="AM69" s="582"/>
    </row>
    <row r="70" spans="1:39" ht="12.75" customHeight="1">
      <c r="A70" s="640">
        <v>9</v>
      </c>
      <c r="B70" s="643" t="s">
        <v>243</v>
      </c>
      <c r="C70" s="646">
        <v>85311</v>
      </c>
      <c r="D70" s="649" t="s">
        <v>188</v>
      </c>
      <c r="E70" s="634">
        <v>2011</v>
      </c>
      <c r="F70" s="350" t="s">
        <v>113</v>
      </c>
      <c r="G70" s="416" t="s">
        <v>114</v>
      </c>
      <c r="H70" s="352">
        <v>200000</v>
      </c>
      <c r="I70" s="353">
        <v>180000</v>
      </c>
      <c r="J70" s="353">
        <v>120000</v>
      </c>
      <c r="K70" s="353"/>
      <c r="L70" s="353"/>
      <c r="M70" s="353"/>
      <c r="N70" s="353"/>
      <c r="O70" s="353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580">
        <f>SUM(J76:AL77)</f>
        <v>120000</v>
      </c>
    </row>
    <row r="71" spans="1:39" ht="10.5" customHeight="1">
      <c r="A71" s="641"/>
      <c r="B71" s="644"/>
      <c r="C71" s="647"/>
      <c r="D71" s="650"/>
      <c r="E71" s="635"/>
      <c r="F71" s="583">
        <f>SUM(H76:AL76)</f>
        <v>500000</v>
      </c>
      <c r="G71" s="417" t="s">
        <v>115</v>
      </c>
      <c r="H71" s="356"/>
      <c r="I71" s="357"/>
      <c r="J71" s="357"/>
      <c r="K71" s="357"/>
      <c r="L71" s="357"/>
      <c r="M71" s="357"/>
      <c r="N71" s="357"/>
      <c r="O71" s="357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581"/>
    </row>
    <row r="72" spans="1:39" ht="12.75">
      <c r="A72" s="641"/>
      <c r="B72" s="644"/>
      <c r="C72" s="647"/>
      <c r="D72" s="650"/>
      <c r="E72" s="635"/>
      <c r="F72" s="584"/>
      <c r="G72" s="417" t="s">
        <v>116</v>
      </c>
      <c r="H72" s="356"/>
      <c r="I72" s="357"/>
      <c r="J72" s="357"/>
      <c r="K72" s="357"/>
      <c r="L72" s="357"/>
      <c r="M72" s="357"/>
      <c r="N72" s="357"/>
      <c r="O72" s="357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581"/>
    </row>
    <row r="73" spans="1:39" ht="12.75">
      <c r="A73" s="641"/>
      <c r="B73" s="644"/>
      <c r="C73" s="647"/>
      <c r="D73" s="650"/>
      <c r="E73" s="636"/>
      <c r="F73" s="359" t="s">
        <v>117</v>
      </c>
      <c r="G73" s="417" t="s">
        <v>118</v>
      </c>
      <c r="H73" s="356"/>
      <c r="I73" s="357"/>
      <c r="J73" s="357"/>
      <c r="K73" s="357"/>
      <c r="L73" s="357"/>
      <c r="M73" s="357"/>
      <c r="N73" s="357"/>
      <c r="O73" s="357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8"/>
      <c r="AD73" s="358"/>
      <c r="AE73" s="358"/>
      <c r="AF73" s="358"/>
      <c r="AG73" s="358"/>
      <c r="AH73" s="358"/>
      <c r="AI73" s="358"/>
      <c r="AJ73" s="358"/>
      <c r="AK73" s="358"/>
      <c r="AL73" s="358"/>
      <c r="AM73" s="581"/>
    </row>
    <row r="74" spans="1:39" ht="12.75">
      <c r="A74" s="641"/>
      <c r="B74" s="644"/>
      <c r="C74" s="647"/>
      <c r="D74" s="650"/>
      <c r="E74" s="638">
        <v>2013</v>
      </c>
      <c r="F74" s="583">
        <f>SUM(H77:AL77)</f>
        <v>0</v>
      </c>
      <c r="G74" s="417" t="s">
        <v>122</v>
      </c>
      <c r="H74" s="356"/>
      <c r="I74" s="357"/>
      <c r="J74" s="357"/>
      <c r="K74" s="357"/>
      <c r="L74" s="357"/>
      <c r="M74" s="357"/>
      <c r="N74" s="357"/>
      <c r="O74" s="357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581"/>
    </row>
    <row r="75" spans="1:39" ht="12.75">
      <c r="A75" s="641"/>
      <c r="B75" s="644"/>
      <c r="C75" s="647"/>
      <c r="D75" s="650"/>
      <c r="E75" s="635"/>
      <c r="F75" s="584"/>
      <c r="G75" s="417" t="s">
        <v>123</v>
      </c>
      <c r="H75" s="356"/>
      <c r="I75" s="357"/>
      <c r="J75" s="357"/>
      <c r="K75" s="357"/>
      <c r="L75" s="357"/>
      <c r="M75" s="357"/>
      <c r="N75" s="357"/>
      <c r="O75" s="357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581"/>
    </row>
    <row r="76" spans="1:39" ht="12.75">
      <c r="A76" s="641"/>
      <c r="B76" s="644"/>
      <c r="C76" s="647"/>
      <c r="D76" s="650"/>
      <c r="E76" s="635"/>
      <c r="F76" s="359" t="s">
        <v>121</v>
      </c>
      <c r="G76" s="417" t="s">
        <v>124</v>
      </c>
      <c r="H76" s="360">
        <f aca="true" t="shared" si="16" ref="H76:AL76">H70+H72+H74</f>
        <v>200000</v>
      </c>
      <c r="I76" s="361">
        <f t="shared" si="16"/>
        <v>180000</v>
      </c>
      <c r="J76" s="361">
        <f t="shared" si="16"/>
        <v>120000</v>
      </c>
      <c r="K76" s="361">
        <f t="shared" si="16"/>
        <v>0</v>
      </c>
      <c r="L76" s="361">
        <f t="shared" si="16"/>
        <v>0</v>
      </c>
      <c r="M76" s="361">
        <f t="shared" si="16"/>
        <v>0</v>
      </c>
      <c r="N76" s="361">
        <f t="shared" si="16"/>
        <v>0</v>
      </c>
      <c r="O76" s="361">
        <f t="shared" si="16"/>
        <v>0</v>
      </c>
      <c r="P76" s="361">
        <f t="shared" si="16"/>
        <v>0</v>
      </c>
      <c r="Q76" s="361">
        <f t="shared" si="16"/>
        <v>0</v>
      </c>
      <c r="R76" s="361">
        <f t="shared" si="16"/>
        <v>0</v>
      </c>
      <c r="S76" s="361">
        <f t="shared" si="16"/>
        <v>0</v>
      </c>
      <c r="T76" s="361">
        <f t="shared" si="16"/>
        <v>0</v>
      </c>
      <c r="U76" s="361">
        <f t="shared" si="16"/>
        <v>0</v>
      </c>
      <c r="V76" s="361">
        <f t="shared" si="16"/>
        <v>0</v>
      </c>
      <c r="W76" s="361">
        <f t="shared" si="16"/>
        <v>0</v>
      </c>
      <c r="X76" s="361">
        <f t="shared" si="16"/>
        <v>0</v>
      </c>
      <c r="Y76" s="361">
        <f t="shared" si="16"/>
        <v>0</v>
      </c>
      <c r="Z76" s="361">
        <f t="shared" si="16"/>
        <v>0</v>
      </c>
      <c r="AA76" s="361">
        <f t="shared" si="16"/>
        <v>0</v>
      </c>
      <c r="AB76" s="361">
        <f t="shared" si="16"/>
        <v>0</v>
      </c>
      <c r="AC76" s="361">
        <f t="shared" si="16"/>
        <v>0</v>
      </c>
      <c r="AD76" s="361">
        <f t="shared" si="16"/>
        <v>0</v>
      </c>
      <c r="AE76" s="361">
        <f t="shared" si="16"/>
        <v>0</v>
      </c>
      <c r="AF76" s="361">
        <f t="shared" si="16"/>
        <v>0</v>
      </c>
      <c r="AG76" s="361">
        <f t="shared" si="16"/>
        <v>0</v>
      </c>
      <c r="AH76" s="361">
        <f t="shared" si="16"/>
        <v>0</v>
      </c>
      <c r="AI76" s="361">
        <f t="shared" si="16"/>
        <v>0</v>
      </c>
      <c r="AJ76" s="361">
        <f t="shared" si="16"/>
        <v>0</v>
      </c>
      <c r="AK76" s="361">
        <f t="shared" si="16"/>
        <v>0</v>
      </c>
      <c r="AL76" s="361">
        <f t="shared" si="16"/>
        <v>0</v>
      </c>
      <c r="AM76" s="581"/>
    </row>
    <row r="77" spans="1:39" ht="13.5" thickBot="1">
      <c r="A77" s="642"/>
      <c r="B77" s="645"/>
      <c r="C77" s="648"/>
      <c r="D77" s="651"/>
      <c r="E77" s="639"/>
      <c r="F77" s="363">
        <f>F71+F74</f>
        <v>500000</v>
      </c>
      <c r="G77" s="418" t="s">
        <v>125</v>
      </c>
      <c r="H77" s="365">
        <f aca="true" t="shared" si="17" ref="H77:AL77">H71+H73+H75</f>
        <v>0</v>
      </c>
      <c r="I77" s="366">
        <f t="shared" si="17"/>
        <v>0</v>
      </c>
      <c r="J77" s="366">
        <f t="shared" si="17"/>
        <v>0</v>
      </c>
      <c r="K77" s="366">
        <f t="shared" si="17"/>
        <v>0</v>
      </c>
      <c r="L77" s="366">
        <f t="shared" si="17"/>
        <v>0</v>
      </c>
      <c r="M77" s="366">
        <f t="shared" si="17"/>
        <v>0</v>
      </c>
      <c r="N77" s="366">
        <f t="shared" si="17"/>
        <v>0</v>
      </c>
      <c r="O77" s="366">
        <f t="shared" si="17"/>
        <v>0</v>
      </c>
      <c r="P77" s="366">
        <f t="shared" si="17"/>
        <v>0</v>
      </c>
      <c r="Q77" s="366">
        <f t="shared" si="17"/>
        <v>0</v>
      </c>
      <c r="R77" s="366">
        <f t="shared" si="17"/>
        <v>0</v>
      </c>
      <c r="S77" s="366">
        <f t="shared" si="17"/>
        <v>0</v>
      </c>
      <c r="T77" s="366">
        <f t="shared" si="17"/>
        <v>0</v>
      </c>
      <c r="U77" s="366">
        <f t="shared" si="17"/>
        <v>0</v>
      </c>
      <c r="V77" s="366">
        <f t="shared" si="17"/>
        <v>0</v>
      </c>
      <c r="W77" s="366">
        <f t="shared" si="17"/>
        <v>0</v>
      </c>
      <c r="X77" s="366">
        <f t="shared" si="17"/>
        <v>0</v>
      </c>
      <c r="Y77" s="366">
        <f t="shared" si="17"/>
        <v>0</v>
      </c>
      <c r="Z77" s="366">
        <f t="shared" si="17"/>
        <v>0</v>
      </c>
      <c r="AA77" s="366">
        <f t="shared" si="17"/>
        <v>0</v>
      </c>
      <c r="AB77" s="366">
        <f t="shared" si="17"/>
        <v>0</v>
      </c>
      <c r="AC77" s="366">
        <f t="shared" si="17"/>
        <v>0</v>
      </c>
      <c r="AD77" s="366">
        <f t="shared" si="17"/>
        <v>0</v>
      </c>
      <c r="AE77" s="366">
        <f t="shared" si="17"/>
        <v>0</v>
      </c>
      <c r="AF77" s="366">
        <f t="shared" si="17"/>
        <v>0</v>
      </c>
      <c r="AG77" s="366">
        <f t="shared" si="17"/>
        <v>0</v>
      </c>
      <c r="AH77" s="366">
        <f t="shared" si="17"/>
        <v>0</v>
      </c>
      <c r="AI77" s="366">
        <f t="shared" si="17"/>
        <v>0</v>
      </c>
      <c r="AJ77" s="366">
        <f t="shared" si="17"/>
        <v>0</v>
      </c>
      <c r="AK77" s="366">
        <f t="shared" si="17"/>
        <v>0</v>
      </c>
      <c r="AL77" s="366">
        <f t="shared" si="17"/>
        <v>0</v>
      </c>
      <c r="AM77" s="582"/>
    </row>
    <row r="78" spans="1:39" ht="12.75" customHeight="1">
      <c r="A78" s="640">
        <v>10</v>
      </c>
      <c r="B78" s="643" t="s">
        <v>244</v>
      </c>
      <c r="C78" s="646">
        <v>92601</v>
      </c>
      <c r="D78" s="649" t="s">
        <v>226</v>
      </c>
      <c r="E78" s="634">
        <v>2011</v>
      </c>
      <c r="F78" s="350" t="s">
        <v>113</v>
      </c>
      <c r="G78" s="416" t="s">
        <v>114</v>
      </c>
      <c r="H78" s="352"/>
      <c r="I78" s="353">
        <v>20446</v>
      </c>
      <c r="J78" s="353">
        <v>5978</v>
      </c>
      <c r="K78" s="353">
        <v>5978</v>
      </c>
      <c r="L78" s="353">
        <v>5978</v>
      </c>
      <c r="M78" s="353"/>
      <c r="N78" s="353"/>
      <c r="O78" s="353"/>
      <c r="P78" s="354"/>
      <c r="Q78" s="354"/>
      <c r="R78" s="354"/>
      <c r="S78" s="354"/>
      <c r="T78" s="354"/>
      <c r="U78" s="354"/>
      <c r="V78" s="354"/>
      <c r="W78" s="354"/>
      <c r="X78" s="354"/>
      <c r="Y78" s="354"/>
      <c r="Z78" s="354"/>
      <c r="AA78" s="354"/>
      <c r="AB78" s="354"/>
      <c r="AC78" s="354"/>
      <c r="AD78" s="354"/>
      <c r="AE78" s="354"/>
      <c r="AF78" s="354"/>
      <c r="AG78" s="354"/>
      <c r="AH78" s="354"/>
      <c r="AI78" s="354"/>
      <c r="AJ78" s="354"/>
      <c r="AK78" s="354"/>
      <c r="AL78" s="354"/>
      <c r="AM78" s="580">
        <f>SUM(J84:AL85)</f>
        <v>17934</v>
      </c>
    </row>
    <row r="79" spans="1:39" ht="12.75">
      <c r="A79" s="641"/>
      <c r="B79" s="644"/>
      <c r="C79" s="647"/>
      <c r="D79" s="650"/>
      <c r="E79" s="635"/>
      <c r="F79" s="583">
        <f>SUM(H84:AL84)</f>
        <v>38380</v>
      </c>
      <c r="G79" s="417" t="s">
        <v>115</v>
      </c>
      <c r="H79" s="356"/>
      <c r="I79" s="357"/>
      <c r="J79" s="357"/>
      <c r="K79" s="357"/>
      <c r="L79" s="357"/>
      <c r="M79" s="357"/>
      <c r="N79" s="357"/>
      <c r="O79" s="357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K79" s="358"/>
      <c r="AL79" s="358"/>
      <c r="AM79" s="581"/>
    </row>
    <row r="80" spans="1:39" ht="12.75">
      <c r="A80" s="641"/>
      <c r="B80" s="644"/>
      <c r="C80" s="647"/>
      <c r="D80" s="650"/>
      <c r="E80" s="635"/>
      <c r="F80" s="584"/>
      <c r="G80" s="417" t="s">
        <v>116</v>
      </c>
      <c r="H80" s="356"/>
      <c r="I80" s="357"/>
      <c r="J80" s="357"/>
      <c r="K80" s="357"/>
      <c r="L80" s="357"/>
      <c r="M80" s="357"/>
      <c r="N80" s="357"/>
      <c r="O80" s="357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8"/>
      <c r="AK80" s="358"/>
      <c r="AL80" s="358"/>
      <c r="AM80" s="581"/>
    </row>
    <row r="81" spans="1:39" ht="12.75">
      <c r="A81" s="641"/>
      <c r="B81" s="644"/>
      <c r="C81" s="647"/>
      <c r="D81" s="650"/>
      <c r="E81" s="636"/>
      <c r="F81" s="359" t="s">
        <v>117</v>
      </c>
      <c r="G81" s="417" t="s">
        <v>118</v>
      </c>
      <c r="H81" s="356"/>
      <c r="I81" s="357"/>
      <c r="J81" s="357"/>
      <c r="K81" s="357"/>
      <c r="L81" s="357"/>
      <c r="M81" s="357"/>
      <c r="N81" s="357"/>
      <c r="O81" s="357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58"/>
      <c r="AL81" s="358"/>
      <c r="AM81" s="581"/>
    </row>
    <row r="82" spans="1:39" ht="12.75">
      <c r="A82" s="641"/>
      <c r="B82" s="644"/>
      <c r="C82" s="647"/>
      <c r="D82" s="650"/>
      <c r="E82" s="638">
        <v>2015</v>
      </c>
      <c r="F82" s="583">
        <f>SUM(H85:AL85)</f>
        <v>0</v>
      </c>
      <c r="G82" s="417" t="s">
        <v>122</v>
      </c>
      <c r="H82" s="356"/>
      <c r="I82" s="357"/>
      <c r="J82" s="357"/>
      <c r="K82" s="357"/>
      <c r="L82" s="357"/>
      <c r="M82" s="357"/>
      <c r="N82" s="357"/>
      <c r="O82" s="357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581"/>
    </row>
    <row r="83" spans="1:39" ht="12.75">
      <c r="A83" s="641"/>
      <c r="B83" s="644"/>
      <c r="C83" s="647"/>
      <c r="D83" s="650"/>
      <c r="E83" s="635"/>
      <c r="F83" s="584"/>
      <c r="G83" s="417" t="s">
        <v>123</v>
      </c>
      <c r="H83" s="356"/>
      <c r="I83" s="357"/>
      <c r="J83" s="357"/>
      <c r="K83" s="357"/>
      <c r="L83" s="357"/>
      <c r="M83" s="357"/>
      <c r="N83" s="357"/>
      <c r="O83" s="357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8"/>
      <c r="AD83" s="358"/>
      <c r="AE83" s="358"/>
      <c r="AF83" s="358"/>
      <c r="AG83" s="358"/>
      <c r="AH83" s="358"/>
      <c r="AI83" s="358"/>
      <c r="AJ83" s="358"/>
      <c r="AK83" s="358"/>
      <c r="AL83" s="358"/>
      <c r="AM83" s="581"/>
    </row>
    <row r="84" spans="1:39" ht="12.75">
      <c r="A84" s="641"/>
      <c r="B84" s="644"/>
      <c r="C84" s="647"/>
      <c r="D84" s="650"/>
      <c r="E84" s="635"/>
      <c r="F84" s="359" t="s">
        <v>121</v>
      </c>
      <c r="G84" s="417" t="s">
        <v>124</v>
      </c>
      <c r="H84" s="360">
        <f aca="true" t="shared" si="18" ref="H84:AL84">H78+H80+H82</f>
        <v>0</v>
      </c>
      <c r="I84" s="361">
        <f t="shared" si="18"/>
        <v>20446</v>
      </c>
      <c r="J84" s="361">
        <f t="shared" si="18"/>
        <v>5978</v>
      </c>
      <c r="K84" s="361">
        <f t="shared" si="18"/>
        <v>5978</v>
      </c>
      <c r="L84" s="361">
        <f t="shared" si="18"/>
        <v>5978</v>
      </c>
      <c r="M84" s="361">
        <f t="shared" si="18"/>
        <v>0</v>
      </c>
      <c r="N84" s="361">
        <f t="shared" si="18"/>
        <v>0</v>
      </c>
      <c r="O84" s="361">
        <f t="shared" si="18"/>
        <v>0</v>
      </c>
      <c r="P84" s="361">
        <f t="shared" si="18"/>
        <v>0</v>
      </c>
      <c r="Q84" s="361">
        <f t="shared" si="18"/>
        <v>0</v>
      </c>
      <c r="R84" s="361">
        <f t="shared" si="18"/>
        <v>0</v>
      </c>
      <c r="S84" s="361">
        <f t="shared" si="18"/>
        <v>0</v>
      </c>
      <c r="T84" s="361">
        <f t="shared" si="18"/>
        <v>0</v>
      </c>
      <c r="U84" s="361">
        <f t="shared" si="18"/>
        <v>0</v>
      </c>
      <c r="V84" s="361">
        <f t="shared" si="18"/>
        <v>0</v>
      </c>
      <c r="W84" s="361">
        <f t="shared" si="18"/>
        <v>0</v>
      </c>
      <c r="X84" s="361">
        <f t="shared" si="18"/>
        <v>0</v>
      </c>
      <c r="Y84" s="361">
        <f t="shared" si="18"/>
        <v>0</v>
      </c>
      <c r="Z84" s="361">
        <f t="shared" si="18"/>
        <v>0</v>
      </c>
      <c r="AA84" s="361">
        <f t="shared" si="18"/>
        <v>0</v>
      </c>
      <c r="AB84" s="361">
        <f t="shared" si="18"/>
        <v>0</v>
      </c>
      <c r="AC84" s="361">
        <f t="shared" si="18"/>
        <v>0</v>
      </c>
      <c r="AD84" s="361">
        <f t="shared" si="18"/>
        <v>0</v>
      </c>
      <c r="AE84" s="361">
        <f t="shared" si="18"/>
        <v>0</v>
      </c>
      <c r="AF84" s="361">
        <f t="shared" si="18"/>
        <v>0</v>
      </c>
      <c r="AG84" s="361">
        <f t="shared" si="18"/>
        <v>0</v>
      </c>
      <c r="AH84" s="361">
        <f t="shared" si="18"/>
        <v>0</v>
      </c>
      <c r="AI84" s="361">
        <f t="shared" si="18"/>
        <v>0</v>
      </c>
      <c r="AJ84" s="361">
        <f t="shared" si="18"/>
        <v>0</v>
      </c>
      <c r="AK84" s="361">
        <f t="shared" si="18"/>
        <v>0</v>
      </c>
      <c r="AL84" s="361">
        <f t="shared" si="18"/>
        <v>0</v>
      </c>
      <c r="AM84" s="581"/>
    </row>
    <row r="85" spans="1:39" ht="13.5" thickBot="1">
      <c r="A85" s="642"/>
      <c r="B85" s="645"/>
      <c r="C85" s="648"/>
      <c r="D85" s="650"/>
      <c r="E85" s="639"/>
      <c r="F85" s="363">
        <f>F79+F82</f>
        <v>38380</v>
      </c>
      <c r="G85" s="418" t="s">
        <v>125</v>
      </c>
      <c r="H85" s="365">
        <f aca="true" t="shared" si="19" ref="H85:AL85">H79+H81+H83</f>
        <v>0</v>
      </c>
      <c r="I85" s="366">
        <f t="shared" si="19"/>
        <v>0</v>
      </c>
      <c r="J85" s="366">
        <f t="shared" si="19"/>
        <v>0</v>
      </c>
      <c r="K85" s="366">
        <f t="shared" si="19"/>
        <v>0</v>
      </c>
      <c r="L85" s="366">
        <f t="shared" si="19"/>
        <v>0</v>
      </c>
      <c r="M85" s="366">
        <f t="shared" si="19"/>
        <v>0</v>
      </c>
      <c r="N85" s="366">
        <f t="shared" si="19"/>
        <v>0</v>
      </c>
      <c r="O85" s="366">
        <f t="shared" si="19"/>
        <v>0</v>
      </c>
      <c r="P85" s="366">
        <f t="shared" si="19"/>
        <v>0</v>
      </c>
      <c r="Q85" s="366">
        <f t="shared" si="19"/>
        <v>0</v>
      </c>
      <c r="R85" s="366">
        <f t="shared" si="19"/>
        <v>0</v>
      </c>
      <c r="S85" s="366">
        <f t="shared" si="19"/>
        <v>0</v>
      </c>
      <c r="T85" s="366">
        <f t="shared" si="19"/>
        <v>0</v>
      </c>
      <c r="U85" s="366">
        <f t="shared" si="19"/>
        <v>0</v>
      </c>
      <c r="V85" s="366">
        <f t="shared" si="19"/>
        <v>0</v>
      </c>
      <c r="W85" s="366">
        <f t="shared" si="19"/>
        <v>0</v>
      </c>
      <c r="X85" s="366">
        <f t="shared" si="19"/>
        <v>0</v>
      </c>
      <c r="Y85" s="366">
        <f t="shared" si="19"/>
        <v>0</v>
      </c>
      <c r="Z85" s="366">
        <f t="shared" si="19"/>
        <v>0</v>
      </c>
      <c r="AA85" s="366">
        <f t="shared" si="19"/>
        <v>0</v>
      </c>
      <c r="AB85" s="366">
        <f t="shared" si="19"/>
        <v>0</v>
      </c>
      <c r="AC85" s="366">
        <f t="shared" si="19"/>
        <v>0</v>
      </c>
      <c r="AD85" s="366">
        <f t="shared" si="19"/>
        <v>0</v>
      </c>
      <c r="AE85" s="366">
        <f t="shared" si="19"/>
        <v>0</v>
      </c>
      <c r="AF85" s="366">
        <f t="shared" si="19"/>
        <v>0</v>
      </c>
      <c r="AG85" s="366">
        <f t="shared" si="19"/>
        <v>0</v>
      </c>
      <c r="AH85" s="366">
        <f t="shared" si="19"/>
        <v>0</v>
      </c>
      <c r="AI85" s="366">
        <f t="shared" si="19"/>
        <v>0</v>
      </c>
      <c r="AJ85" s="366">
        <f t="shared" si="19"/>
        <v>0</v>
      </c>
      <c r="AK85" s="366">
        <f t="shared" si="19"/>
        <v>0</v>
      </c>
      <c r="AL85" s="366">
        <f t="shared" si="19"/>
        <v>0</v>
      </c>
      <c r="AM85" s="582"/>
    </row>
    <row r="86" spans="1:39" ht="12.75" customHeight="1">
      <c r="A86" s="640">
        <v>11</v>
      </c>
      <c r="B86" s="643" t="s">
        <v>245</v>
      </c>
      <c r="C86" s="646">
        <v>85195</v>
      </c>
      <c r="D86" s="649" t="s">
        <v>188</v>
      </c>
      <c r="E86" s="634">
        <v>2011</v>
      </c>
      <c r="F86" s="350" t="s">
        <v>113</v>
      </c>
      <c r="G86" s="416" t="s">
        <v>200</v>
      </c>
      <c r="H86" s="352">
        <v>55000</v>
      </c>
      <c r="I86" s="369">
        <v>56265</v>
      </c>
      <c r="J86" s="369">
        <v>57560</v>
      </c>
      <c r="K86" s="369"/>
      <c r="L86" s="369"/>
      <c r="M86" s="369"/>
      <c r="N86" s="369"/>
      <c r="O86" s="369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  <c r="AL86" s="370"/>
      <c r="AM86" s="580">
        <f>SUM(J92:AL93)</f>
        <v>57560</v>
      </c>
    </row>
    <row r="87" spans="1:39" ht="12.75">
      <c r="A87" s="641"/>
      <c r="B87" s="644"/>
      <c r="C87" s="647"/>
      <c r="D87" s="650"/>
      <c r="E87" s="635"/>
      <c r="F87" s="583">
        <f>SUM(H92:AL92)</f>
        <v>168825</v>
      </c>
      <c r="G87" s="417" t="s">
        <v>201</v>
      </c>
      <c r="H87" s="356"/>
      <c r="I87" s="357"/>
      <c r="J87" s="357"/>
      <c r="K87" s="357"/>
      <c r="L87" s="357"/>
      <c r="M87" s="357"/>
      <c r="N87" s="357"/>
      <c r="O87" s="357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8"/>
      <c r="AD87" s="358"/>
      <c r="AE87" s="358"/>
      <c r="AF87" s="358"/>
      <c r="AG87" s="358"/>
      <c r="AH87" s="358"/>
      <c r="AI87" s="358"/>
      <c r="AJ87" s="358"/>
      <c r="AK87" s="358"/>
      <c r="AL87" s="358"/>
      <c r="AM87" s="581"/>
    </row>
    <row r="88" spans="1:39" ht="12.75">
      <c r="A88" s="641"/>
      <c r="B88" s="644"/>
      <c r="C88" s="647"/>
      <c r="D88" s="650"/>
      <c r="E88" s="635"/>
      <c r="F88" s="584"/>
      <c r="G88" s="417" t="s">
        <v>116</v>
      </c>
      <c r="H88" s="356"/>
      <c r="I88" s="357"/>
      <c r="J88" s="357"/>
      <c r="K88" s="357"/>
      <c r="L88" s="357"/>
      <c r="M88" s="357"/>
      <c r="N88" s="357"/>
      <c r="O88" s="357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  <c r="AJ88" s="358"/>
      <c r="AK88" s="358"/>
      <c r="AL88" s="358"/>
      <c r="AM88" s="581"/>
    </row>
    <row r="89" spans="1:39" ht="12.75">
      <c r="A89" s="641"/>
      <c r="B89" s="644"/>
      <c r="C89" s="647"/>
      <c r="D89" s="650"/>
      <c r="E89" s="636"/>
      <c r="F89" s="359" t="s">
        <v>117</v>
      </c>
      <c r="G89" s="417" t="s">
        <v>118</v>
      </c>
      <c r="H89" s="356"/>
      <c r="I89" s="357"/>
      <c r="J89" s="357"/>
      <c r="K89" s="357"/>
      <c r="L89" s="357"/>
      <c r="M89" s="357"/>
      <c r="N89" s="357"/>
      <c r="O89" s="357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358"/>
      <c r="AG89" s="358"/>
      <c r="AH89" s="358"/>
      <c r="AI89" s="358"/>
      <c r="AJ89" s="358"/>
      <c r="AK89" s="358"/>
      <c r="AL89" s="358"/>
      <c r="AM89" s="581"/>
    </row>
    <row r="90" spans="1:39" ht="12.75">
      <c r="A90" s="641"/>
      <c r="B90" s="644"/>
      <c r="C90" s="647"/>
      <c r="D90" s="650"/>
      <c r="E90" s="638">
        <v>2013</v>
      </c>
      <c r="F90" s="583">
        <f>SUM(H93:AL93)</f>
        <v>0</v>
      </c>
      <c r="G90" s="417" t="s">
        <v>122</v>
      </c>
      <c r="H90" s="356"/>
      <c r="I90" s="357"/>
      <c r="J90" s="357"/>
      <c r="K90" s="357"/>
      <c r="L90" s="357"/>
      <c r="M90" s="357"/>
      <c r="N90" s="357"/>
      <c r="O90" s="357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358"/>
      <c r="AG90" s="358"/>
      <c r="AH90" s="358"/>
      <c r="AI90" s="358"/>
      <c r="AJ90" s="358"/>
      <c r="AK90" s="358"/>
      <c r="AL90" s="358"/>
      <c r="AM90" s="581"/>
    </row>
    <row r="91" spans="1:39" ht="12.75">
      <c r="A91" s="641"/>
      <c r="B91" s="644"/>
      <c r="C91" s="647"/>
      <c r="D91" s="650"/>
      <c r="E91" s="635"/>
      <c r="F91" s="584"/>
      <c r="G91" s="417" t="s">
        <v>123</v>
      </c>
      <c r="H91" s="356"/>
      <c r="I91" s="357"/>
      <c r="J91" s="357"/>
      <c r="K91" s="357"/>
      <c r="L91" s="357"/>
      <c r="M91" s="357"/>
      <c r="N91" s="357"/>
      <c r="O91" s="357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581"/>
    </row>
    <row r="92" spans="1:39" ht="12.75">
      <c r="A92" s="641"/>
      <c r="B92" s="644"/>
      <c r="C92" s="647"/>
      <c r="D92" s="650"/>
      <c r="E92" s="635"/>
      <c r="F92" s="359" t="s">
        <v>121</v>
      </c>
      <c r="G92" s="417" t="s">
        <v>124</v>
      </c>
      <c r="H92" s="360">
        <f aca="true" t="shared" si="20" ref="H92:AL92">H86+H88+H90</f>
        <v>55000</v>
      </c>
      <c r="I92" s="361">
        <f t="shared" si="20"/>
        <v>56265</v>
      </c>
      <c r="J92" s="361">
        <f t="shared" si="20"/>
        <v>57560</v>
      </c>
      <c r="K92" s="361">
        <f t="shared" si="20"/>
        <v>0</v>
      </c>
      <c r="L92" s="361">
        <f t="shared" si="20"/>
        <v>0</v>
      </c>
      <c r="M92" s="361">
        <f t="shared" si="20"/>
        <v>0</v>
      </c>
      <c r="N92" s="361">
        <f t="shared" si="20"/>
        <v>0</v>
      </c>
      <c r="O92" s="361">
        <f t="shared" si="20"/>
        <v>0</v>
      </c>
      <c r="P92" s="361">
        <f t="shared" si="20"/>
        <v>0</v>
      </c>
      <c r="Q92" s="361">
        <f t="shared" si="20"/>
        <v>0</v>
      </c>
      <c r="R92" s="361">
        <f t="shared" si="20"/>
        <v>0</v>
      </c>
      <c r="S92" s="361">
        <f t="shared" si="20"/>
        <v>0</v>
      </c>
      <c r="T92" s="361">
        <f t="shared" si="20"/>
        <v>0</v>
      </c>
      <c r="U92" s="361">
        <f t="shared" si="20"/>
        <v>0</v>
      </c>
      <c r="V92" s="361">
        <f t="shared" si="20"/>
        <v>0</v>
      </c>
      <c r="W92" s="361">
        <f t="shared" si="20"/>
        <v>0</v>
      </c>
      <c r="X92" s="361">
        <f t="shared" si="20"/>
        <v>0</v>
      </c>
      <c r="Y92" s="361">
        <f t="shared" si="20"/>
        <v>0</v>
      </c>
      <c r="Z92" s="361">
        <f t="shared" si="20"/>
        <v>0</v>
      </c>
      <c r="AA92" s="361">
        <f t="shared" si="20"/>
        <v>0</v>
      </c>
      <c r="AB92" s="361">
        <f t="shared" si="20"/>
        <v>0</v>
      </c>
      <c r="AC92" s="361">
        <f t="shared" si="20"/>
        <v>0</v>
      </c>
      <c r="AD92" s="361">
        <f t="shared" si="20"/>
        <v>0</v>
      </c>
      <c r="AE92" s="361">
        <f t="shared" si="20"/>
        <v>0</v>
      </c>
      <c r="AF92" s="361">
        <f t="shared" si="20"/>
        <v>0</v>
      </c>
      <c r="AG92" s="361">
        <f t="shared" si="20"/>
        <v>0</v>
      </c>
      <c r="AH92" s="361">
        <f t="shared" si="20"/>
        <v>0</v>
      </c>
      <c r="AI92" s="361">
        <f t="shared" si="20"/>
        <v>0</v>
      </c>
      <c r="AJ92" s="361">
        <f t="shared" si="20"/>
        <v>0</v>
      </c>
      <c r="AK92" s="361">
        <f t="shared" si="20"/>
        <v>0</v>
      </c>
      <c r="AL92" s="361">
        <f t="shared" si="20"/>
        <v>0</v>
      </c>
      <c r="AM92" s="581"/>
    </row>
    <row r="93" spans="1:39" ht="13.5" thickBot="1">
      <c r="A93" s="642"/>
      <c r="B93" s="644"/>
      <c r="C93" s="647"/>
      <c r="D93" s="650"/>
      <c r="E93" s="635"/>
      <c r="F93" s="363">
        <f>F87+F90</f>
        <v>168825</v>
      </c>
      <c r="G93" s="420" t="s">
        <v>125</v>
      </c>
      <c r="H93" s="365">
        <f aca="true" t="shared" si="21" ref="H93:AL93">H87+H89+H91</f>
        <v>0</v>
      </c>
      <c r="I93" s="371">
        <f t="shared" si="21"/>
        <v>0</v>
      </c>
      <c r="J93" s="371">
        <f t="shared" si="21"/>
        <v>0</v>
      </c>
      <c r="K93" s="371">
        <f t="shared" si="21"/>
        <v>0</v>
      </c>
      <c r="L93" s="371">
        <f t="shared" si="21"/>
        <v>0</v>
      </c>
      <c r="M93" s="371">
        <f t="shared" si="21"/>
        <v>0</v>
      </c>
      <c r="N93" s="371">
        <f t="shared" si="21"/>
        <v>0</v>
      </c>
      <c r="O93" s="371">
        <f t="shared" si="21"/>
        <v>0</v>
      </c>
      <c r="P93" s="371">
        <f t="shared" si="21"/>
        <v>0</v>
      </c>
      <c r="Q93" s="371">
        <f t="shared" si="21"/>
        <v>0</v>
      </c>
      <c r="R93" s="371">
        <f t="shared" si="21"/>
        <v>0</v>
      </c>
      <c r="S93" s="371">
        <f t="shared" si="21"/>
        <v>0</v>
      </c>
      <c r="T93" s="371">
        <f t="shared" si="21"/>
        <v>0</v>
      </c>
      <c r="U93" s="371">
        <f t="shared" si="21"/>
        <v>0</v>
      </c>
      <c r="V93" s="371">
        <f t="shared" si="21"/>
        <v>0</v>
      </c>
      <c r="W93" s="371">
        <f t="shared" si="21"/>
        <v>0</v>
      </c>
      <c r="X93" s="371">
        <f t="shared" si="21"/>
        <v>0</v>
      </c>
      <c r="Y93" s="371">
        <f t="shared" si="21"/>
        <v>0</v>
      </c>
      <c r="Z93" s="371">
        <f t="shared" si="21"/>
        <v>0</v>
      </c>
      <c r="AA93" s="371">
        <f t="shared" si="21"/>
        <v>0</v>
      </c>
      <c r="AB93" s="371">
        <f t="shared" si="21"/>
        <v>0</v>
      </c>
      <c r="AC93" s="371">
        <f t="shared" si="21"/>
        <v>0</v>
      </c>
      <c r="AD93" s="371">
        <f t="shared" si="21"/>
        <v>0</v>
      </c>
      <c r="AE93" s="371">
        <f t="shared" si="21"/>
        <v>0</v>
      </c>
      <c r="AF93" s="371">
        <f t="shared" si="21"/>
        <v>0</v>
      </c>
      <c r="AG93" s="371">
        <f t="shared" si="21"/>
        <v>0</v>
      </c>
      <c r="AH93" s="371">
        <f t="shared" si="21"/>
        <v>0</v>
      </c>
      <c r="AI93" s="371">
        <f t="shared" si="21"/>
        <v>0</v>
      </c>
      <c r="AJ93" s="371">
        <f t="shared" si="21"/>
        <v>0</v>
      </c>
      <c r="AK93" s="371">
        <f t="shared" si="21"/>
        <v>0</v>
      </c>
      <c r="AL93" s="371">
        <f t="shared" si="21"/>
        <v>0</v>
      </c>
      <c r="AM93" s="582"/>
    </row>
    <row r="94" spans="1:39" ht="12.75" customHeight="1">
      <c r="A94" s="640">
        <v>12</v>
      </c>
      <c r="B94" s="643" t="s">
        <v>246</v>
      </c>
      <c r="C94" s="646">
        <v>85195</v>
      </c>
      <c r="D94" s="649" t="s">
        <v>188</v>
      </c>
      <c r="E94" s="634">
        <v>2011</v>
      </c>
      <c r="F94" s="350" t="s">
        <v>113</v>
      </c>
      <c r="G94" s="416" t="s">
        <v>114</v>
      </c>
      <c r="H94" s="352">
        <v>125000</v>
      </c>
      <c r="I94" s="353">
        <v>127875</v>
      </c>
      <c r="J94" s="353">
        <v>130817</v>
      </c>
      <c r="K94" s="353"/>
      <c r="L94" s="353"/>
      <c r="M94" s="353"/>
      <c r="N94" s="353"/>
      <c r="O94" s="353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  <c r="AF94" s="354"/>
      <c r="AG94" s="354"/>
      <c r="AH94" s="354"/>
      <c r="AI94" s="354"/>
      <c r="AJ94" s="354"/>
      <c r="AK94" s="354"/>
      <c r="AL94" s="354"/>
      <c r="AM94" s="580">
        <f>SUM(J100:AL101)</f>
        <v>130817</v>
      </c>
    </row>
    <row r="95" spans="1:39" ht="12.75">
      <c r="A95" s="641"/>
      <c r="B95" s="644"/>
      <c r="C95" s="647"/>
      <c r="D95" s="650"/>
      <c r="E95" s="635"/>
      <c r="F95" s="583">
        <f>SUM(H100:AL100)</f>
        <v>383692</v>
      </c>
      <c r="G95" s="417" t="s">
        <v>115</v>
      </c>
      <c r="H95" s="356"/>
      <c r="I95" s="357"/>
      <c r="J95" s="357"/>
      <c r="K95" s="357"/>
      <c r="L95" s="357"/>
      <c r="M95" s="357"/>
      <c r="N95" s="357"/>
      <c r="O95" s="357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358"/>
      <c r="AC95" s="358"/>
      <c r="AD95" s="358"/>
      <c r="AE95" s="358"/>
      <c r="AF95" s="358"/>
      <c r="AG95" s="358"/>
      <c r="AH95" s="358"/>
      <c r="AI95" s="358"/>
      <c r="AJ95" s="358"/>
      <c r="AK95" s="358"/>
      <c r="AL95" s="358"/>
      <c r="AM95" s="581"/>
    </row>
    <row r="96" spans="1:39" ht="12.75">
      <c r="A96" s="641"/>
      <c r="B96" s="644"/>
      <c r="C96" s="647"/>
      <c r="D96" s="650"/>
      <c r="E96" s="635"/>
      <c r="F96" s="584"/>
      <c r="G96" s="417" t="s">
        <v>116</v>
      </c>
      <c r="H96" s="356"/>
      <c r="I96" s="357"/>
      <c r="J96" s="357"/>
      <c r="K96" s="357"/>
      <c r="L96" s="357"/>
      <c r="M96" s="357"/>
      <c r="N96" s="357"/>
      <c r="O96" s="357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8"/>
      <c r="AI96" s="358"/>
      <c r="AJ96" s="358"/>
      <c r="AK96" s="358"/>
      <c r="AL96" s="358"/>
      <c r="AM96" s="581"/>
    </row>
    <row r="97" spans="1:39" ht="12.75">
      <c r="A97" s="641"/>
      <c r="B97" s="644"/>
      <c r="C97" s="647"/>
      <c r="D97" s="650"/>
      <c r="E97" s="636"/>
      <c r="F97" s="359" t="s">
        <v>117</v>
      </c>
      <c r="G97" s="417" t="s">
        <v>118</v>
      </c>
      <c r="H97" s="356"/>
      <c r="I97" s="357"/>
      <c r="J97" s="357"/>
      <c r="K97" s="357"/>
      <c r="L97" s="357"/>
      <c r="M97" s="357"/>
      <c r="N97" s="357"/>
      <c r="O97" s="357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8"/>
      <c r="AD97" s="358"/>
      <c r="AE97" s="358"/>
      <c r="AF97" s="358"/>
      <c r="AG97" s="358"/>
      <c r="AH97" s="358"/>
      <c r="AI97" s="358"/>
      <c r="AJ97" s="358"/>
      <c r="AK97" s="358"/>
      <c r="AL97" s="358"/>
      <c r="AM97" s="581"/>
    </row>
    <row r="98" spans="1:39" ht="12.75">
      <c r="A98" s="641"/>
      <c r="B98" s="644"/>
      <c r="C98" s="647"/>
      <c r="D98" s="650"/>
      <c r="E98" s="638">
        <v>2013</v>
      </c>
      <c r="F98" s="583">
        <f>SUM(H101:AL101)</f>
        <v>0</v>
      </c>
      <c r="G98" s="417" t="s">
        <v>122</v>
      </c>
      <c r="H98" s="356"/>
      <c r="I98" s="357"/>
      <c r="J98" s="357"/>
      <c r="K98" s="357"/>
      <c r="L98" s="357"/>
      <c r="M98" s="357"/>
      <c r="N98" s="357"/>
      <c r="O98" s="357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  <c r="AA98" s="358"/>
      <c r="AB98" s="358"/>
      <c r="AC98" s="358"/>
      <c r="AD98" s="358"/>
      <c r="AE98" s="358"/>
      <c r="AF98" s="358"/>
      <c r="AG98" s="358"/>
      <c r="AH98" s="358"/>
      <c r="AI98" s="358"/>
      <c r="AJ98" s="358"/>
      <c r="AK98" s="358"/>
      <c r="AL98" s="358"/>
      <c r="AM98" s="581"/>
    </row>
    <row r="99" spans="1:39" ht="12.75">
      <c r="A99" s="641"/>
      <c r="B99" s="644"/>
      <c r="C99" s="647"/>
      <c r="D99" s="650"/>
      <c r="E99" s="635"/>
      <c r="F99" s="584"/>
      <c r="G99" s="417" t="s">
        <v>123</v>
      </c>
      <c r="H99" s="356"/>
      <c r="I99" s="357"/>
      <c r="J99" s="357"/>
      <c r="K99" s="357"/>
      <c r="L99" s="357"/>
      <c r="M99" s="357"/>
      <c r="N99" s="357"/>
      <c r="O99" s="357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  <c r="AJ99" s="358"/>
      <c r="AK99" s="358"/>
      <c r="AL99" s="358"/>
      <c r="AM99" s="581"/>
    </row>
    <row r="100" spans="1:39" ht="12.75">
      <c r="A100" s="641"/>
      <c r="B100" s="644"/>
      <c r="C100" s="647"/>
      <c r="D100" s="650"/>
      <c r="E100" s="635"/>
      <c r="F100" s="359" t="s">
        <v>121</v>
      </c>
      <c r="G100" s="417" t="s">
        <v>124</v>
      </c>
      <c r="H100" s="360">
        <f aca="true" t="shared" si="22" ref="H100:AL100">H94+H96+H98</f>
        <v>125000</v>
      </c>
      <c r="I100" s="361">
        <f t="shared" si="22"/>
        <v>127875</v>
      </c>
      <c r="J100" s="361">
        <f t="shared" si="22"/>
        <v>130817</v>
      </c>
      <c r="K100" s="361">
        <f t="shared" si="22"/>
        <v>0</v>
      </c>
      <c r="L100" s="361">
        <f t="shared" si="22"/>
        <v>0</v>
      </c>
      <c r="M100" s="361">
        <f t="shared" si="22"/>
        <v>0</v>
      </c>
      <c r="N100" s="361">
        <f t="shared" si="22"/>
        <v>0</v>
      </c>
      <c r="O100" s="361">
        <f t="shared" si="22"/>
        <v>0</v>
      </c>
      <c r="P100" s="361">
        <f t="shared" si="22"/>
        <v>0</v>
      </c>
      <c r="Q100" s="361">
        <f t="shared" si="22"/>
        <v>0</v>
      </c>
      <c r="R100" s="361">
        <f t="shared" si="22"/>
        <v>0</v>
      </c>
      <c r="S100" s="361">
        <f t="shared" si="22"/>
        <v>0</v>
      </c>
      <c r="T100" s="361">
        <f t="shared" si="22"/>
        <v>0</v>
      </c>
      <c r="U100" s="361">
        <f t="shared" si="22"/>
        <v>0</v>
      </c>
      <c r="V100" s="361">
        <f t="shared" si="22"/>
        <v>0</v>
      </c>
      <c r="W100" s="361">
        <f t="shared" si="22"/>
        <v>0</v>
      </c>
      <c r="X100" s="361">
        <f t="shared" si="22"/>
        <v>0</v>
      </c>
      <c r="Y100" s="361">
        <f t="shared" si="22"/>
        <v>0</v>
      </c>
      <c r="Z100" s="361">
        <f t="shared" si="22"/>
        <v>0</v>
      </c>
      <c r="AA100" s="361">
        <f t="shared" si="22"/>
        <v>0</v>
      </c>
      <c r="AB100" s="361">
        <f t="shared" si="22"/>
        <v>0</v>
      </c>
      <c r="AC100" s="361">
        <f t="shared" si="22"/>
        <v>0</v>
      </c>
      <c r="AD100" s="361">
        <f t="shared" si="22"/>
        <v>0</v>
      </c>
      <c r="AE100" s="361">
        <f t="shared" si="22"/>
        <v>0</v>
      </c>
      <c r="AF100" s="361">
        <f t="shared" si="22"/>
        <v>0</v>
      </c>
      <c r="AG100" s="361">
        <f t="shared" si="22"/>
        <v>0</v>
      </c>
      <c r="AH100" s="361">
        <f t="shared" si="22"/>
        <v>0</v>
      </c>
      <c r="AI100" s="361">
        <f t="shared" si="22"/>
        <v>0</v>
      </c>
      <c r="AJ100" s="361">
        <f t="shared" si="22"/>
        <v>0</v>
      </c>
      <c r="AK100" s="361">
        <f t="shared" si="22"/>
        <v>0</v>
      </c>
      <c r="AL100" s="361">
        <f t="shared" si="22"/>
        <v>0</v>
      </c>
      <c r="AM100" s="581"/>
    </row>
    <row r="101" spans="1:39" ht="13.5" thickBot="1">
      <c r="A101" s="642"/>
      <c r="B101" s="645"/>
      <c r="C101" s="647"/>
      <c r="D101" s="650"/>
      <c r="E101" s="635"/>
      <c r="F101" s="363">
        <f>F95+F98</f>
        <v>383692</v>
      </c>
      <c r="G101" s="418" t="s">
        <v>125</v>
      </c>
      <c r="H101" s="365">
        <f aca="true" t="shared" si="23" ref="H101:AL101">H95+H97+H99</f>
        <v>0</v>
      </c>
      <c r="I101" s="366">
        <f t="shared" si="23"/>
        <v>0</v>
      </c>
      <c r="J101" s="366">
        <f t="shared" si="23"/>
        <v>0</v>
      </c>
      <c r="K101" s="366">
        <f t="shared" si="23"/>
        <v>0</v>
      </c>
      <c r="L101" s="366">
        <f t="shared" si="23"/>
        <v>0</v>
      </c>
      <c r="M101" s="366">
        <f t="shared" si="23"/>
        <v>0</v>
      </c>
      <c r="N101" s="366">
        <f t="shared" si="23"/>
        <v>0</v>
      </c>
      <c r="O101" s="366">
        <f t="shared" si="23"/>
        <v>0</v>
      </c>
      <c r="P101" s="366">
        <f t="shared" si="23"/>
        <v>0</v>
      </c>
      <c r="Q101" s="366">
        <f t="shared" si="23"/>
        <v>0</v>
      </c>
      <c r="R101" s="366">
        <f t="shared" si="23"/>
        <v>0</v>
      </c>
      <c r="S101" s="366">
        <f t="shared" si="23"/>
        <v>0</v>
      </c>
      <c r="T101" s="366">
        <f t="shared" si="23"/>
        <v>0</v>
      </c>
      <c r="U101" s="366">
        <f t="shared" si="23"/>
        <v>0</v>
      </c>
      <c r="V101" s="366">
        <f t="shared" si="23"/>
        <v>0</v>
      </c>
      <c r="W101" s="366">
        <f t="shared" si="23"/>
        <v>0</v>
      </c>
      <c r="X101" s="366">
        <f t="shared" si="23"/>
        <v>0</v>
      </c>
      <c r="Y101" s="366">
        <f t="shared" si="23"/>
        <v>0</v>
      </c>
      <c r="Z101" s="366">
        <f t="shared" si="23"/>
        <v>0</v>
      </c>
      <c r="AA101" s="366">
        <f t="shared" si="23"/>
        <v>0</v>
      </c>
      <c r="AB101" s="366">
        <f t="shared" si="23"/>
        <v>0</v>
      </c>
      <c r="AC101" s="366">
        <f t="shared" si="23"/>
        <v>0</v>
      </c>
      <c r="AD101" s="366">
        <f t="shared" si="23"/>
        <v>0</v>
      </c>
      <c r="AE101" s="366">
        <f t="shared" si="23"/>
        <v>0</v>
      </c>
      <c r="AF101" s="366">
        <f t="shared" si="23"/>
        <v>0</v>
      </c>
      <c r="AG101" s="366">
        <f t="shared" si="23"/>
        <v>0</v>
      </c>
      <c r="AH101" s="366">
        <f t="shared" si="23"/>
        <v>0</v>
      </c>
      <c r="AI101" s="366">
        <f t="shared" si="23"/>
        <v>0</v>
      </c>
      <c r="AJ101" s="366">
        <f t="shared" si="23"/>
        <v>0</v>
      </c>
      <c r="AK101" s="366">
        <f t="shared" si="23"/>
        <v>0</v>
      </c>
      <c r="AL101" s="366">
        <f t="shared" si="23"/>
        <v>0</v>
      </c>
      <c r="AM101" s="582"/>
    </row>
    <row r="102" spans="1:39" ht="12.75" customHeight="1">
      <c r="A102" s="640">
        <v>13</v>
      </c>
      <c r="B102" s="643" t="s">
        <v>247</v>
      </c>
      <c r="C102" s="646">
        <v>85195</v>
      </c>
      <c r="D102" s="649" t="s">
        <v>188</v>
      </c>
      <c r="E102" s="634">
        <v>2011</v>
      </c>
      <c r="F102" s="350" t="s">
        <v>113</v>
      </c>
      <c r="G102" s="416" t="s">
        <v>114</v>
      </c>
      <c r="H102" s="352">
        <v>35000</v>
      </c>
      <c r="I102" s="353">
        <v>35805</v>
      </c>
      <c r="J102" s="353">
        <v>36630</v>
      </c>
      <c r="K102" s="353"/>
      <c r="L102" s="353"/>
      <c r="M102" s="353"/>
      <c r="N102" s="353"/>
      <c r="O102" s="353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580">
        <f>SUM(J108:AL109)</f>
        <v>36630</v>
      </c>
    </row>
    <row r="103" spans="1:39" ht="12.75">
      <c r="A103" s="641"/>
      <c r="B103" s="644"/>
      <c r="C103" s="647"/>
      <c r="D103" s="650"/>
      <c r="E103" s="635"/>
      <c r="F103" s="583">
        <f>SUM(H108:AL108)</f>
        <v>107435</v>
      </c>
      <c r="G103" s="417" t="s">
        <v>115</v>
      </c>
      <c r="H103" s="356"/>
      <c r="I103" s="357"/>
      <c r="J103" s="357"/>
      <c r="K103" s="357"/>
      <c r="L103" s="357"/>
      <c r="M103" s="357"/>
      <c r="N103" s="357"/>
      <c r="O103" s="357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581"/>
    </row>
    <row r="104" spans="1:39" ht="12.75">
      <c r="A104" s="641"/>
      <c r="B104" s="644"/>
      <c r="C104" s="647"/>
      <c r="D104" s="650"/>
      <c r="E104" s="635"/>
      <c r="F104" s="584"/>
      <c r="G104" s="417" t="s">
        <v>116</v>
      </c>
      <c r="H104" s="356"/>
      <c r="I104" s="357"/>
      <c r="J104" s="357"/>
      <c r="K104" s="357"/>
      <c r="L104" s="357"/>
      <c r="M104" s="357"/>
      <c r="N104" s="357"/>
      <c r="O104" s="357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  <c r="AA104" s="358"/>
      <c r="AB104" s="358"/>
      <c r="AC104" s="358"/>
      <c r="AD104" s="358"/>
      <c r="AE104" s="358"/>
      <c r="AF104" s="358"/>
      <c r="AG104" s="358"/>
      <c r="AH104" s="358"/>
      <c r="AI104" s="358"/>
      <c r="AJ104" s="358"/>
      <c r="AK104" s="358"/>
      <c r="AL104" s="358"/>
      <c r="AM104" s="581"/>
    </row>
    <row r="105" spans="1:39" ht="12.75">
      <c r="A105" s="641"/>
      <c r="B105" s="644"/>
      <c r="C105" s="647"/>
      <c r="D105" s="650"/>
      <c r="E105" s="636"/>
      <c r="F105" s="359" t="s">
        <v>117</v>
      </c>
      <c r="G105" s="417" t="s">
        <v>118</v>
      </c>
      <c r="H105" s="356"/>
      <c r="I105" s="357"/>
      <c r="J105" s="357"/>
      <c r="K105" s="357"/>
      <c r="L105" s="357"/>
      <c r="M105" s="357"/>
      <c r="N105" s="357"/>
      <c r="O105" s="357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581"/>
    </row>
    <row r="106" spans="1:39" ht="12.75">
      <c r="A106" s="641"/>
      <c r="B106" s="644"/>
      <c r="C106" s="647"/>
      <c r="D106" s="650"/>
      <c r="E106" s="638">
        <v>2013</v>
      </c>
      <c r="F106" s="583">
        <f>SUM(H109:AL109)</f>
        <v>0</v>
      </c>
      <c r="G106" s="417" t="s">
        <v>122</v>
      </c>
      <c r="H106" s="356"/>
      <c r="I106" s="357"/>
      <c r="J106" s="357"/>
      <c r="K106" s="357"/>
      <c r="L106" s="357"/>
      <c r="M106" s="357"/>
      <c r="N106" s="357"/>
      <c r="O106" s="357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58"/>
      <c r="AF106" s="358"/>
      <c r="AG106" s="358"/>
      <c r="AH106" s="358"/>
      <c r="AI106" s="358"/>
      <c r="AJ106" s="358"/>
      <c r="AK106" s="358"/>
      <c r="AL106" s="358"/>
      <c r="AM106" s="581"/>
    </row>
    <row r="107" spans="1:39" ht="12.75">
      <c r="A107" s="641"/>
      <c r="B107" s="644"/>
      <c r="C107" s="647"/>
      <c r="D107" s="650"/>
      <c r="E107" s="635"/>
      <c r="F107" s="584"/>
      <c r="G107" s="417" t="s">
        <v>123</v>
      </c>
      <c r="H107" s="356"/>
      <c r="I107" s="357"/>
      <c r="J107" s="357"/>
      <c r="K107" s="357"/>
      <c r="L107" s="357"/>
      <c r="M107" s="357"/>
      <c r="N107" s="357"/>
      <c r="O107" s="357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58"/>
      <c r="AF107" s="358"/>
      <c r="AG107" s="358"/>
      <c r="AH107" s="358"/>
      <c r="AI107" s="358"/>
      <c r="AJ107" s="358"/>
      <c r="AK107" s="358"/>
      <c r="AL107" s="358"/>
      <c r="AM107" s="581"/>
    </row>
    <row r="108" spans="1:39" ht="12.75">
      <c r="A108" s="641"/>
      <c r="B108" s="644"/>
      <c r="C108" s="647"/>
      <c r="D108" s="650"/>
      <c r="E108" s="635"/>
      <c r="F108" s="359" t="s">
        <v>121</v>
      </c>
      <c r="G108" s="417" t="s">
        <v>124</v>
      </c>
      <c r="H108" s="360">
        <f aca="true" t="shared" si="24" ref="H108:AL108">H102+H104+H106</f>
        <v>35000</v>
      </c>
      <c r="I108" s="361">
        <f t="shared" si="24"/>
        <v>35805</v>
      </c>
      <c r="J108" s="361">
        <f t="shared" si="24"/>
        <v>36630</v>
      </c>
      <c r="K108" s="361">
        <f t="shared" si="24"/>
        <v>0</v>
      </c>
      <c r="L108" s="361">
        <f t="shared" si="24"/>
        <v>0</v>
      </c>
      <c r="M108" s="361">
        <f t="shared" si="24"/>
        <v>0</v>
      </c>
      <c r="N108" s="361">
        <f t="shared" si="24"/>
        <v>0</v>
      </c>
      <c r="O108" s="361">
        <f t="shared" si="24"/>
        <v>0</v>
      </c>
      <c r="P108" s="361">
        <f t="shared" si="24"/>
        <v>0</v>
      </c>
      <c r="Q108" s="361">
        <f t="shared" si="24"/>
        <v>0</v>
      </c>
      <c r="R108" s="361">
        <f t="shared" si="24"/>
        <v>0</v>
      </c>
      <c r="S108" s="361">
        <f t="shared" si="24"/>
        <v>0</v>
      </c>
      <c r="T108" s="361">
        <f t="shared" si="24"/>
        <v>0</v>
      </c>
      <c r="U108" s="361">
        <f t="shared" si="24"/>
        <v>0</v>
      </c>
      <c r="V108" s="361">
        <f t="shared" si="24"/>
        <v>0</v>
      </c>
      <c r="W108" s="361">
        <f t="shared" si="24"/>
        <v>0</v>
      </c>
      <c r="X108" s="361">
        <f t="shared" si="24"/>
        <v>0</v>
      </c>
      <c r="Y108" s="361">
        <f t="shared" si="24"/>
        <v>0</v>
      </c>
      <c r="Z108" s="361">
        <f t="shared" si="24"/>
        <v>0</v>
      </c>
      <c r="AA108" s="361">
        <f t="shared" si="24"/>
        <v>0</v>
      </c>
      <c r="AB108" s="361">
        <f t="shared" si="24"/>
        <v>0</v>
      </c>
      <c r="AC108" s="361">
        <f t="shared" si="24"/>
        <v>0</v>
      </c>
      <c r="AD108" s="361">
        <f t="shared" si="24"/>
        <v>0</v>
      </c>
      <c r="AE108" s="361">
        <f t="shared" si="24"/>
        <v>0</v>
      </c>
      <c r="AF108" s="361">
        <f t="shared" si="24"/>
        <v>0</v>
      </c>
      <c r="AG108" s="361">
        <f t="shared" si="24"/>
        <v>0</v>
      </c>
      <c r="AH108" s="361">
        <f t="shared" si="24"/>
        <v>0</v>
      </c>
      <c r="AI108" s="361">
        <f t="shared" si="24"/>
        <v>0</v>
      </c>
      <c r="AJ108" s="361">
        <f t="shared" si="24"/>
        <v>0</v>
      </c>
      <c r="AK108" s="361">
        <f t="shared" si="24"/>
        <v>0</v>
      </c>
      <c r="AL108" s="361">
        <f t="shared" si="24"/>
        <v>0</v>
      </c>
      <c r="AM108" s="581"/>
    </row>
    <row r="109" spans="1:39" ht="13.5" thickBot="1">
      <c r="A109" s="642"/>
      <c r="B109" s="645"/>
      <c r="C109" s="647"/>
      <c r="D109" s="650"/>
      <c r="E109" s="635"/>
      <c r="F109" s="363">
        <f>F103+F106</f>
        <v>107435</v>
      </c>
      <c r="G109" s="418" t="s">
        <v>125</v>
      </c>
      <c r="H109" s="365">
        <f aca="true" t="shared" si="25" ref="H109:AL109">H103+H105+H107</f>
        <v>0</v>
      </c>
      <c r="I109" s="366">
        <f t="shared" si="25"/>
        <v>0</v>
      </c>
      <c r="J109" s="366">
        <f t="shared" si="25"/>
        <v>0</v>
      </c>
      <c r="K109" s="366">
        <f t="shared" si="25"/>
        <v>0</v>
      </c>
      <c r="L109" s="366">
        <f t="shared" si="25"/>
        <v>0</v>
      </c>
      <c r="M109" s="366">
        <f t="shared" si="25"/>
        <v>0</v>
      </c>
      <c r="N109" s="366">
        <f t="shared" si="25"/>
        <v>0</v>
      </c>
      <c r="O109" s="366">
        <f t="shared" si="25"/>
        <v>0</v>
      </c>
      <c r="P109" s="366">
        <f t="shared" si="25"/>
        <v>0</v>
      </c>
      <c r="Q109" s="366">
        <f t="shared" si="25"/>
        <v>0</v>
      </c>
      <c r="R109" s="366">
        <f t="shared" si="25"/>
        <v>0</v>
      </c>
      <c r="S109" s="366">
        <f t="shared" si="25"/>
        <v>0</v>
      </c>
      <c r="T109" s="366">
        <f t="shared" si="25"/>
        <v>0</v>
      </c>
      <c r="U109" s="366">
        <f t="shared" si="25"/>
        <v>0</v>
      </c>
      <c r="V109" s="366">
        <f t="shared" si="25"/>
        <v>0</v>
      </c>
      <c r="W109" s="366">
        <f t="shared" si="25"/>
        <v>0</v>
      </c>
      <c r="X109" s="366">
        <f t="shared" si="25"/>
        <v>0</v>
      </c>
      <c r="Y109" s="366">
        <f t="shared" si="25"/>
        <v>0</v>
      </c>
      <c r="Z109" s="366">
        <f t="shared" si="25"/>
        <v>0</v>
      </c>
      <c r="AA109" s="366">
        <f t="shared" si="25"/>
        <v>0</v>
      </c>
      <c r="AB109" s="366">
        <f t="shared" si="25"/>
        <v>0</v>
      </c>
      <c r="AC109" s="366">
        <f t="shared" si="25"/>
        <v>0</v>
      </c>
      <c r="AD109" s="366">
        <f t="shared" si="25"/>
        <v>0</v>
      </c>
      <c r="AE109" s="366">
        <f t="shared" si="25"/>
        <v>0</v>
      </c>
      <c r="AF109" s="366">
        <f t="shared" si="25"/>
        <v>0</v>
      </c>
      <c r="AG109" s="366">
        <f t="shared" si="25"/>
        <v>0</v>
      </c>
      <c r="AH109" s="366">
        <f t="shared" si="25"/>
        <v>0</v>
      </c>
      <c r="AI109" s="366">
        <f t="shared" si="25"/>
        <v>0</v>
      </c>
      <c r="AJ109" s="366">
        <f t="shared" si="25"/>
        <v>0</v>
      </c>
      <c r="AK109" s="366">
        <f t="shared" si="25"/>
        <v>0</v>
      </c>
      <c r="AL109" s="366">
        <f t="shared" si="25"/>
        <v>0</v>
      </c>
      <c r="AM109" s="582"/>
    </row>
    <row r="110" spans="1:39" ht="12.75" customHeight="1">
      <c r="A110" s="640">
        <v>14</v>
      </c>
      <c r="B110" s="643" t="s">
        <v>248</v>
      </c>
      <c r="C110" s="646">
        <v>90004</v>
      </c>
      <c r="D110" s="649" t="s">
        <v>188</v>
      </c>
      <c r="E110" s="634">
        <v>2010</v>
      </c>
      <c r="F110" s="350" t="s">
        <v>113</v>
      </c>
      <c r="G110" s="416" t="s">
        <v>114</v>
      </c>
      <c r="H110" s="352">
        <f>130694+735000</f>
        <v>865694</v>
      </c>
      <c r="I110" s="353">
        <f>15000</f>
        <v>15000</v>
      </c>
      <c r="J110" s="353">
        <f>20000</f>
        <v>20000</v>
      </c>
      <c r="K110" s="353"/>
      <c r="L110" s="353"/>
      <c r="M110" s="353"/>
      <c r="N110" s="353"/>
      <c r="O110" s="353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4"/>
      <c r="AB110" s="354"/>
      <c r="AC110" s="354"/>
      <c r="AD110" s="354"/>
      <c r="AE110" s="354"/>
      <c r="AF110" s="354"/>
      <c r="AG110" s="354"/>
      <c r="AH110" s="354"/>
      <c r="AI110" s="354"/>
      <c r="AJ110" s="354"/>
      <c r="AK110" s="354"/>
      <c r="AL110" s="354"/>
      <c r="AM110" s="580">
        <f>SUM(J116:AL117)</f>
        <v>20000</v>
      </c>
    </row>
    <row r="111" spans="1:39" ht="9.75" customHeight="1">
      <c r="A111" s="641"/>
      <c r="B111" s="644"/>
      <c r="C111" s="647"/>
      <c r="D111" s="650"/>
      <c r="E111" s="635"/>
      <c r="F111" s="583">
        <f>SUM(H116:AL116)</f>
        <v>900694</v>
      </c>
      <c r="G111" s="417" t="s">
        <v>115</v>
      </c>
      <c r="H111" s="356"/>
      <c r="I111" s="357"/>
      <c r="J111" s="357"/>
      <c r="K111" s="357"/>
      <c r="L111" s="357"/>
      <c r="M111" s="357"/>
      <c r="N111" s="357"/>
      <c r="O111" s="357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8"/>
      <c r="AD111" s="358"/>
      <c r="AE111" s="358"/>
      <c r="AF111" s="358"/>
      <c r="AG111" s="358"/>
      <c r="AH111" s="358"/>
      <c r="AI111" s="358"/>
      <c r="AJ111" s="358"/>
      <c r="AK111" s="358"/>
      <c r="AL111" s="358"/>
      <c r="AM111" s="581"/>
    </row>
    <row r="112" spans="1:39" ht="12.75">
      <c r="A112" s="641"/>
      <c r="B112" s="644"/>
      <c r="C112" s="647"/>
      <c r="D112" s="650"/>
      <c r="E112" s="635"/>
      <c r="F112" s="584"/>
      <c r="G112" s="417" t="s">
        <v>116</v>
      </c>
      <c r="H112" s="356"/>
      <c r="I112" s="357"/>
      <c r="J112" s="357"/>
      <c r="K112" s="357"/>
      <c r="L112" s="357"/>
      <c r="M112" s="357"/>
      <c r="N112" s="357"/>
      <c r="O112" s="357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  <c r="AJ112" s="358"/>
      <c r="AK112" s="358"/>
      <c r="AL112" s="358"/>
      <c r="AM112" s="581"/>
    </row>
    <row r="113" spans="1:39" ht="12.75">
      <c r="A113" s="641"/>
      <c r="B113" s="644"/>
      <c r="C113" s="647"/>
      <c r="D113" s="650"/>
      <c r="E113" s="636"/>
      <c r="F113" s="359" t="s">
        <v>117</v>
      </c>
      <c r="G113" s="417" t="s">
        <v>118</v>
      </c>
      <c r="H113" s="356"/>
      <c r="I113" s="357"/>
      <c r="J113" s="357"/>
      <c r="K113" s="357"/>
      <c r="L113" s="357"/>
      <c r="M113" s="357"/>
      <c r="N113" s="357"/>
      <c r="O113" s="357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8"/>
      <c r="AD113" s="358"/>
      <c r="AE113" s="358"/>
      <c r="AF113" s="358"/>
      <c r="AG113" s="358"/>
      <c r="AH113" s="358"/>
      <c r="AI113" s="358"/>
      <c r="AJ113" s="358"/>
      <c r="AK113" s="358"/>
      <c r="AL113" s="358"/>
      <c r="AM113" s="581"/>
    </row>
    <row r="114" spans="1:39" ht="12.75">
      <c r="A114" s="641"/>
      <c r="B114" s="644"/>
      <c r="C114" s="647"/>
      <c r="D114" s="650"/>
      <c r="E114" s="638">
        <v>2013</v>
      </c>
      <c r="F114" s="583">
        <f>SUM(H117:AL117)</f>
        <v>0</v>
      </c>
      <c r="G114" s="417" t="s">
        <v>122</v>
      </c>
      <c r="H114" s="356"/>
      <c r="I114" s="357"/>
      <c r="J114" s="357"/>
      <c r="K114" s="357"/>
      <c r="L114" s="357"/>
      <c r="M114" s="357"/>
      <c r="N114" s="357"/>
      <c r="O114" s="357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8"/>
      <c r="AM114" s="581"/>
    </row>
    <row r="115" spans="1:39" ht="12.75">
      <c r="A115" s="641"/>
      <c r="B115" s="644"/>
      <c r="C115" s="647"/>
      <c r="D115" s="650"/>
      <c r="E115" s="635"/>
      <c r="F115" s="584"/>
      <c r="G115" s="417" t="s">
        <v>123</v>
      </c>
      <c r="H115" s="356"/>
      <c r="I115" s="357"/>
      <c r="J115" s="357"/>
      <c r="K115" s="357"/>
      <c r="L115" s="357"/>
      <c r="M115" s="357"/>
      <c r="N115" s="357"/>
      <c r="O115" s="357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58"/>
      <c r="AL115" s="358"/>
      <c r="AM115" s="581"/>
    </row>
    <row r="116" spans="1:39" ht="12.75">
      <c r="A116" s="641"/>
      <c r="B116" s="644"/>
      <c r="C116" s="647"/>
      <c r="D116" s="650"/>
      <c r="E116" s="635"/>
      <c r="F116" s="359" t="s">
        <v>121</v>
      </c>
      <c r="G116" s="417" t="s">
        <v>124</v>
      </c>
      <c r="H116" s="360">
        <f aca="true" t="shared" si="26" ref="H116:AL116">H110+H112+H114</f>
        <v>865694</v>
      </c>
      <c r="I116" s="361">
        <f t="shared" si="26"/>
        <v>15000</v>
      </c>
      <c r="J116" s="361">
        <f t="shared" si="26"/>
        <v>20000</v>
      </c>
      <c r="K116" s="361">
        <f t="shared" si="26"/>
        <v>0</v>
      </c>
      <c r="L116" s="361">
        <f t="shared" si="26"/>
        <v>0</v>
      </c>
      <c r="M116" s="361">
        <f t="shared" si="26"/>
        <v>0</v>
      </c>
      <c r="N116" s="361">
        <f t="shared" si="26"/>
        <v>0</v>
      </c>
      <c r="O116" s="361">
        <f t="shared" si="26"/>
        <v>0</v>
      </c>
      <c r="P116" s="361">
        <f t="shared" si="26"/>
        <v>0</v>
      </c>
      <c r="Q116" s="361">
        <f t="shared" si="26"/>
        <v>0</v>
      </c>
      <c r="R116" s="361">
        <f t="shared" si="26"/>
        <v>0</v>
      </c>
      <c r="S116" s="361">
        <f t="shared" si="26"/>
        <v>0</v>
      </c>
      <c r="T116" s="361">
        <f t="shared" si="26"/>
        <v>0</v>
      </c>
      <c r="U116" s="361">
        <f t="shared" si="26"/>
        <v>0</v>
      </c>
      <c r="V116" s="361">
        <f t="shared" si="26"/>
        <v>0</v>
      </c>
      <c r="W116" s="361">
        <f t="shared" si="26"/>
        <v>0</v>
      </c>
      <c r="X116" s="361">
        <f t="shared" si="26"/>
        <v>0</v>
      </c>
      <c r="Y116" s="361">
        <f t="shared" si="26"/>
        <v>0</v>
      </c>
      <c r="Z116" s="361">
        <f t="shared" si="26"/>
        <v>0</v>
      </c>
      <c r="AA116" s="361">
        <f t="shared" si="26"/>
        <v>0</v>
      </c>
      <c r="AB116" s="361">
        <f t="shared" si="26"/>
        <v>0</v>
      </c>
      <c r="AC116" s="361">
        <f t="shared" si="26"/>
        <v>0</v>
      </c>
      <c r="AD116" s="361">
        <f t="shared" si="26"/>
        <v>0</v>
      </c>
      <c r="AE116" s="361">
        <f t="shared" si="26"/>
        <v>0</v>
      </c>
      <c r="AF116" s="361">
        <f t="shared" si="26"/>
        <v>0</v>
      </c>
      <c r="AG116" s="361">
        <f t="shared" si="26"/>
        <v>0</v>
      </c>
      <c r="AH116" s="361">
        <f t="shared" si="26"/>
        <v>0</v>
      </c>
      <c r="AI116" s="361">
        <f t="shared" si="26"/>
        <v>0</v>
      </c>
      <c r="AJ116" s="361">
        <f t="shared" si="26"/>
        <v>0</v>
      </c>
      <c r="AK116" s="361">
        <f t="shared" si="26"/>
        <v>0</v>
      </c>
      <c r="AL116" s="361">
        <f t="shared" si="26"/>
        <v>0</v>
      </c>
      <c r="AM116" s="581"/>
    </row>
    <row r="117" spans="1:39" ht="13.5" thickBot="1">
      <c r="A117" s="642"/>
      <c r="B117" s="645"/>
      <c r="C117" s="648"/>
      <c r="D117" s="651"/>
      <c r="E117" s="639"/>
      <c r="F117" s="363">
        <f>F111+F114</f>
        <v>900694</v>
      </c>
      <c r="G117" s="418" t="s">
        <v>125</v>
      </c>
      <c r="H117" s="365">
        <f aca="true" t="shared" si="27" ref="H117:AL117">H111+H113+H115</f>
        <v>0</v>
      </c>
      <c r="I117" s="366">
        <f t="shared" si="27"/>
        <v>0</v>
      </c>
      <c r="J117" s="366">
        <f t="shared" si="27"/>
        <v>0</v>
      </c>
      <c r="K117" s="366">
        <f t="shared" si="27"/>
        <v>0</v>
      </c>
      <c r="L117" s="366">
        <f t="shared" si="27"/>
        <v>0</v>
      </c>
      <c r="M117" s="366">
        <f t="shared" si="27"/>
        <v>0</v>
      </c>
      <c r="N117" s="366">
        <f t="shared" si="27"/>
        <v>0</v>
      </c>
      <c r="O117" s="366">
        <f t="shared" si="27"/>
        <v>0</v>
      </c>
      <c r="P117" s="366">
        <f t="shared" si="27"/>
        <v>0</v>
      </c>
      <c r="Q117" s="366">
        <f t="shared" si="27"/>
        <v>0</v>
      </c>
      <c r="R117" s="366">
        <f t="shared" si="27"/>
        <v>0</v>
      </c>
      <c r="S117" s="366">
        <f t="shared" si="27"/>
        <v>0</v>
      </c>
      <c r="T117" s="366">
        <f t="shared" si="27"/>
        <v>0</v>
      </c>
      <c r="U117" s="366">
        <f t="shared" si="27"/>
        <v>0</v>
      </c>
      <c r="V117" s="366">
        <f t="shared" si="27"/>
        <v>0</v>
      </c>
      <c r="W117" s="366">
        <f t="shared" si="27"/>
        <v>0</v>
      </c>
      <c r="X117" s="366">
        <f t="shared" si="27"/>
        <v>0</v>
      </c>
      <c r="Y117" s="366">
        <f t="shared" si="27"/>
        <v>0</v>
      </c>
      <c r="Z117" s="366">
        <f t="shared" si="27"/>
        <v>0</v>
      </c>
      <c r="AA117" s="366">
        <f t="shared" si="27"/>
        <v>0</v>
      </c>
      <c r="AB117" s="366">
        <f t="shared" si="27"/>
        <v>0</v>
      </c>
      <c r="AC117" s="366">
        <f t="shared" si="27"/>
        <v>0</v>
      </c>
      <c r="AD117" s="366">
        <f t="shared" si="27"/>
        <v>0</v>
      </c>
      <c r="AE117" s="366">
        <f t="shared" si="27"/>
        <v>0</v>
      </c>
      <c r="AF117" s="366">
        <f t="shared" si="27"/>
        <v>0</v>
      </c>
      <c r="AG117" s="366">
        <f t="shared" si="27"/>
        <v>0</v>
      </c>
      <c r="AH117" s="366">
        <f t="shared" si="27"/>
        <v>0</v>
      </c>
      <c r="AI117" s="366">
        <f t="shared" si="27"/>
        <v>0</v>
      </c>
      <c r="AJ117" s="366">
        <f t="shared" si="27"/>
        <v>0</v>
      </c>
      <c r="AK117" s="366">
        <f t="shared" si="27"/>
        <v>0</v>
      </c>
      <c r="AL117" s="366">
        <f t="shared" si="27"/>
        <v>0</v>
      </c>
      <c r="AM117" s="582"/>
    </row>
    <row r="118" spans="1:39" ht="12.75" customHeight="1">
      <c r="A118" s="640">
        <v>15</v>
      </c>
      <c r="B118" s="644" t="s">
        <v>249</v>
      </c>
      <c r="C118" s="647">
        <v>90004</v>
      </c>
      <c r="D118" s="649" t="s">
        <v>188</v>
      </c>
      <c r="E118" s="635">
        <v>2009</v>
      </c>
      <c r="F118" s="350" t="s">
        <v>113</v>
      </c>
      <c r="G118" s="419" t="s">
        <v>114</v>
      </c>
      <c r="H118" s="352">
        <f>1008161+102526</f>
        <v>1110687</v>
      </c>
      <c r="I118" s="369">
        <v>200000</v>
      </c>
      <c r="J118" s="369">
        <v>70000</v>
      </c>
      <c r="K118" s="369"/>
      <c r="L118" s="369"/>
      <c r="M118" s="369"/>
      <c r="N118" s="369"/>
      <c r="O118" s="369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580">
        <f>SUM(J124:AL125)</f>
        <v>70000</v>
      </c>
    </row>
    <row r="119" spans="1:39" ht="12.75">
      <c r="A119" s="641"/>
      <c r="B119" s="644"/>
      <c r="C119" s="647"/>
      <c r="D119" s="650"/>
      <c r="E119" s="635"/>
      <c r="F119" s="583">
        <f>SUM(H124:AL124)</f>
        <v>1380687</v>
      </c>
      <c r="G119" s="417" t="s">
        <v>115</v>
      </c>
      <c r="H119" s="356"/>
      <c r="I119" s="357"/>
      <c r="J119" s="357"/>
      <c r="K119" s="357"/>
      <c r="L119" s="357"/>
      <c r="M119" s="357"/>
      <c r="N119" s="357"/>
      <c r="O119" s="357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58"/>
      <c r="AC119" s="358"/>
      <c r="AD119" s="358"/>
      <c r="AE119" s="358"/>
      <c r="AF119" s="358"/>
      <c r="AG119" s="358"/>
      <c r="AH119" s="358"/>
      <c r="AI119" s="358"/>
      <c r="AJ119" s="358"/>
      <c r="AK119" s="358"/>
      <c r="AL119" s="358"/>
      <c r="AM119" s="581"/>
    </row>
    <row r="120" spans="1:39" ht="12.75">
      <c r="A120" s="641"/>
      <c r="B120" s="644"/>
      <c r="C120" s="647"/>
      <c r="D120" s="650"/>
      <c r="E120" s="635"/>
      <c r="F120" s="584"/>
      <c r="G120" s="417" t="s">
        <v>116</v>
      </c>
      <c r="H120" s="356"/>
      <c r="I120" s="357"/>
      <c r="J120" s="357"/>
      <c r="K120" s="357"/>
      <c r="L120" s="357"/>
      <c r="M120" s="357"/>
      <c r="N120" s="357"/>
      <c r="O120" s="357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8"/>
      <c r="AC120" s="358"/>
      <c r="AD120" s="358"/>
      <c r="AE120" s="358"/>
      <c r="AF120" s="358"/>
      <c r="AG120" s="358"/>
      <c r="AH120" s="358"/>
      <c r="AI120" s="358"/>
      <c r="AJ120" s="358"/>
      <c r="AK120" s="358"/>
      <c r="AL120" s="358"/>
      <c r="AM120" s="581"/>
    </row>
    <row r="121" spans="1:39" ht="12.75">
      <c r="A121" s="641"/>
      <c r="B121" s="644"/>
      <c r="C121" s="647"/>
      <c r="D121" s="650"/>
      <c r="E121" s="636"/>
      <c r="F121" s="359" t="s">
        <v>117</v>
      </c>
      <c r="G121" s="417" t="s">
        <v>118</v>
      </c>
      <c r="H121" s="356"/>
      <c r="I121" s="357"/>
      <c r="J121" s="357"/>
      <c r="K121" s="357"/>
      <c r="L121" s="357"/>
      <c r="M121" s="357"/>
      <c r="N121" s="357"/>
      <c r="O121" s="357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  <c r="AJ121" s="358"/>
      <c r="AK121" s="358"/>
      <c r="AL121" s="358"/>
      <c r="AM121" s="581"/>
    </row>
    <row r="122" spans="1:39" ht="12.75">
      <c r="A122" s="641"/>
      <c r="B122" s="644"/>
      <c r="C122" s="647"/>
      <c r="D122" s="650"/>
      <c r="E122" s="638">
        <v>2013</v>
      </c>
      <c r="F122" s="583">
        <f>SUM(H125:AL125)</f>
        <v>0</v>
      </c>
      <c r="G122" s="417" t="s">
        <v>122</v>
      </c>
      <c r="H122" s="356"/>
      <c r="I122" s="357"/>
      <c r="J122" s="357"/>
      <c r="K122" s="357"/>
      <c r="L122" s="357"/>
      <c r="M122" s="357"/>
      <c r="N122" s="357"/>
      <c r="O122" s="357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8"/>
      <c r="AD122" s="358"/>
      <c r="AE122" s="358"/>
      <c r="AF122" s="358"/>
      <c r="AG122" s="358"/>
      <c r="AH122" s="358"/>
      <c r="AI122" s="358"/>
      <c r="AJ122" s="358"/>
      <c r="AK122" s="358"/>
      <c r="AL122" s="358"/>
      <c r="AM122" s="581"/>
    </row>
    <row r="123" spans="1:39" ht="12.75">
      <c r="A123" s="641"/>
      <c r="B123" s="644"/>
      <c r="C123" s="647"/>
      <c r="D123" s="650"/>
      <c r="E123" s="635"/>
      <c r="F123" s="584"/>
      <c r="G123" s="417" t="s">
        <v>123</v>
      </c>
      <c r="H123" s="356"/>
      <c r="I123" s="357"/>
      <c r="J123" s="357"/>
      <c r="K123" s="357"/>
      <c r="L123" s="357"/>
      <c r="M123" s="357"/>
      <c r="N123" s="357"/>
      <c r="O123" s="357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8"/>
      <c r="AM123" s="581"/>
    </row>
    <row r="124" spans="1:39" ht="12.75">
      <c r="A124" s="641"/>
      <c r="B124" s="644"/>
      <c r="C124" s="647"/>
      <c r="D124" s="650"/>
      <c r="E124" s="635"/>
      <c r="F124" s="359" t="s">
        <v>121</v>
      </c>
      <c r="G124" s="417" t="s">
        <v>124</v>
      </c>
      <c r="H124" s="360">
        <f aca="true" t="shared" si="28" ref="H124:AL124">H118+H120+H122</f>
        <v>1110687</v>
      </c>
      <c r="I124" s="361">
        <f t="shared" si="28"/>
        <v>200000</v>
      </c>
      <c r="J124" s="361">
        <f t="shared" si="28"/>
        <v>70000</v>
      </c>
      <c r="K124" s="361">
        <f t="shared" si="28"/>
        <v>0</v>
      </c>
      <c r="L124" s="361">
        <f t="shared" si="28"/>
        <v>0</v>
      </c>
      <c r="M124" s="361">
        <f t="shared" si="28"/>
        <v>0</v>
      </c>
      <c r="N124" s="361">
        <f t="shared" si="28"/>
        <v>0</v>
      </c>
      <c r="O124" s="361">
        <f t="shared" si="28"/>
        <v>0</v>
      </c>
      <c r="P124" s="361">
        <f t="shared" si="28"/>
        <v>0</v>
      </c>
      <c r="Q124" s="361">
        <f t="shared" si="28"/>
        <v>0</v>
      </c>
      <c r="R124" s="361">
        <f t="shared" si="28"/>
        <v>0</v>
      </c>
      <c r="S124" s="361">
        <f t="shared" si="28"/>
        <v>0</v>
      </c>
      <c r="T124" s="361">
        <f t="shared" si="28"/>
        <v>0</v>
      </c>
      <c r="U124" s="361">
        <f t="shared" si="28"/>
        <v>0</v>
      </c>
      <c r="V124" s="361">
        <f t="shared" si="28"/>
        <v>0</v>
      </c>
      <c r="W124" s="361">
        <f t="shared" si="28"/>
        <v>0</v>
      </c>
      <c r="X124" s="361">
        <f t="shared" si="28"/>
        <v>0</v>
      </c>
      <c r="Y124" s="361">
        <f t="shared" si="28"/>
        <v>0</v>
      </c>
      <c r="Z124" s="361">
        <f t="shared" si="28"/>
        <v>0</v>
      </c>
      <c r="AA124" s="361">
        <f t="shared" si="28"/>
        <v>0</v>
      </c>
      <c r="AB124" s="361">
        <f t="shared" si="28"/>
        <v>0</v>
      </c>
      <c r="AC124" s="361">
        <f t="shared" si="28"/>
        <v>0</v>
      </c>
      <c r="AD124" s="361">
        <f t="shared" si="28"/>
        <v>0</v>
      </c>
      <c r="AE124" s="361">
        <f t="shared" si="28"/>
        <v>0</v>
      </c>
      <c r="AF124" s="361">
        <f t="shared" si="28"/>
        <v>0</v>
      </c>
      <c r="AG124" s="361">
        <f t="shared" si="28"/>
        <v>0</v>
      </c>
      <c r="AH124" s="361">
        <f t="shared" si="28"/>
        <v>0</v>
      </c>
      <c r="AI124" s="361">
        <f t="shared" si="28"/>
        <v>0</v>
      </c>
      <c r="AJ124" s="361">
        <f t="shared" si="28"/>
        <v>0</v>
      </c>
      <c r="AK124" s="361">
        <f t="shared" si="28"/>
        <v>0</v>
      </c>
      <c r="AL124" s="361">
        <f t="shared" si="28"/>
        <v>0</v>
      </c>
      <c r="AM124" s="581"/>
    </row>
    <row r="125" spans="1:39" ht="13.5" thickBot="1">
      <c r="A125" s="642"/>
      <c r="B125" s="644"/>
      <c r="C125" s="647"/>
      <c r="D125" s="650"/>
      <c r="E125" s="635"/>
      <c r="F125" s="363">
        <f>F119+F122</f>
        <v>1380687</v>
      </c>
      <c r="G125" s="420" t="s">
        <v>125</v>
      </c>
      <c r="H125" s="365">
        <f aca="true" t="shared" si="29" ref="H125:AL125">H119+H121+H123</f>
        <v>0</v>
      </c>
      <c r="I125" s="371">
        <f t="shared" si="29"/>
        <v>0</v>
      </c>
      <c r="J125" s="371">
        <f t="shared" si="29"/>
        <v>0</v>
      </c>
      <c r="K125" s="371">
        <f t="shared" si="29"/>
        <v>0</v>
      </c>
      <c r="L125" s="371">
        <f t="shared" si="29"/>
        <v>0</v>
      </c>
      <c r="M125" s="371">
        <f t="shared" si="29"/>
        <v>0</v>
      </c>
      <c r="N125" s="371">
        <f t="shared" si="29"/>
        <v>0</v>
      </c>
      <c r="O125" s="371">
        <f t="shared" si="29"/>
        <v>0</v>
      </c>
      <c r="P125" s="371">
        <f t="shared" si="29"/>
        <v>0</v>
      </c>
      <c r="Q125" s="371">
        <f t="shared" si="29"/>
        <v>0</v>
      </c>
      <c r="R125" s="371">
        <f t="shared" si="29"/>
        <v>0</v>
      </c>
      <c r="S125" s="371">
        <f t="shared" si="29"/>
        <v>0</v>
      </c>
      <c r="T125" s="371">
        <f t="shared" si="29"/>
        <v>0</v>
      </c>
      <c r="U125" s="371">
        <f t="shared" si="29"/>
        <v>0</v>
      </c>
      <c r="V125" s="371">
        <f t="shared" si="29"/>
        <v>0</v>
      </c>
      <c r="W125" s="371">
        <f t="shared" si="29"/>
        <v>0</v>
      </c>
      <c r="X125" s="371">
        <f t="shared" si="29"/>
        <v>0</v>
      </c>
      <c r="Y125" s="371">
        <f t="shared" si="29"/>
        <v>0</v>
      </c>
      <c r="Z125" s="371">
        <f t="shared" si="29"/>
        <v>0</v>
      </c>
      <c r="AA125" s="371">
        <f t="shared" si="29"/>
        <v>0</v>
      </c>
      <c r="AB125" s="371">
        <f t="shared" si="29"/>
        <v>0</v>
      </c>
      <c r="AC125" s="371">
        <f t="shared" si="29"/>
        <v>0</v>
      </c>
      <c r="AD125" s="371">
        <f t="shared" si="29"/>
        <v>0</v>
      </c>
      <c r="AE125" s="371">
        <f t="shared" si="29"/>
        <v>0</v>
      </c>
      <c r="AF125" s="371">
        <f t="shared" si="29"/>
        <v>0</v>
      </c>
      <c r="AG125" s="371">
        <f t="shared" si="29"/>
        <v>0</v>
      </c>
      <c r="AH125" s="371">
        <f t="shared" si="29"/>
        <v>0</v>
      </c>
      <c r="AI125" s="371">
        <f t="shared" si="29"/>
        <v>0</v>
      </c>
      <c r="AJ125" s="371">
        <f t="shared" si="29"/>
        <v>0</v>
      </c>
      <c r="AK125" s="371">
        <f t="shared" si="29"/>
        <v>0</v>
      </c>
      <c r="AL125" s="371">
        <f t="shared" si="29"/>
        <v>0</v>
      </c>
      <c r="AM125" s="582"/>
    </row>
    <row r="126" spans="1:39" ht="12.75" customHeight="1">
      <c r="A126" s="640">
        <v>16</v>
      </c>
      <c r="B126" s="643" t="s">
        <v>250</v>
      </c>
      <c r="C126" s="646">
        <v>90004</v>
      </c>
      <c r="D126" s="649" t="s">
        <v>188</v>
      </c>
      <c r="E126" s="634">
        <v>2010</v>
      </c>
      <c r="F126" s="350" t="s">
        <v>113</v>
      </c>
      <c r="G126" s="416" t="s">
        <v>114</v>
      </c>
      <c r="H126" s="352">
        <f>117425+978474</f>
        <v>1095899</v>
      </c>
      <c r="I126" s="353">
        <v>200000</v>
      </c>
      <c r="J126" s="353">
        <v>300000</v>
      </c>
      <c r="K126" s="353">
        <v>300000</v>
      </c>
      <c r="L126" s="353"/>
      <c r="M126" s="353"/>
      <c r="N126" s="353"/>
      <c r="O126" s="353"/>
      <c r="P126" s="354"/>
      <c r="Q126" s="354"/>
      <c r="R126" s="354"/>
      <c r="S126" s="354"/>
      <c r="T126" s="354"/>
      <c r="U126" s="354"/>
      <c r="V126" s="354"/>
      <c r="W126" s="354"/>
      <c r="X126" s="354"/>
      <c r="Y126" s="354"/>
      <c r="Z126" s="354"/>
      <c r="AA126" s="354"/>
      <c r="AB126" s="354"/>
      <c r="AC126" s="354"/>
      <c r="AD126" s="354"/>
      <c r="AE126" s="354"/>
      <c r="AF126" s="354"/>
      <c r="AG126" s="354"/>
      <c r="AH126" s="354"/>
      <c r="AI126" s="354"/>
      <c r="AJ126" s="354"/>
      <c r="AK126" s="354"/>
      <c r="AL126" s="354"/>
      <c r="AM126" s="580">
        <f>SUM(J132:AL133)</f>
        <v>600000</v>
      </c>
    </row>
    <row r="127" spans="1:39" ht="12.75">
      <c r="A127" s="641"/>
      <c r="B127" s="644"/>
      <c r="C127" s="647"/>
      <c r="D127" s="650"/>
      <c r="E127" s="635"/>
      <c r="F127" s="583">
        <f>SUM(H132:AL132)</f>
        <v>1895899</v>
      </c>
      <c r="G127" s="417" t="s">
        <v>115</v>
      </c>
      <c r="H127" s="356"/>
      <c r="I127" s="357"/>
      <c r="J127" s="357"/>
      <c r="K127" s="357"/>
      <c r="L127" s="357"/>
      <c r="M127" s="357"/>
      <c r="N127" s="357"/>
      <c r="O127" s="357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  <c r="AC127" s="358"/>
      <c r="AD127" s="358"/>
      <c r="AE127" s="358"/>
      <c r="AF127" s="358"/>
      <c r="AG127" s="358"/>
      <c r="AH127" s="358"/>
      <c r="AI127" s="358"/>
      <c r="AJ127" s="358"/>
      <c r="AK127" s="358"/>
      <c r="AL127" s="358"/>
      <c r="AM127" s="581"/>
    </row>
    <row r="128" spans="1:39" ht="12.75">
      <c r="A128" s="641"/>
      <c r="B128" s="644"/>
      <c r="C128" s="647"/>
      <c r="D128" s="650"/>
      <c r="E128" s="635"/>
      <c r="F128" s="584"/>
      <c r="G128" s="417" t="s">
        <v>116</v>
      </c>
      <c r="H128" s="356"/>
      <c r="I128" s="357"/>
      <c r="J128" s="357"/>
      <c r="K128" s="357"/>
      <c r="L128" s="357"/>
      <c r="M128" s="357"/>
      <c r="N128" s="357"/>
      <c r="O128" s="357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58"/>
      <c r="AI128" s="358"/>
      <c r="AJ128" s="358"/>
      <c r="AK128" s="358"/>
      <c r="AL128" s="358"/>
      <c r="AM128" s="581"/>
    </row>
    <row r="129" spans="1:39" ht="12.75">
      <c r="A129" s="641"/>
      <c r="B129" s="644"/>
      <c r="C129" s="647"/>
      <c r="D129" s="650"/>
      <c r="E129" s="636"/>
      <c r="F129" s="359" t="s">
        <v>117</v>
      </c>
      <c r="G129" s="417" t="s">
        <v>118</v>
      </c>
      <c r="H129" s="356"/>
      <c r="I129" s="357"/>
      <c r="J129" s="357"/>
      <c r="K129" s="357"/>
      <c r="L129" s="357"/>
      <c r="M129" s="357"/>
      <c r="N129" s="357"/>
      <c r="O129" s="357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58"/>
      <c r="AL129" s="358"/>
      <c r="AM129" s="581"/>
    </row>
    <row r="130" spans="1:39" ht="12.75">
      <c r="A130" s="641"/>
      <c r="B130" s="644"/>
      <c r="C130" s="647"/>
      <c r="D130" s="650"/>
      <c r="E130" s="638">
        <v>2014</v>
      </c>
      <c r="F130" s="583">
        <f>SUM(H133:AL133)</f>
        <v>0</v>
      </c>
      <c r="G130" s="417" t="s">
        <v>122</v>
      </c>
      <c r="H130" s="356"/>
      <c r="I130" s="357"/>
      <c r="J130" s="357"/>
      <c r="K130" s="357"/>
      <c r="L130" s="357"/>
      <c r="M130" s="357"/>
      <c r="N130" s="357"/>
      <c r="O130" s="357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  <c r="AC130" s="358"/>
      <c r="AD130" s="358"/>
      <c r="AE130" s="358"/>
      <c r="AF130" s="358"/>
      <c r="AG130" s="358"/>
      <c r="AH130" s="358"/>
      <c r="AI130" s="358"/>
      <c r="AJ130" s="358"/>
      <c r="AK130" s="358"/>
      <c r="AL130" s="358"/>
      <c r="AM130" s="581"/>
    </row>
    <row r="131" spans="1:39" ht="12.75">
      <c r="A131" s="641"/>
      <c r="B131" s="644"/>
      <c r="C131" s="647"/>
      <c r="D131" s="650"/>
      <c r="E131" s="635"/>
      <c r="F131" s="584"/>
      <c r="G131" s="417" t="s">
        <v>123</v>
      </c>
      <c r="H131" s="356"/>
      <c r="I131" s="357"/>
      <c r="J131" s="357"/>
      <c r="K131" s="357"/>
      <c r="L131" s="357"/>
      <c r="M131" s="357"/>
      <c r="N131" s="357"/>
      <c r="O131" s="357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I131" s="358"/>
      <c r="AJ131" s="358"/>
      <c r="AK131" s="358"/>
      <c r="AL131" s="358"/>
      <c r="AM131" s="581"/>
    </row>
    <row r="132" spans="1:39" ht="12.75">
      <c r="A132" s="641"/>
      <c r="B132" s="644"/>
      <c r="C132" s="647"/>
      <c r="D132" s="650"/>
      <c r="E132" s="635"/>
      <c r="F132" s="359" t="s">
        <v>121</v>
      </c>
      <c r="G132" s="417" t="s">
        <v>124</v>
      </c>
      <c r="H132" s="360">
        <f aca="true" t="shared" si="30" ref="H132:AL132">H126+H128+H130</f>
        <v>1095899</v>
      </c>
      <c r="I132" s="361">
        <f t="shared" si="30"/>
        <v>200000</v>
      </c>
      <c r="J132" s="361">
        <f t="shared" si="30"/>
        <v>300000</v>
      </c>
      <c r="K132" s="361">
        <f t="shared" si="30"/>
        <v>300000</v>
      </c>
      <c r="L132" s="361">
        <f t="shared" si="30"/>
        <v>0</v>
      </c>
      <c r="M132" s="361">
        <f t="shared" si="30"/>
        <v>0</v>
      </c>
      <c r="N132" s="361">
        <f t="shared" si="30"/>
        <v>0</v>
      </c>
      <c r="O132" s="361">
        <f t="shared" si="30"/>
        <v>0</v>
      </c>
      <c r="P132" s="361">
        <f t="shared" si="30"/>
        <v>0</v>
      </c>
      <c r="Q132" s="361">
        <f t="shared" si="30"/>
        <v>0</v>
      </c>
      <c r="R132" s="361">
        <f t="shared" si="30"/>
        <v>0</v>
      </c>
      <c r="S132" s="361">
        <f t="shared" si="30"/>
        <v>0</v>
      </c>
      <c r="T132" s="361">
        <f t="shared" si="30"/>
        <v>0</v>
      </c>
      <c r="U132" s="361">
        <f t="shared" si="30"/>
        <v>0</v>
      </c>
      <c r="V132" s="361">
        <f t="shared" si="30"/>
        <v>0</v>
      </c>
      <c r="W132" s="361">
        <f t="shared" si="30"/>
        <v>0</v>
      </c>
      <c r="X132" s="361">
        <f t="shared" si="30"/>
        <v>0</v>
      </c>
      <c r="Y132" s="361">
        <f t="shared" si="30"/>
        <v>0</v>
      </c>
      <c r="Z132" s="361">
        <f t="shared" si="30"/>
        <v>0</v>
      </c>
      <c r="AA132" s="361">
        <f t="shared" si="30"/>
        <v>0</v>
      </c>
      <c r="AB132" s="361">
        <f t="shared" si="30"/>
        <v>0</v>
      </c>
      <c r="AC132" s="361">
        <f t="shared" si="30"/>
        <v>0</v>
      </c>
      <c r="AD132" s="361">
        <f t="shared" si="30"/>
        <v>0</v>
      </c>
      <c r="AE132" s="361">
        <f t="shared" si="30"/>
        <v>0</v>
      </c>
      <c r="AF132" s="361">
        <f t="shared" si="30"/>
        <v>0</v>
      </c>
      <c r="AG132" s="361">
        <f t="shared" si="30"/>
        <v>0</v>
      </c>
      <c r="AH132" s="361">
        <f t="shared" si="30"/>
        <v>0</v>
      </c>
      <c r="AI132" s="361">
        <f t="shared" si="30"/>
        <v>0</v>
      </c>
      <c r="AJ132" s="361">
        <f t="shared" si="30"/>
        <v>0</v>
      </c>
      <c r="AK132" s="361">
        <f t="shared" si="30"/>
        <v>0</v>
      </c>
      <c r="AL132" s="361">
        <f t="shared" si="30"/>
        <v>0</v>
      </c>
      <c r="AM132" s="581"/>
    </row>
    <row r="133" spans="1:39" ht="13.5" thickBot="1">
      <c r="A133" s="642"/>
      <c r="B133" s="645"/>
      <c r="C133" s="648"/>
      <c r="D133" s="650"/>
      <c r="E133" s="639"/>
      <c r="F133" s="363">
        <f>F127+F130</f>
        <v>1895899</v>
      </c>
      <c r="G133" s="418" t="s">
        <v>125</v>
      </c>
      <c r="H133" s="365">
        <f aca="true" t="shared" si="31" ref="H133:AL133">H127+H129+H131</f>
        <v>0</v>
      </c>
      <c r="I133" s="366">
        <f t="shared" si="31"/>
        <v>0</v>
      </c>
      <c r="J133" s="366">
        <f t="shared" si="31"/>
        <v>0</v>
      </c>
      <c r="K133" s="366">
        <f t="shared" si="31"/>
        <v>0</v>
      </c>
      <c r="L133" s="366">
        <f t="shared" si="31"/>
        <v>0</v>
      </c>
      <c r="M133" s="366">
        <f t="shared" si="31"/>
        <v>0</v>
      </c>
      <c r="N133" s="366">
        <f t="shared" si="31"/>
        <v>0</v>
      </c>
      <c r="O133" s="366">
        <f t="shared" si="31"/>
        <v>0</v>
      </c>
      <c r="P133" s="366">
        <f t="shared" si="31"/>
        <v>0</v>
      </c>
      <c r="Q133" s="366">
        <f t="shared" si="31"/>
        <v>0</v>
      </c>
      <c r="R133" s="366">
        <f t="shared" si="31"/>
        <v>0</v>
      </c>
      <c r="S133" s="366">
        <f t="shared" si="31"/>
        <v>0</v>
      </c>
      <c r="T133" s="366">
        <f t="shared" si="31"/>
        <v>0</v>
      </c>
      <c r="U133" s="366">
        <f t="shared" si="31"/>
        <v>0</v>
      </c>
      <c r="V133" s="366">
        <f t="shared" si="31"/>
        <v>0</v>
      </c>
      <c r="W133" s="366">
        <f t="shared" si="31"/>
        <v>0</v>
      </c>
      <c r="X133" s="366">
        <f t="shared" si="31"/>
        <v>0</v>
      </c>
      <c r="Y133" s="366">
        <f t="shared" si="31"/>
        <v>0</v>
      </c>
      <c r="Z133" s="366">
        <f t="shared" si="31"/>
        <v>0</v>
      </c>
      <c r="AA133" s="366">
        <f t="shared" si="31"/>
        <v>0</v>
      </c>
      <c r="AB133" s="366">
        <f t="shared" si="31"/>
        <v>0</v>
      </c>
      <c r="AC133" s="366">
        <f t="shared" si="31"/>
        <v>0</v>
      </c>
      <c r="AD133" s="366">
        <f t="shared" si="31"/>
        <v>0</v>
      </c>
      <c r="AE133" s="366">
        <f t="shared" si="31"/>
        <v>0</v>
      </c>
      <c r="AF133" s="366">
        <f t="shared" si="31"/>
        <v>0</v>
      </c>
      <c r="AG133" s="366">
        <f t="shared" si="31"/>
        <v>0</v>
      </c>
      <c r="AH133" s="366">
        <f t="shared" si="31"/>
        <v>0</v>
      </c>
      <c r="AI133" s="366">
        <f t="shared" si="31"/>
        <v>0</v>
      </c>
      <c r="AJ133" s="366">
        <f t="shared" si="31"/>
        <v>0</v>
      </c>
      <c r="AK133" s="366">
        <f t="shared" si="31"/>
        <v>0</v>
      </c>
      <c r="AL133" s="366">
        <f t="shared" si="31"/>
        <v>0</v>
      </c>
      <c r="AM133" s="582"/>
    </row>
    <row r="134" spans="1:39" ht="12.75" customHeight="1">
      <c r="A134" s="640">
        <v>17</v>
      </c>
      <c r="B134" s="643" t="s">
        <v>251</v>
      </c>
      <c r="C134" s="646">
        <v>71095</v>
      </c>
      <c r="D134" s="649" t="s">
        <v>188</v>
      </c>
      <c r="E134" s="634">
        <v>2010</v>
      </c>
      <c r="F134" s="350" t="s">
        <v>113</v>
      </c>
      <c r="G134" s="416" t="s">
        <v>114</v>
      </c>
      <c r="H134" s="352">
        <f>150000</f>
        <v>150000</v>
      </c>
      <c r="I134" s="353">
        <v>100000</v>
      </c>
      <c r="J134" s="353">
        <v>100000</v>
      </c>
      <c r="K134" s="353"/>
      <c r="L134" s="353"/>
      <c r="M134" s="353"/>
      <c r="N134" s="353"/>
      <c r="O134" s="353"/>
      <c r="P134" s="354"/>
      <c r="Q134" s="354"/>
      <c r="R134" s="354"/>
      <c r="S134" s="354"/>
      <c r="T134" s="354"/>
      <c r="U134" s="354"/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  <c r="AG134" s="354"/>
      <c r="AH134" s="354"/>
      <c r="AI134" s="354"/>
      <c r="AJ134" s="354"/>
      <c r="AK134" s="354"/>
      <c r="AL134" s="354"/>
      <c r="AM134" s="580">
        <f>SUM(J140:AL141)</f>
        <v>100000</v>
      </c>
    </row>
    <row r="135" spans="1:39" ht="12.75">
      <c r="A135" s="641"/>
      <c r="B135" s="644"/>
      <c r="C135" s="647"/>
      <c r="D135" s="650"/>
      <c r="E135" s="635"/>
      <c r="F135" s="583">
        <f>SUM(H140:AL140)</f>
        <v>350000</v>
      </c>
      <c r="G135" s="417" t="s">
        <v>115</v>
      </c>
      <c r="H135" s="356"/>
      <c r="I135" s="357"/>
      <c r="J135" s="357"/>
      <c r="K135" s="357"/>
      <c r="L135" s="357"/>
      <c r="M135" s="357"/>
      <c r="N135" s="357"/>
      <c r="O135" s="357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8"/>
      <c r="AM135" s="581"/>
    </row>
    <row r="136" spans="1:39" ht="12.75">
      <c r="A136" s="641"/>
      <c r="B136" s="644"/>
      <c r="C136" s="647"/>
      <c r="D136" s="650"/>
      <c r="E136" s="635"/>
      <c r="F136" s="584"/>
      <c r="G136" s="417" t="s">
        <v>252</v>
      </c>
      <c r="H136" s="356"/>
      <c r="I136" s="357"/>
      <c r="J136" s="357"/>
      <c r="K136" s="357"/>
      <c r="L136" s="357"/>
      <c r="M136" s="357"/>
      <c r="N136" s="357"/>
      <c r="O136" s="357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  <c r="AC136" s="358"/>
      <c r="AD136" s="358"/>
      <c r="AE136" s="358"/>
      <c r="AF136" s="358"/>
      <c r="AG136" s="358"/>
      <c r="AH136" s="358"/>
      <c r="AI136" s="358"/>
      <c r="AJ136" s="358"/>
      <c r="AK136" s="358"/>
      <c r="AL136" s="358"/>
      <c r="AM136" s="581"/>
    </row>
    <row r="137" spans="1:39" ht="12.75">
      <c r="A137" s="641"/>
      <c r="B137" s="644"/>
      <c r="C137" s="647"/>
      <c r="D137" s="650"/>
      <c r="E137" s="636"/>
      <c r="F137" s="359" t="s">
        <v>117</v>
      </c>
      <c r="G137" s="417" t="s">
        <v>118</v>
      </c>
      <c r="H137" s="356"/>
      <c r="I137" s="357"/>
      <c r="J137" s="357"/>
      <c r="K137" s="357"/>
      <c r="L137" s="357"/>
      <c r="M137" s="357"/>
      <c r="N137" s="357"/>
      <c r="O137" s="357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  <c r="AI137" s="358"/>
      <c r="AJ137" s="358"/>
      <c r="AK137" s="358"/>
      <c r="AL137" s="358"/>
      <c r="AM137" s="581"/>
    </row>
    <row r="138" spans="1:39" ht="12.75">
      <c r="A138" s="641"/>
      <c r="B138" s="644"/>
      <c r="C138" s="647"/>
      <c r="D138" s="650"/>
      <c r="E138" s="638">
        <v>2013</v>
      </c>
      <c r="F138" s="583">
        <f>SUM(H141:AL141)</f>
        <v>0</v>
      </c>
      <c r="G138" s="417" t="s">
        <v>122</v>
      </c>
      <c r="H138" s="356"/>
      <c r="I138" s="357"/>
      <c r="J138" s="357"/>
      <c r="K138" s="357"/>
      <c r="L138" s="357"/>
      <c r="M138" s="357"/>
      <c r="N138" s="357"/>
      <c r="O138" s="357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  <c r="AI138" s="358"/>
      <c r="AJ138" s="358"/>
      <c r="AK138" s="358"/>
      <c r="AL138" s="358"/>
      <c r="AM138" s="581"/>
    </row>
    <row r="139" spans="1:39" ht="12.75">
      <c r="A139" s="641"/>
      <c r="B139" s="644"/>
      <c r="C139" s="647"/>
      <c r="D139" s="650"/>
      <c r="E139" s="635"/>
      <c r="F139" s="584"/>
      <c r="G139" s="417" t="s">
        <v>123</v>
      </c>
      <c r="H139" s="356"/>
      <c r="I139" s="357"/>
      <c r="J139" s="357"/>
      <c r="K139" s="357"/>
      <c r="L139" s="357"/>
      <c r="M139" s="357"/>
      <c r="N139" s="357"/>
      <c r="O139" s="357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  <c r="AI139" s="358"/>
      <c r="AJ139" s="358"/>
      <c r="AK139" s="358"/>
      <c r="AL139" s="358"/>
      <c r="AM139" s="581"/>
    </row>
    <row r="140" spans="1:39" ht="12.75">
      <c r="A140" s="641"/>
      <c r="B140" s="644"/>
      <c r="C140" s="647"/>
      <c r="D140" s="650"/>
      <c r="E140" s="635"/>
      <c r="F140" s="359" t="s">
        <v>121</v>
      </c>
      <c r="G140" s="417" t="s">
        <v>124</v>
      </c>
      <c r="H140" s="360">
        <f aca="true" t="shared" si="32" ref="H140:AL140">H134+H136+H138</f>
        <v>150000</v>
      </c>
      <c r="I140" s="361">
        <f t="shared" si="32"/>
        <v>100000</v>
      </c>
      <c r="J140" s="361">
        <f t="shared" si="32"/>
        <v>100000</v>
      </c>
      <c r="K140" s="361">
        <f t="shared" si="32"/>
        <v>0</v>
      </c>
      <c r="L140" s="361">
        <f t="shared" si="32"/>
        <v>0</v>
      </c>
      <c r="M140" s="361">
        <f t="shared" si="32"/>
        <v>0</v>
      </c>
      <c r="N140" s="361">
        <f t="shared" si="32"/>
        <v>0</v>
      </c>
      <c r="O140" s="361">
        <f t="shared" si="32"/>
        <v>0</v>
      </c>
      <c r="P140" s="361">
        <f t="shared" si="32"/>
        <v>0</v>
      </c>
      <c r="Q140" s="361">
        <f t="shared" si="32"/>
        <v>0</v>
      </c>
      <c r="R140" s="361">
        <f t="shared" si="32"/>
        <v>0</v>
      </c>
      <c r="S140" s="361">
        <f t="shared" si="32"/>
        <v>0</v>
      </c>
      <c r="T140" s="361">
        <f t="shared" si="32"/>
        <v>0</v>
      </c>
      <c r="U140" s="361">
        <f t="shared" si="32"/>
        <v>0</v>
      </c>
      <c r="V140" s="361">
        <f t="shared" si="32"/>
        <v>0</v>
      </c>
      <c r="W140" s="361">
        <f t="shared" si="32"/>
        <v>0</v>
      </c>
      <c r="X140" s="361">
        <f t="shared" si="32"/>
        <v>0</v>
      </c>
      <c r="Y140" s="361">
        <f t="shared" si="32"/>
        <v>0</v>
      </c>
      <c r="Z140" s="361">
        <f t="shared" si="32"/>
        <v>0</v>
      </c>
      <c r="AA140" s="361">
        <f t="shared" si="32"/>
        <v>0</v>
      </c>
      <c r="AB140" s="361">
        <f t="shared" si="32"/>
        <v>0</v>
      </c>
      <c r="AC140" s="361">
        <f t="shared" si="32"/>
        <v>0</v>
      </c>
      <c r="AD140" s="361">
        <f t="shared" si="32"/>
        <v>0</v>
      </c>
      <c r="AE140" s="361">
        <f t="shared" si="32"/>
        <v>0</v>
      </c>
      <c r="AF140" s="361">
        <f t="shared" si="32"/>
        <v>0</v>
      </c>
      <c r="AG140" s="361">
        <f t="shared" si="32"/>
        <v>0</v>
      </c>
      <c r="AH140" s="361">
        <f t="shared" si="32"/>
        <v>0</v>
      </c>
      <c r="AI140" s="361">
        <f t="shared" si="32"/>
        <v>0</v>
      </c>
      <c r="AJ140" s="361">
        <f t="shared" si="32"/>
        <v>0</v>
      </c>
      <c r="AK140" s="361">
        <f t="shared" si="32"/>
        <v>0</v>
      </c>
      <c r="AL140" s="361">
        <f t="shared" si="32"/>
        <v>0</v>
      </c>
      <c r="AM140" s="581"/>
    </row>
    <row r="141" spans="1:39" ht="13.5" thickBot="1">
      <c r="A141" s="642"/>
      <c r="B141" s="645"/>
      <c r="C141" s="648"/>
      <c r="D141" s="650"/>
      <c r="E141" s="639"/>
      <c r="F141" s="363">
        <f>F135+F138</f>
        <v>350000</v>
      </c>
      <c r="G141" s="418" t="s">
        <v>125</v>
      </c>
      <c r="H141" s="365">
        <f aca="true" t="shared" si="33" ref="H141:AL141">H135+H137+H139</f>
        <v>0</v>
      </c>
      <c r="I141" s="366">
        <f t="shared" si="33"/>
        <v>0</v>
      </c>
      <c r="J141" s="366">
        <f t="shared" si="33"/>
        <v>0</v>
      </c>
      <c r="K141" s="366">
        <f t="shared" si="33"/>
        <v>0</v>
      </c>
      <c r="L141" s="366">
        <f t="shared" si="33"/>
        <v>0</v>
      </c>
      <c r="M141" s="366">
        <f t="shared" si="33"/>
        <v>0</v>
      </c>
      <c r="N141" s="366">
        <f t="shared" si="33"/>
        <v>0</v>
      </c>
      <c r="O141" s="366">
        <f t="shared" si="33"/>
        <v>0</v>
      </c>
      <c r="P141" s="366">
        <f t="shared" si="33"/>
        <v>0</v>
      </c>
      <c r="Q141" s="366">
        <f t="shared" si="33"/>
        <v>0</v>
      </c>
      <c r="R141" s="366">
        <f t="shared" si="33"/>
        <v>0</v>
      </c>
      <c r="S141" s="366">
        <f t="shared" si="33"/>
        <v>0</v>
      </c>
      <c r="T141" s="366">
        <f t="shared" si="33"/>
        <v>0</v>
      </c>
      <c r="U141" s="366">
        <f t="shared" si="33"/>
        <v>0</v>
      </c>
      <c r="V141" s="366">
        <f t="shared" si="33"/>
        <v>0</v>
      </c>
      <c r="W141" s="366">
        <f t="shared" si="33"/>
        <v>0</v>
      </c>
      <c r="X141" s="366">
        <f t="shared" si="33"/>
        <v>0</v>
      </c>
      <c r="Y141" s="366">
        <f t="shared" si="33"/>
        <v>0</v>
      </c>
      <c r="Z141" s="366">
        <f t="shared" si="33"/>
        <v>0</v>
      </c>
      <c r="AA141" s="366">
        <f t="shared" si="33"/>
        <v>0</v>
      </c>
      <c r="AB141" s="366">
        <f t="shared" si="33"/>
        <v>0</v>
      </c>
      <c r="AC141" s="366">
        <f t="shared" si="33"/>
        <v>0</v>
      </c>
      <c r="AD141" s="366">
        <f t="shared" si="33"/>
        <v>0</v>
      </c>
      <c r="AE141" s="366">
        <f t="shared" si="33"/>
        <v>0</v>
      </c>
      <c r="AF141" s="366">
        <f t="shared" si="33"/>
        <v>0</v>
      </c>
      <c r="AG141" s="366">
        <f t="shared" si="33"/>
        <v>0</v>
      </c>
      <c r="AH141" s="366">
        <f t="shared" si="33"/>
        <v>0</v>
      </c>
      <c r="AI141" s="366">
        <f t="shared" si="33"/>
        <v>0</v>
      </c>
      <c r="AJ141" s="366">
        <f t="shared" si="33"/>
        <v>0</v>
      </c>
      <c r="AK141" s="366">
        <f t="shared" si="33"/>
        <v>0</v>
      </c>
      <c r="AL141" s="366">
        <f t="shared" si="33"/>
        <v>0</v>
      </c>
      <c r="AM141" s="582"/>
    </row>
    <row r="142" spans="1:39" s="426" customFormat="1" ht="12.75">
      <c r="A142" s="640">
        <v>18</v>
      </c>
      <c r="B142" s="672" t="s">
        <v>253</v>
      </c>
      <c r="C142" s="666">
        <v>85201</v>
      </c>
      <c r="D142" s="669" t="s">
        <v>254</v>
      </c>
      <c r="E142" s="659">
        <v>2009</v>
      </c>
      <c r="F142" s="421" t="s">
        <v>113</v>
      </c>
      <c r="G142" s="422" t="s">
        <v>255</v>
      </c>
      <c r="H142" s="423">
        <f>598801+548627+559944</f>
        <v>1707372</v>
      </c>
      <c r="I142" s="424">
        <v>559944</v>
      </c>
      <c r="J142" s="424">
        <v>559944</v>
      </c>
      <c r="K142" s="424"/>
      <c r="L142" s="424"/>
      <c r="M142" s="424"/>
      <c r="N142" s="424"/>
      <c r="O142" s="424"/>
      <c r="P142" s="425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5"/>
      <c r="AB142" s="425"/>
      <c r="AC142" s="425"/>
      <c r="AD142" s="425"/>
      <c r="AE142" s="425"/>
      <c r="AF142" s="425"/>
      <c r="AG142" s="425"/>
      <c r="AH142" s="425"/>
      <c r="AI142" s="425"/>
      <c r="AJ142" s="425"/>
      <c r="AK142" s="425"/>
      <c r="AL142" s="425"/>
      <c r="AM142" s="580">
        <f>SUM(J148:AL149)</f>
        <v>559944</v>
      </c>
    </row>
    <row r="143" spans="1:39" s="426" customFormat="1" ht="12.75">
      <c r="A143" s="641"/>
      <c r="B143" s="673"/>
      <c r="C143" s="667"/>
      <c r="D143" s="670"/>
      <c r="E143" s="660"/>
      <c r="F143" s="662">
        <f>SUM(H148:AL148)</f>
        <v>2827260</v>
      </c>
      <c r="G143" s="427" t="s">
        <v>201</v>
      </c>
      <c r="H143" s="428"/>
      <c r="I143" s="429"/>
      <c r="J143" s="429"/>
      <c r="K143" s="429"/>
      <c r="L143" s="429"/>
      <c r="M143" s="429"/>
      <c r="N143" s="429"/>
      <c r="O143" s="429"/>
      <c r="P143" s="430"/>
      <c r="Q143" s="430"/>
      <c r="R143" s="430"/>
      <c r="S143" s="430"/>
      <c r="T143" s="430"/>
      <c r="U143" s="430"/>
      <c r="V143" s="430"/>
      <c r="W143" s="430"/>
      <c r="X143" s="430"/>
      <c r="Y143" s="430"/>
      <c r="Z143" s="430"/>
      <c r="AA143" s="430"/>
      <c r="AB143" s="430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0"/>
      <c r="AM143" s="581"/>
    </row>
    <row r="144" spans="1:39" s="426" customFormat="1" ht="12.75">
      <c r="A144" s="641"/>
      <c r="B144" s="673"/>
      <c r="C144" s="667"/>
      <c r="D144" s="670"/>
      <c r="E144" s="660"/>
      <c r="F144" s="675"/>
      <c r="G144" s="427" t="s">
        <v>116</v>
      </c>
      <c r="H144" s="428"/>
      <c r="I144" s="429"/>
      <c r="J144" s="429"/>
      <c r="K144" s="429"/>
      <c r="L144" s="429"/>
      <c r="M144" s="429"/>
      <c r="N144" s="429"/>
      <c r="O144" s="429"/>
      <c r="P144" s="430"/>
      <c r="Q144" s="430"/>
      <c r="R144" s="430"/>
      <c r="S144" s="430"/>
      <c r="T144" s="430"/>
      <c r="U144" s="430"/>
      <c r="V144" s="430"/>
      <c r="W144" s="430"/>
      <c r="X144" s="430"/>
      <c r="Y144" s="430"/>
      <c r="Z144" s="430"/>
      <c r="AA144" s="430"/>
      <c r="AB144" s="430"/>
      <c r="AC144" s="430"/>
      <c r="AD144" s="430"/>
      <c r="AE144" s="430"/>
      <c r="AF144" s="430"/>
      <c r="AG144" s="430"/>
      <c r="AH144" s="430"/>
      <c r="AI144" s="430"/>
      <c r="AJ144" s="430"/>
      <c r="AK144" s="430"/>
      <c r="AL144" s="430"/>
      <c r="AM144" s="581"/>
    </row>
    <row r="145" spans="1:39" s="426" customFormat="1" ht="12.75">
      <c r="A145" s="641"/>
      <c r="B145" s="673"/>
      <c r="C145" s="667"/>
      <c r="D145" s="670"/>
      <c r="E145" s="661"/>
      <c r="F145" s="431" t="s">
        <v>117</v>
      </c>
      <c r="G145" s="427" t="s">
        <v>118</v>
      </c>
      <c r="H145" s="428"/>
      <c r="I145" s="429"/>
      <c r="J145" s="429"/>
      <c r="K145" s="429"/>
      <c r="L145" s="429"/>
      <c r="M145" s="429"/>
      <c r="N145" s="429"/>
      <c r="O145" s="429"/>
      <c r="P145" s="430"/>
      <c r="Q145" s="430"/>
      <c r="R145" s="430"/>
      <c r="S145" s="430"/>
      <c r="T145" s="430"/>
      <c r="U145" s="430"/>
      <c r="V145" s="430"/>
      <c r="W145" s="430"/>
      <c r="X145" s="430"/>
      <c r="Y145" s="430"/>
      <c r="Z145" s="430"/>
      <c r="AA145" s="430"/>
      <c r="AB145" s="430"/>
      <c r="AC145" s="430"/>
      <c r="AD145" s="430"/>
      <c r="AE145" s="430"/>
      <c r="AF145" s="430"/>
      <c r="AG145" s="430"/>
      <c r="AH145" s="430"/>
      <c r="AI145" s="430"/>
      <c r="AJ145" s="430"/>
      <c r="AK145" s="430"/>
      <c r="AL145" s="430"/>
      <c r="AM145" s="581"/>
    </row>
    <row r="146" spans="1:39" s="426" customFormat="1" ht="12.75">
      <c r="A146" s="641"/>
      <c r="B146" s="673"/>
      <c r="C146" s="667"/>
      <c r="D146" s="670"/>
      <c r="E146" s="664">
        <v>2013</v>
      </c>
      <c r="F146" s="662">
        <f>SUM(H149:AL149)</f>
        <v>0</v>
      </c>
      <c r="G146" s="427" t="s">
        <v>122</v>
      </c>
      <c r="H146" s="428"/>
      <c r="I146" s="429"/>
      <c r="J146" s="429"/>
      <c r="K146" s="429"/>
      <c r="L146" s="429"/>
      <c r="M146" s="429"/>
      <c r="N146" s="429"/>
      <c r="O146" s="429"/>
      <c r="P146" s="430"/>
      <c r="Q146" s="430"/>
      <c r="R146" s="430"/>
      <c r="S146" s="430"/>
      <c r="T146" s="430"/>
      <c r="U146" s="430"/>
      <c r="V146" s="430"/>
      <c r="W146" s="430"/>
      <c r="X146" s="430"/>
      <c r="Y146" s="430"/>
      <c r="Z146" s="430"/>
      <c r="AA146" s="430"/>
      <c r="AB146" s="430"/>
      <c r="AC146" s="430"/>
      <c r="AD146" s="430"/>
      <c r="AE146" s="430"/>
      <c r="AF146" s="430"/>
      <c r="AG146" s="430"/>
      <c r="AH146" s="430"/>
      <c r="AI146" s="430"/>
      <c r="AJ146" s="430"/>
      <c r="AK146" s="430"/>
      <c r="AL146" s="430"/>
      <c r="AM146" s="581"/>
    </row>
    <row r="147" spans="1:39" s="426" customFormat="1" ht="12.75">
      <c r="A147" s="641"/>
      <c r="B147" s="673"/>
      <c r="C147" s="667"/>
      <c r="D147" s="670"/>
      <c r="E147" s="660"/>
      <c r="F147" s="675"/>
      <c r="G147" s="427" t="s">
        <v>123</v>
      </c>
      <c r="H147" s="428"/>
      <c r="I147" s="429"/>
      <c r="J147" s="429"/>
      <c r="K147" s="429"/>
      <c r="L147" s="429"/>
      <c r="M147" s="429"/>
      <c r="N147" s="429"/>
      <c r="O147" s="429"/>
      <c r="P147" s="430"/>
      <c r="Q147" s="430"/>
      <c r="R147" s="430"/>
      <c r="S147" s="430"/>
      <c r="T147" s="430"/>
      <c r="U147" s="430"/>
      <c r="V147" s="430"/>
      <c r="W147" s="430"/>
      <c r="X147" s="430"/>
      <c r="Y147" s="430"/>
      <c r="Z147" s="430"/>
      <c r="AA147" s="430"/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0"/>
      <c r="AM147" s="581"/>
    </row>
    <row r="148" spans="1:39" s="426" customFormat="1" ht="12.75">
      <c r="A148" s="641"/>
      <c r="B148" s="673"/>
      <c r="C148" s="667"/>
      <c r="D148" s="670"/>
      <c r="E148" s="660"/>
      <c r="F148" s="431" t="s">
        <v>121</v>
      </c>
      <c r="G148" s="427" t="s">
        <v>124</v>
      </c>
      <c r="H148" s="432">
        <f aca="true" t="shared" si="34" ref="H148:AL148">H142+H144+H146</f>
        <v>1707372</v>
      </c>
      <c r="I148" s="433">
        <f t="shared" si="34"/>
        <v>559944</v>
      </c>
      <c r="J148" s="433">
        <f t="shared" si="34"/>
        <v>559944</v>
      </c>
      <c r="K148" s="433">
        <f t="shared" si="34"/>
        <v>0</v>
      </c>
      <c r="L148" s="433">
        <f t="shared" si="34"/>
        <v>0</v>
      </c>
      <c r="M148" s="433">
        <f t="shared" si="34"/>
        <v>0</v>
      </c>
      <c r="N148" s="433">
        <f t="shared" si="34"/>
        <v>0</v>
      </c>
      <c r="O148" s="433">
        <f t="shared" si="34"/>
        <v>0</v>
      </c>
      <c r="P148" s="433">
        <f t="shared" si="34"/>
        <v>0</v>
      </c>
      <c r="Q148" s="433">
        <f t="shared" si="34"/>
        <v>0</v>
      </c>
      <c r="R148" s="433">
        <f t="shared" si="34"/>
        <v>0</v>
      </c>
      <c r="S148" s="433">
        <f t="shared" si="34"/>
        <v>0</v>
      </c>
      <c r="T148" s="433">
        <f t="shared" si="34"/>
        <v>0</v>
      </c>
      <c r="U148" s="433">
        <f t="shared" si="34"/>
        <v>0</v>
      </c>
      <c r="V148" s="433">
        <f t="shared" si="34"/>
        <v>0</v>
      </c>
      <c r="W148" s="433">
        <f t="shared" si="34"/>
        <v>0</v>
      </c>
      <c r="X148" s="433">
        <f t="shared" si="34"/>
        <v>0</v>
      </c>
      <c r="Y148" s="433">
        <f t="shared" si="34"/>
        <v>0</v>
      </c>
      <c r="Z148" s="433">
        <f t="shared" si="34"/>
        <v>0</v>
      </c>
      <c r="AA148" s="433">
        <f t="shared" si="34"/>
        <v>0</v>
      </c>
      <c r="AB148" s="433">
        <f t="shared" si="34"/>
        <v>0</v>
      </c>
      <c r="AC148" s="433">
        <f t="shared" si="34"/>
        <v>0</v>
      </c>
      <c r="AD148" s="433">
        <f t="shared" si="34"/>
        <v>0</v>
      </c>
      <c r="AE148" s="433">
        <f t="shared" si="34"/>
        <v>0</v>
      </c>
      <c r="AF148" s="433">
        <f t="shared" si="34"/>
        <v>0</v>
      </c>
      <c r="AG148" s="433">
        <f t="shared" si="34"/>
        <v>0</v>
      </c>
      <c r="AH148" s="433">
        <f t="shared" si="34"/>
        <v>0</v>
      </c>
      <c r="AI148" s="433">
        <f t="shared" si="34"/>
        <v>0</v>
      </c>
      <c r="AJ148" s="433">
        <f t="shared" si="34"/>
        <v>0</v>
      </c>
      <c r="AK148" s="433">
        <f t="shared" si="34"/>
        <v>0</v>
      </c>
      <c r="AL148" s="434">
        <f t="shared" si="34"/>
        <v>0</v>
      </c>
      <c r="AM148" s="581"/>
    </row>
    <row r="149" spans="1:39" s="426" customFormat="1" ht="13.5" thickBot="1">
      <c r="A149" s="642"/>
      <c r="B149" s="673"/>
      <c r="C149" s="667"/>
      <c r="D149" s="670"/>
      <c r="E149" s="660"/>
      <c r="F149" s="435">
        <f>F143+F146</f>
        <v>2827260</v>
      </c>
      <c r="G149" s="436" t="s">
        <v>125</v>
      </c>
      <c r="H149" s="437">
        <f aca="true" t="shared" si="35" ref="H149:AL149">H143+H145+H147</f>
        <v>0</v>
      </c>
      <c r="I149" s="438">
        <f t="shared" si="35"/>
        <v>0</v>
      </c>
      <c r="J149" s="438">
        <f t="shared" si="35"/>
        <v>0</v>
      </c>
      <c r="K149" s="438">
        <f t="shared" si="35"/>
        <v>0</v>
      </c>
      <c r="L149" s="438">
        <f t="shared" si="35"/>
        <v>0</v>
      </c>
      <c r="M149" s="438">
        <f t="shared" si="35"/>
        <v>0</v>
      </c>
      <c r="N149" s="438">
        <f t="shared" si="35"/>
        <v>0</v>
      </c>
      <c r="O149" s="438">
        <f t="shared" si="35"/>
        <v>0</v>
      </c>
      <c r="P149" s="438">
        <f t="shared" si="35"/>
        <v>0</v>
      </c>
      <c r="Q149" s="438">
        <f t="shared" si="35"/>
        <v>0</v>
      </c>
      <c r="R149" s="438">
        <f t="shared" si="35"/>
        <v>0</v>
      </c>
      <c r="S149" s="438">
        <f t="shared" si="35"/>
        <v>0</v>
      </c>
      <c r="T149" s="438">
        <f t="shared" si="35"/>
        <v>0</v>
      </c>
      <c r="U149" s="438">
        <f t="shared" si="35"/>
        <v>0</v>
      </c>
      <c r="V149" s="438">
        <f t="shared" si="35"/>
        <v>0</v>
      </c>
      <c r="W149" s="438">
        <f t="shared" si="35"/>
        <v>0</v>
      </c>
      <c r="X149" s="438">
        <f t="shared" si="35"/>
        <v>0</v>
      </c>
      <c r="Y149" s="438">
        <f t="shared" si="35"/>
        <v>0</v>
      </c>
      <c r="Z149" s="438">
        <f t="shared" si="35"/>
        <v>0</v>
      </c>
      <c r="AA149" s="438">
        <f t="shared" si="35"/>
        <v>0</v>
      </c>
      <c r="AB149" s="438">
        <f t="shared" si="35"/>
        <v>0</v>
      </c>
      <c r="AC149" s="438">
        <f t="shared" si="35"/>
        <v>0</v>
      </c>
      <c r="AD149" s="438">
        <f t="shared" si="35"/>
        <v>0</v>
      </c>
      <c r="AE149" s="438">
        <f t="shared" si="35"/>
        <v>0</v>
      </c>
      <c r="AF149" s="438">
        <f t="shared" si="35"/>
        <v>0</v>
      </c>
      <c r="AG149" s="438">
        <f t="shared" si="35"/>
        <v>0</v>
      </c>
      <c r="AH149" s="438">
        <f t="shared" si="35"/>
        <v>0</v>
      </c>
      <c r="AI149" s="438">
        <f t="shared" si="35"/>
        <v>0</v>
      </c>
      <c r="AJ149" s="438">
        <f t="shared" si="35"/>
        <v>0</v>
      </c>
      <c r="AK149" s="438">
        <f t="shared" si="35"/>
        <v>0</v>
      </c>
      <c r="AL149" s="439">
        <f t="shared" si="35"/>
        <v>0</v>
      </c>
      <c r="AM149" s="582"/>
    </row>
    <row r="150" spans="1:39" s="426" customFormat="1" ht="12.75">
      <c r="A150" s="640">
        <v>19</v>
      </c>
      <c r="B150" s="672" t="s">
        <v>256</v>
      </c>
      <c r="C150" s="666">
        <v>85201</v>
      </c>
      <c r="D150" s="669" t="s">
        <v>254</v>
      </c>
      <c r="E150" s="659">
        <v>2009</v>
      </c>
      <c r="F150" s="421" t="s">
        <v>113</v>
      </c>
      <c r="G150" s="422" t="s">
        <v>114</v>
      </c>
      <c r="H150" s="440">
        <f>273846+757395+603318</f>
        <v>1634559</v>
      </c>
      <c r="I150" s="441">
        <v>301659</v>
      </c>
      <c r="J150" s="441"/>
      <c r="K150" s="441"/>
      <c r="L150" s="441"/>
      <c r="M150" s="441"/>
      <c r="N150" s="441"/>
      <c r="O150" s="441"/>
      <c r="P150" s="442"/>
      <c r="Q150" s="442"/>
      <c r="R150" s="442"/>
      <c r="S150" s="442"/>
      <c r="T150" s="442"/>
      <c r="U150" s="442"/>
      <c r="V150" s="442"/>
      <c r="W150" s="442"/>
      <c r="X150" s="442"/>
      <c r="Y150" s="442"/>
      <c r="Z150" s="442"/>
      <c r="AA150" s="442"/>
      <c r="AB150" s="442"/>
      <c r="AC150" s="442"/>
      <c r="AD150" s="442"/>
      <c r="AE150" s="442"/>
      <c r="AF150" s="442"/>
      <c r="AG150" s="442"/>
      <c r="AH150" s="442"/>
      <c r="AI150" s="442"/>
      <c r="AJ150" s="442"/>
      <c r="AK150" s="442"/>
      <c r="AL150" s="442"/>
      <c r="AM150" s="580">
        <f>SUM(J156:AL157)</f>
        <v>0</v>
      </c>
    </row>
    <row r="151" spans="1:39" s="426" customFormat="1" ht="12.75">
      <c r="A151" s="641"/>
      <c r="B151" s="673"/>
      <c r="C151" s="667"/>
      <c r="D151" s="670"/>
      <c r="E151" s="660"/>
      <c r="F151" s="662">
        <f>SUM(H156:AL156)</f>
        <v>1936218</v>
      </c>
      <c r="G151" s="427" t="s">
        <v>115</v>
      </c>
      <c r="H151" s="428"/>
      <c r="I151" s="429"/>
      <c r="J151" s="429"/>
      <c r="K151" s="429"/>
      <c r="L151" s="429"/>
      <c r="M151" s="429"/>
      <c r="N151" s="429"/>
      <c r="O151" s="429"/>
      <c r="P151" s="430"/>
      <c r="Q151" s="430"/>
      <c r="R151" s="430"/>
      <c r="S151" s="430"/>
      <c r="T151" s="430"/>
      <c r="U151" s="430"/>
      <c r="V151" s="430"/>
      <c r="W151" s="430"/>
      <c r="X151" s="430"/>
      <c r="Y151" s="430"/>
      <c r="Z151" s="430"/>
      <c r="AA151" s="430"/>
      <c r="AB151" s="430"/>
      <c r="AC151" s="430"/>
      <c r="AD151" s="430"/>
      <c r="AE151" s="430"/>
      <c r="AF151" s="430"/>
      <c r="AG151" s="430"/>
      <c r="AH151" s="430"/>
      <c r="AI151" s="430"/>
      <c r="AJ151" s="430"/>
      <c r="AK151" s="430"/>
      <c r="AL151" s="430"/>
      <c r="AM151" s="581"/>
    </row>
    <row r="152" spans="1:39" s="426" customFormat="1" ht="12.75">
      <c r="A152" s="641"/>
      <c r="B152" s="673"/>
      <c r="C152" s="667"/>
      <c r="D152" s="670"/>
      <c r="E152" s="660"/>
      <c r="F152" s="675"/>
      <c r="G152" s="427" t="s">
        <v>116</v>
      </c>
      <c r="H152" s="428"/>
      <c r="I152" s="429"/>
      <c r="J152" s="429"/>
      <c r="K152" s="429"/>
      <c r="L152" s="429"/>
      <c r="M152" s="429"/>
      <c r="N152" s="429"/>
      <c r="O152" s="429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0"/>
      <c r="AA152" s="430"/>
      <c r="AB152" s="430"/>
      <c r="AC152" s="430"/>
      <c r="AD152" s="430"/>
      <c r="AE152" s="430"/>
      <c r="AF152" s="430"/>
      <c r="AG152" s="430"/>
      <c r="AH152" s="430"/>
      <c r="AI152" s="430"/>
      <c r="AJ152" s="430"/>
      <c r="AK152" s="430"/>
      <c r="AL152" s="430"/>
      <c r="AM152" s="581"/>
    </row>
    <row r="153" spans="1:39" s="426" customFormat="1" ht="12.75">
      <c r="A153" s="641"/>
      <c r="B153" s="673"/>
      <c r="C153" s="667"/>
      <c r="D153" s="670"/>
      <c r="E153" s="661"/>
      <c r="F153" s="431" t="s">
        <v>117</v>
      </c>
      <c r="G153" s="427" t="s">
        <v>118</v>
      </c>
      <c r="H153" s="428"/>
      <c r="I153" s="429"/>
      <c r="J153" s="429"/>
      <c r="K153" s="429"/>
      <c r="L153" s="429"/>
      <c r="M153" s="429"/>
      <c r="N153" s="429"/>
      <c r="O153" s="429"/>
      <c r="P153" s="430"/>
      <c r="Q153" s="430"/>
      <c r="R153" s="430"/>
      <c r="S153" s="430"/>
      <c r="T153" s="430"/>
      <c r="U153" s="430"/>
      <c r="V153" s="430"/>
      <c r="W153" s="430"/>
      <c r="X153" s="430"/>
      <c r="Y153" s="430"/>
      <c r="Z153" s="430"/>
      <c r="AA153" s="430"/>
      <c r="AB153" s="430"/>
      <c r="AC153" s="430"/>
      <c r="AD153" s="430"/>
      <c r="AE153" s="430"/>
      <c r="AF153" s="430"/>
      <c r="AG153" s="430"/>
      <c r="AH153" s="430"/>
      <c r="AI153" s="430"/>
      <c r="AJ153" s="430"/>
      <c r="AK153" s="430"/>
      <c r="AL153" s="430"/>
      <c r="AM153" s="581"/>
    </row>
    <row r="154" spans="1:39" s="426" customFormat="1" ht="11.25" customHeight="1">
      <c r="A154" s="641"/>
      <c r="B154" s="673"/>
      <c r="C154" s="667"/>
      <c r="D154" s="670"/>
      <c r="E154" s="664">
        <v>2012</v>
      </c>
      <c r="F154" s="662">
        <f>SUM(H157:AL157)</f>
        <v>0</v>
      </c>
      <c r="G154" s="427" t="s">
        <v>122</v>
      </c>
      <c r="H154" s="428"/>
      <c r="I154" s="429"/>
      <c r="J154" s="429"/>
      <c r="K154" s="429"/>
      <c r="L154" s="429"/>
      <c r="M154" s="429"/>
      <c r="N154" s="429"/>
      <c r="O154" s="429"/>
      <c r="P154" s="430"/>
      <c r="Q154" s="430"/>
      <c r="R154" s="430"/>
      <c r="S154" s="430"/>
      <c r="T154" s="430"/>
      <c r="U154" s="430"/>
      <c r="V154" s="430"/>
      <c r="W154" s="430"/>
      <c r="X154" s="430"/>
      <c r="Y154" s="430"/>
      <c r="Z154" s="430"/>
      <c r="AA154" s="430"/>
      <c r="AB154" s="430"/>
      <c r="AC154" s="430"/>
      <c r="AD154" s="430"/>
      <c r="AE154" s="430"/>
      <c r="AF154" s="430"/>
      <c r="AG154" s="430"/>
      <c r="AH154" s="430"/>
      <c r="AI154" s="430"/>
      <c r="AJ154" s="430"/>
      <c r="AK154" s="430"/>
      <c r="AL154" s="430"/>
      <c r="AM154" s="581"/>
    </row>
    <row r="155" spans="1:39" s="426" customFormat="1" ht="11.25" customHeight="1">
      <c r="A155" s="641"/>
      <c r="B155" s="673"/>
      <c r="C155" s="667"/>
      <c r="D155" s="670"/>
      <c r="E155" s="660"/>
      <c r="F155" s="675"/>
      <c r="G155" s="427" t="s">
        <v>123</v>
      </c>
      <c r="H155" s="428"/>
      <c r="I155" s="429"/>
      <c r="J155" s="429"/>
      <c r="K155" s="429"/>
      <c r="L155" s="429"/>
      <c r="M155" s="429"/>
      <c r="N155" s="429"/>
      <c r="O155" s="429"/>
      <c r="P155" s="430"/>
      <c r="Q155" s="430"/>
      <c r="R155" s="430"/>
      <c r="S155" s="430"/>
      <c r="T155" s="430"/>
      <c r="U155" s="430"/>
      <c r="V155" s="430"/>
      <c r="W155" s="430"/>
      <c r="X155" s="430"/>
      <c r="Y155" s="430"/>
      <c r="Z155" s="430"/>
      <c r="AA155" s="430"/>
      <c r="AB155" s="430"/>
      <c r="AC155" s="430"/>
      <c r="AD155" s="430"/>
      <c r="AE155" s="430"/>
      <c r="AF155" s="430"/>
      <c r="AG155" s="430"/>
      <c r="AH155" s="430"/>
      <c r="AI155" s="430"/>
      <c r="AJ155" s="430"/>
      <c r="AK155" s="430"/>
      <c r="AL155" s="430"/>
      <c r="AM155" s="581"/>
    </row>
    <row r="156" spans="1:39" s="426" customFormat="1" ht="12.75">
      <c r="A156" s="641"/>
      <c r="B156" s="673"/>
      <c r="C156" s="667"/>
      <c r="D156" s="670"/>
      <c r="E156" s="660"/>
      <c r="F156" s="431" t="s">
        <v>121</v>
      </c>
      <c r="G156" s="427" t="s">
        <v>124</v>
      </c>
      <c r="H156" s="432">
        <f aca="true" t="shared" si="36" ref="H156:AL156">H150+H152+H154</f>
        <v>1634559</v>
      </c>
      <c r="I156" s="433">
        <f t="shared" si="36"/>
        <v>301659</v>
      </c>
      <c r="J156" s="433">
        <f t="shared" si="36"/>
        <v>0</v>
      </c>
      <c r="K156" s="433">
        <f t="shared" si="36"/>
        <v>0</v>
      </c>
      <c r="L156" s="433">
        <f t="shared" si="36"/>
        <v>0</v>
      </c>
      <c r="M156" s="433">
        <f t="shared" si="36"/>
        <v>0</v>
      </c>
      <c r="N156" s="433">
        <f t="shared" si="36"/>
        <v>0</v>
      </c>
      <c r="O156" s="433">
        <f t="shared" si="36"/>
        <v>0</v>
      </c>
      <c r="P156" s="433">
        <f t="shared" si="36"/>
        <v>0</v>
      </c>
      <c r="Q156" s="433">
        <f t="shared" si="36"/>
        <v>0</v>
      </c>
      <c r="R156" s="433">
        <f t="shared" si="36"/>
        <v>0</v>
      </c>
      <c r="S156" s="433">
        <f t="shared" si="36"/>
        <v>0</v>
      </c>
      <c r="T156" s="433">
        <f t="shared" si="36"/>
        <v>0</v>
      </c>
      <c r="U156" s="433">
        <f t="shared" si="36"/>
        <v>0</v>
      </c>
      <c r="V156" s="433">
        <f t="shared" si="36"/>
        <v>0</v>
      </c>
      <c r="W156" s="433">
        <f t="shared" si="36"/>
        <v>0</v>
      </c>
      <c r="X156" s="433">
        <f t="shared" si="36"/>
        <v>0</v>
      </c>
      <c r="Y156" s="433">
        <f t="shared" si="36"/>
        <v>0</v>
      </c>
      <c r="Z156" s="433">
        <f t="shared" si="36"/>
        <v>0</v>
      </c>
      <c r="AA156" s="433">
        <f t="shared" si="36"/>
        <v>0</v>
      </c>
      <c r="AB156" s="433">
        <f t="shared" si="36"/>
        <v>0</v>
      </c>
      <c r="AC156" s="433">
        <f t="shared" si="36"/>
        <v>0</v>
      </c>
      <c r="AD156" s="433">
        <f t="shared" si="36"/>
        <v>0</v>
      </c>
      <c r="AE156" s="433">
        <f t="shared" si="36"/>
        <v>0</v>
      </c>
      <c r="AF156" s="433">
        <f t="shared" si="36"/>
        <v>0</v>
      </c>
      <c r="AG156" s="433">
        <f t="shared" si="36"/>
        <v>0</v>
      </c>
      <c r="AH156" s="433">
        <f t="shared" si="36"/>
        <v>0</v>
      </c>
      <c r="AI156" s="433">
        <f t="shared" si="36"/>
        <v>0</v>
      </c>
      <c r="AJ156" s="433">
        <f t="shared" si="36"/>
        <v>0</v>
      </c>
      <c r="AK156" s="433">
        <f t="shared" si="36"/>
        <v>0</v>
      </c>
      <c r="AL156" s="434">
        <f t="shared" si="36"/>
        <v>0</v>
      </c>
      <c r="AM156" s="581"/>
    </row>
    <row r="157" spans="1:39" s="426" customFormat="1" ht="13.5" thickBot="1">
      <c r="A157" s="642"/>
      <c r="B157" s="674"/>
      <c r="C157" s="668"/>
      <c r="D157" s="671"/>
      <c r="E157" s="665"/>
      <c r="F157" s="435">
        <f>F151+F154</f>
        <v>1936218</v>
      </c>
      <c r="G157" s="443" t="s">
        <v>125</v>
      </c>
      <c r="H157" s="437">
        <f aca="true" t="shared" si="37" ref="H157:AL157">H151+H153+H155</f>
        <v>0</v>
      </c>
      <c r="I157" s="444">
        <f t="shared" si="37"/>
        <v>0</v>
      </c>
      <c r="J157" s="444">
        <f t="shared" si="37"/>
        <v>0</v>
      </c>
      <c r="K157" s="444">
        <f t="shared" si="37"/>
        <v>0</v>
      </c>
      <c r="L157" s="444">
        <f t="shared" si="37"/>
        <v>0</v>
      </c>
      <c r="M157" s="444">
        <f t="shared" si="37"/>
        <v>0</v>
      </c>
      <c r="N157" s="444">
        <f t="shared" si="37"/>
        <v>0</v>
      </c>
      <c r="O157" s="444">
        <f t="shared" si="37"/>
        <v>0</v>
      </c>
      <c r="P157" s="444">
        <f t="shared" si="37"/>
        <v>0</v>
      </c>
      <c r="Q157" s="444">
        <f t="shared" si="37"/>
        <v>0</v>
      </c>
      <c r="R157" s="444">
        <f t="shared" si="37"/>
        <v>0</v>
      </c>
      <c r="S157" s="444">
        <f t="shared" si="37"/>
        <v>0</v>
      </c>
      <c r="T157" s="444">
        <f t="shared" si="37"/>
        <v>0</v>
      </c>
      <c r="U157" s="444">
        <f t="shared" si="37"/>
        <v>0</v>
      </c>
      <c r="V157" s="444">
        <f t="shared" si="37"/>
        <v>0</v>
      </c>
      <c r="W157" s="444">
        <f t="shared" si="37"/>
        <v>0</v>
      </c>
      <c r="X157" s="444">
        <f t="shared" si="37"/>
        <v>0</v>
      </c>
      <c r="Y157" s="444">
        <f t="shared" si="37"/>
        <v>0</v>
      </c>
      <c r="Z157" s="444">
        <f t="shared" si="37"/>
        <v>0</v>
      </c>
      <c r="AA157" s="444">
        <f t="shared" si="37"/>
        <v>0</v>
      </c>
      <c r="AB157" s="444">
        <f t="shared" si="37"/>
        <v>0</v>
      </c>
      <c r="AC157" s="444">
        <f t="shared" si="37"/>
        <v>0</v>
      </c>
      <c r="AD157" s="444">
        <f t="shared" si="37"/>
        <v>0</v>
      </c>
      <c r="AE157" s="444">
        <f t="shared" si="37"/>
        <v>0</v>
      </c>
      <c r="AF157" s="444">
        <f t="shared" si="37"/>
        <v>0</v>
      </c>
      <c r="AG157" s="444">
        <f t="shared" si="37"/>
        <v>0</v>
      </c>
      <c r="AH157" s="444">
        <f t="shared" si="37"/>
        <v>0</v>
      </c>
      <c r="AI157" s="444">
        <f t="shared" si="37"/>
        <v>0</v>
      </c>
      <c r="AJ157" s="444">
        <f t="shared" si="37"/>
        <v>0</v>
      </c>
      <c r="AK157" s="444">
        <f t="shared" si="37"/>
        <v>0</v>
      </c>
      <c r="AL157" s="445">
        <f t="shared" si="37"/>
        <v>0</v>
      </c>
      <c r="AM157" s="582"/>
    </row>
    <row r="158" spans="1:39" s="426" customFormat="1" ht="12.75" customHeight="1">
      <c r="A158" s="640">
        <v>20</v>
      </c>
      <c r="B158" s="672" t="s">
        <v>257</v>
      </c>
      <c r="C158" s="666">
        <v>85201</v>
      </c>
      <c r="D158" s="669" t="s">
        <v>254</v>
      </c>
      <c r="E158" s="660">
        <v>2009</v>
      </c>
      <c r="F158" s="421" t="s">
        <v>113</v>
      </c>
      <c r="G158" s="422" t="s">
        <v>114</v>
      </c>
      <c r="H158" s="440">
        <f>145321+180569+188001</f>
        <v>513891</v>
      </c>
      <c r="I158" s="441">
        <v>178425</v>
      </c>
      <c r="J158" s="441">
        <v>188622</v>
      </c>
      <c r="K158" s="441">
        <v>47156</v>
      </c>
      <c r="L158" s="441"/>
      <c r="M158" s="441"/>
      <c r="N158" s="441"/>
      <c r="O158" s="441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  <c r="AB158" s="442"/>
      <c r="AC158" s="442"/>
      <c r="AD158" s="442"/>
      <c r="AE158" s="442"/>
      <c r="AF158" s="442"/>
      <c r="AG158" s="442"/>
      <c r="AH158" s="442"/>
      <c r="AI158" s="442"/>
      <c r="AJ158" s="442"/>
      <c r="AK158" s="442"/>
      <c r="AL158" s="442"/>
      <c r="AM158" s="580">
        <f>SUM(J164:AL165)</f>
        <v>235778</v>
      </c>
    </row>
    <row r="159" spans="1:39" s="426" customFormat="1" ht="12.75">
      <c r="A159" s="641"/>
      <c r="B159" s="673"/>
      <c r="C159" s="667"/>
      <c r="D159" s="670"/>
      <c r="E159" s="660"/>
      <c r="F159" s="662">
        <f>SUM(H164:AL164)</f>
        <v>928094</v>
      </c>
      <c r="G159" s="427" t="s">
        <v>115</v>
      </c>
      <c r="H159" s="428"/>
      <c r="I159" s="429"/>
      <c r="J159" s="429"/>
      <c r="K159" s="429"/>
      <c r="L159" s="429"/>
      <c r="M159" s="429"/>
      <c r="N159" s="429"/>
      <c r="O159" s="429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581"/>
    </row>
    <row r="160" spans="1:39" s="426" customFormat="1" ht="12.75">
      <c r="A160" s="641"/>
      <c r="B160" s="673"/>
      <c r="C160" s="667"/>
      <c r="D160" s="670"/>
      <c r="E160" s="660"/>
      <c r="F160" s="675"/>
      <c r="G160" s="427" t="s">
        <v>116</v>
      </c>
      <c r="H160" s="428"/>
      <c r="I160" s="429"/>
      <c r="J160" s="429"/>
      <c r="K160" s="429"/>
      <c r="L160" s="429"/>
      <c r="M160" s="429"/>
      <c r="N160" s="429"/>
      <c r="O160" s="429"/>
      <c r="P160" s="430"/>
      <c r="Q160" s="430"/>
      <c r="R160" s="430"/>
      <c r="S160" s="430"/>
      <c r="T160" s="430"/>
      <c r="U160" s="430"/>
      <c r="V160" s="430"/>
      <c r="W160" s="430"/>
      <c r="X160" s="430"/>
      <c r="Y160" s="430"/>
      <c r="Z160" s="430"/>
      <c r="AA160" s="430"/>
      <c r="AB160" s="430"/>
      <c r="AC160" s="430"/>
      <c r="AD160" s="430"/>
      <c r="AE160" s="430"/>
      <c r="AF160" s="430"/>
      <c r="AG160" s="430"/>
      <c r="AH160" s="430"/>
      <c r="AI160" s="430"/>
      <c r="AJ160" s="430"/>
      <c r="AK160" s="430"/>
      <c r="AL160" s="430"/>
      <c r="AM160" s="581"/>
    </row>
    <row r="161" spans="1:39" s="426" customFormat="1" ht="12.75">
      <c r="A161" s="641"/>
      <c r="B161" s="673"/>
      <c r="C161" s="667"/>
      <c r="D161" s="670"/>
      <c r="E161" s="661"/>
      <c r="F161" s="431" t="s">
        <v>117</v>
      </c>
      <c r="G161" s="427" t="s">
        <v>118</v>
      </c>
      <c r="H161" s="428"/>
      <c r="I161" s="429"/>
      <c r="J161" s="429"/>
      <c r="K161" s="429"/>
      <c r="L161" s="429"/>
      <c r="M161" s="429"/>
      <c r="N161" s="429"/>
      <c r="O161" s="429"/>
      <c r="P161" s="430"/>
      <c r="Q161" s="430"/>
      <c r="R161" s="430"/>
      <c r="S161" s="430"/>
      <c r="T161" s="430"/>
      <c r="U161" s="430"/>
      <c r="V161" s="430"/>
      <c r="W161" s="430"/>
      <c r="X161" s="430"/>
      <c r="Y161" s="430"/>
      <c r="Z161" s="430"/>
      <c r="AA161" s="430"/>
      <c r="AB161" s="430"/>
      <c r="AC161" s="430"/>
      <c r="AD161" s="430"/>
      <c r="AE161" s="430"/>
      <c r="AF161" s="430"/>
      <c r="AG161" s="430"/>
      <c r="AH161" s="430"/>
      <c r="AI161" s="430"/>
      <c r="AJ161" s="430"/>
      <c r="AK161" s="430"/>
      <c r="AL161" s="430"/>
      <c r="AM161" s="581"/>
    </row>
    <row r="162" spans="1:39" s="426" customFormat="1" ht="12.75">
      <c r="A162" s="641"/>
      <c r="B162" s="673"/>
      <c r="C162" s="667"/>
      <c r="D162" s="670"/>
      <c r="E162" s="664">
        <v>2014</v>
      </c>
      <c r="F162" s="662">
        <f>SUM(H165:AL165)</f>
        <v>0</v>
      </c>
      <c r="G162" s="427" t="s">
        <v>122</v>
      </c>
      <c r="H162" s="428"/>
      <c r="I162" s="429"/>
      <c r="J162" s="429"/>
      <c r="K162" s="429"/>
      <c r="L162" s="429"/>
      <c r="M162" s="429"/>
      <c r="N162" s="429"/>
      <c r="O162" s="429"/>
      <c r="P162" s="430"/>
      <c r="Q162" s="430"/>
      <c r="R162" s="430"/>
      <c r="S162" s="430"/>
      <c r="T162" s="430"/>
      <c r="U162" s="430"/>
      <c r="V162" s="430"/>
      <c r="W162" s="430"/>
      <c r="X162" s="430"/>
      <c r="Y162" s="430"/>
      <c r="Z162" s="430"/>
      <c r="AA162" s="430"/>
      <c r="AB162" s="430"/>
      <c r="AC162" s="430"/>
      <c r="AD162" s="430"/>
      <c r="AE162" s="430"/>
      <c r="AF162" s="430"/>
      <c r="AG162" s="430"/>
      <c r="AH162" s="430"/>
      <c r="AI162" s="430"/>
      <c r="AJ162" s="430"/>
      <c r="AK162" s="430"/>
      <c r="AL162" s="430"/>
      <c r="AM162" s="581"/>
    </row>
    <row r="163" spans="1:39" s="426" customFormat="1" ht="12.75">
      <c r="A163" s="641"/>
      <c r="B163" s="673"/>
      <c r="C163" s="667"/>
      <c r="D163" s="670"/>
      <c r="E163" s="660"/>
      <c r="F163" s="675"/>
      <c r="G163" s="427" t="s">
        <v>123</v>
      </c>
      <c r="H163" s="428"/>
      <c r="I163" s="429"/>
      <c r="J163" s="429"/>
      <c r="K163" s="429"/>
      <c r="L163" s="429"/>
      <c r="M163" s="429"/>
      <c r="N163" s="429"/>
      <c r="O163" s="429"/>
      <c r="P163" s="430"/>
      <c r="Q163" s="430"/>
      <c r="R163" s="430"/>
      <c r="S163" s="430"/>
      <c r="T163" s="430"/>
      <c r="U163" s="430"/>
      <c r="V163" s="430"/>
      <c r="W163" s="430"/>
      <c r="X163" s="430"/>
      <c r="Y163" s="430"/>
      <c r="Z163" s="430"/>
      <c r="AA163" s="430"/>
      <c r="AB163" s="430"/>
      <c r="AC163" s="430"/>
      <c r="AD163" s="430"/>
      <c r="AE163" s="430"/>
      <c r="AF163" s="430"/>
      <c r="AG163" s="430"/>
      <c r="AH163" s="430"/>
      <c r="AI163" s="430"/>
      <c r="AJ163" s="430"/>
      <c r="AK163" s="430"/>
      <c r="AL163" s="430"/>
      <c r="AM163" s="581"/>
    </row>
    <row r="164" spans="1:39" s="426" customFormat="1" ht="12.75">
      <c r="A164" s="641"/>
      <c r="B164" s="673"/>
      <c r="C164" s="667"/>
      <c r="D164" s="670"/>
      <c r="E164" s="660"/>
      <c r="F164" s="431" t="s">
        <v>121</v>
      </c>
      <c r="G164" s="427" t="s">
        <v>124</v>
      </c>
      <c r="H164" s="432">
        <f aca="true" t="shared" si="38" ref="H164:AL164">H158+H160+H162</f>
        <v>513891</v>
      </c>
      <c r="I164" s="433">
        <f t="shared" si="38"/>
        <v>178425</v>
      </c>
      <c r="J164" s="433">
        <f t="shared" si="38"/>
        <v>188622</v>
      </c>
      <c r="K164" s="433">
        <f t="shared" si="38"/>
        <v>47156</v>
      </c>
      <c r="L164" s="433">
        <f t="shared" si="38"/>
        <v>0</v>
      </c>
      <c r="M164" s="433">
        <f t="shared" si="38"/>
        <v>0</v>
      </c>
      <c r="N164" s="433">
        <f t="shared" si="38"/>
        <v>0</v>
      </c>
      <c r="O164" s="433">
        <f t="shared" si="38"/>
        <v>0</v>
      </c>
      <c r="P164" s="433">
        <f t="shared" si="38"/>
        <v>0</v>
      </c>
      <c r="Q164" s="433">
        <f t="shared" si="38"/>
        <v>0</v>
      </c>
      <c r="R164" s="433">
        <f t="shared" si="38"/>
        <v>0</v>
      </c>
      <c r="S164" s="433">
        <f t="shared" si="38"/>
        <v>0</v>
      </c>
      <c r="T164" s="433">
        <f t="shared" si="38"/>
        <v>0</v>
      </c>
      <c r="U164" s="433">
        <f t="shared" si="38"/>
        <v>0</v>
      </c>
      <c r="V164" s="433">
        <f t="shared" si="38"/>
        <v>0</v>
      </c>
      <c r="W164" s="433">
        <f t="shared" si="38"/>
        <v>0</v>
      </c>
      <c r="X164" s="433">
        <f t="shared" si="38"/>
        <v>0</v>
      </c>
      <c r="Y164" s="433">
        <f t="shared" si="38"/>
        <v>0</v>
      </c>
      <c r="Z164" s="433">
        <f t="shared" si="38"/>
        <v>0</v>
      </c>
      <c r="AA164" s="433">
        <f t="shared" si="38"/>
        <v>0</v>
      </c>
      <c r="AB164" s="433">
        <f t="shared" si="38"/>
        <v>0</v>
      </c>
      <c r="AC164" s="433">
        <f t="shared" si="38"/>
        <v>0</v>
      </c>
      <c r="AD164" s="433">
        <f t="shared" si="38"/>
        <v>0</v>
      </c>
      <c r="AE164" s="433">
        <f t="shared" si="38"/>
        <v>0</v>
      </c>
      <c r="AF164" s="433">
        <f t="shared" si="38"/>
        <v>0</v>
      </c>
      <c r="AG164" s="433">
        <f t="shared" si="38"/>
        <v>0</v>
      </c>
      <c r="AH164" s="433">
        <f t="shared" si="38"/>
        <v>0</v>
      </c>
      <c r="AI164" s="433">
        <f t="shared" si="38"/>
        <v>0</v>
      </c>
      <c r="AJ164" s="433">
        <f t="shared" si="38"/>
        <v>0</v>
      </c>
      <c r="AK164" s="433">
        <f t="shared" si="38"/>
        <v>0</v>
      </c>
      <c r="AL164" s="434">
        <f t="shared" si="38"/>
        <v>0</v>
      </c>
      <c r="AM164" s="581"/>
    </row>
    <row r="165" spans="1:39" s="426" customFormat="1" ht="13.5" thickBot="1">
      <c r="A165" s="642"/>
      <c r="B165" s="674"/>
      <c r="C165" s="668"/>
      <c r="D165" s="670"/>
      <c r="E165" s="665"/>
      <c r="F165" s="435">
        <f>F159+F162</f>
        <v>928094</v>
      </c>
      <c r="G165" s="443" t="s">
        <v>125</v>
      </c>
      <c r="H165" s="437">
        <f aca="true" t="shared" si="39" ref="H165:AL165">H159+H161+H163</f>
        <v>0</v>
      </c>
      <c r="I165" s="444">
        <f t="shared" si="39"/>
        <v>0</v>
      </c>
      <c r="J165" s="444">
        <f t="shared" si="39"/>
        <v>0</v>
      </c>
      <c r="K165" s="444">
        <f t="shared" si="39"/>
        <v>0</v>
      </c>
      <c r="L165" s="444">
        <f t="shared" si="39"/>
        <v>0</v>
      </c>
      <c r="M165" s="444">
        <f t="shared" si="39"/>
        <v>0</v>
      </c>
      <c r="N165" s="444">
        <f t="shared" si="39"/>
        <v>0</v>
      </c>
      <c r="O165" s="444">
        <f t="shared" si="39"/>
        <v>0</v>
      </c>
      <c r="P165" s="444">
        <f t="shared" si="39"/>
        <v>0</v>
      </c>
      <c r="Q165" s="444">
        <f t="shared" si="39"/>
        <v>0</v>
      </c>
      <c r="R165" s="444">
        <f t="shared" si="39"/>
        <v>0</v>
      </c>
      <c r="S165" s="444">
        <f t="shared" si="39"/>
        <v>0</v>
      </c>
      <c r="T165" s="444">
        <f t="shared" si="39"/>
        <v>0</v>
      </c>
      <c r="U165" s="444">
        <f t="shared" si="39"/>
        <v>0</v>
      </c>
      <c r="V165" s="444">
        <f t="shared" si="39"/>
        <v>0</v>
      </c>
      <c r="W165" s="444">
        <f t="shared" si="39"/>
        <v>0</v>
      </c>
      <c r="X165" s="444">
        <f t="shared" si="39"/>
        <v>0</v>
      </c>
      <c r="Y165" s="444">
        <f t="shared" si="39"/>
        <v>0</v>
      </c>
      <c r="Z165" s="444">
        <f t="shared" si="39"/>
        <v>0</v>
      </c>
      <c r="AA165" s="444">
        <f t="shared" si="39"/>
        <v>0</v>
      </c>
      <c r="AB165" s="444">
        <f t="shared" si="39"/>
        <v>0</v>
      </c>
      <c r="AC165" s="444">
        <f t="shared" si="39"/>
        <v>0</v>
      </c>
      <c r="AD165" s="444">
        <f t="shared" si="39"/>
        <v>0</v>
      </c>
      <c r="AE165" s="444">
        <f t="shared" si="39"/>
        <v>0</v>
      </c>
      <c r="AF165" s="444">
        <f t="shared" si="39"/>
        <v>0</v>
      </c>
      <c r="AG165" s="444">
        <f t="shared" si="39"/>
        <v>0</v>
      </c>
      <c r="AH165" s="444">
        <f t="shared" si="39"/>
        <v>0</v>
      </c>
      <c r="AI165" s="444">
        <f t="shared" si="39"/>
        <v>0</v>
      </c>
      <c r="AJ165" s="444">
        <f t="shared" si="39"/>
        <v>0</v>
      </c>
      <c r="AK165" s="444">
        <f t="shared" si="39"/>
        <v>0</v>
      </c>
      <c r="AL165" s="445">
        <f t="shared" si="39"/>
        <v>0</v>
      </c>
      <c r="AM165" s="582"/>
    </row>
    <row r="166" spans="1:39" s="426" customFormat="1" ht="12.75" customHeight="1">
      <c r="A166" s="640">
        <v>21</v>
      </c>
      <c r="B166" s="672" t="s">
        <v>258</v>
      </c>
      <c r="C166" s="666">
        <v>85201</v>
      </c>
      <c r="D166" s="669" t="s">
        <v>254</v>
      </c>
      <c r="E166" s="659">
        <v>2008</v>
      </c>
      <c r="F166" s="421" t="s">
        <v>113</v>
      </c>
      <c r="G166" s="422" t="s">
        <v>114</v>
      </c>
      <c r="H166" s="423">
        <f>95902+195906+208441+212985</f>
        <v>713234</v>
      </c>
      <c r="I166" s="441">
        <v>207385</v>
      </c>
      <c r="J166" s="441">
        <v>88881</v>
      </c>
      <c r="K166" s="441"/>
      <c r="L166" s="441"/>
      <c r="M166" s="441"/>
      <c r="N166" s="441"/>
      <c r="O166" s="441"/>
      <c r="P166" s="442"/>
      <c r="Q166" s="442"/>
      <c r="R166" s="442"/>
      <c r="S166" s="442"/>
      <c r="T166" s="442"/>
      <c r="U166" s="442"/>
      <c r="V166" s="442"/>
      <c r="W166" s="442"/>
      <c r="X166" s="442"/>
      <c r="Y166" s="442"/>
      <c r="Z166" s="442"/>
      <c r="AA166" s="442"/>
      <c r="AB166" s="442"/>
      <c r="AC166" s="442"/>
      <c r="AD166" s="442"/>
      <c r="AE166" s="442"/>
      <c r="AF166" s="442"/>
      <c r="AG166" s="442"/>
      <c r="AH166" s="442"/>
      <c r="AI166" s="442"/>
      <c r="AJ166" s="442"/>
      <c r="AK166" s="442"/>
      <c r="AL166" s="442"/>
      <c r="AM166" s="580">
        <f>SUM(J172:AL173)</f>
        <v>88881</v>
      </c>
    </row>
    <row r="167" spans="1:39" s="426" customFormat="1" ht="12.75">
      <c r="A167" s="641"/>
      <c r="B167" s="673"/>
      <c r="C167" s="667"/>
      <c r="D167" s="670"/>
      <c r="E167" s="660"/>
      <c r="F167" s="662">
        <f>SUM(H172:AL172)</f>
        <v>1009500</v>
      </c>
      <c r="G167" s="427" t="s">
        <v>115</v>
      </c>
      <c r="H167" s="428"/>
      <c r="I167" s="429"/>
      <c r="J167" s="429"/>
      <c r="K167" s="429"/>
      <c r="L167" s="429"/>
      <c r="M167" s="429"/>
      <c r="N167" s="429"/>
      <c r="O167" s="429"/>
      <c r="P167" s="430"/>
      <c r="Q167" s="430"/>
      <c r="R167" s="430"/>
      <c r="S167" s="430"/>
      <c r="T167" s="430"/>
      <c r="U167" s="430"/>
      <c r="V167" s="430"/>
      <c r="W167" s="430"/>
      <c r="X167" s="430"/>
      <c r="Y167" s="430"/>
      <c r="Z167" s="430"/>
      <c r="AA167" s="430"/>
      <c r="AB167" s="430"/>
      <c r="AC167" s="430"/>
      <c r="AD167" s="430"/>
      <c r="AE167" s="430"/>
      <c r="AF167" s="430"/>
      <c r="AG167" s="430"/>
      <c r="AH167" s="430"/>
      <c r="AI167" s="430"/>
      <c r="AJ167" s="430"/>
      <c r="AK167" s="430"/>
      <c r="AL167" s="430"/>
      <c r="AM167" s="581"/>
    </row>
    <row r="168" spans="1:39" s="426" customFormat="1" ht="12.75">
      <c r="A168" s="641"/>
      <c r="B168" s="673"/>
      <c r="C168" s="667"/>
      <c r="D168" s="670"/>
      <c r="E168" s="660"/>
      <c r="F168" s="675"/>
      <c r="G168" s="427" t="s">
        <v>116</v>
      </c>
      <c r="H168" s="428"/>
      <c r="I168" s="429"/>
      <c r="J168" s="429"/>
      <c r="K168" s="429"/>
      <c r="L168" s="429"/>
      <c r="M168" s="429"/>
      <c r="N168" s="429"/>
      <c r="O168" s="429"/>
      <c r="P168" s="430"/>
      <c r="Q168" s="430"/>
      <c r="R168" s="430"/>
      <c r="S168" s="430"/>
      <c r="T168" s="430"/>
      <c r="U168" s="430"/>
      <c r="V168" s="430"/>
      <c r="W168" s="430"/>
      <c r="X168" s="430"/>
      <c r="Y168" s="430"/>
      <c r="Z168" s="430"/>
      <c r="AA168" s="430"/>
      <c r="AB168" s="430"/>
      <c r="AC168" s="430"/>
      <c r="AD168" s="430"/>
      <c r="AE168" s="430"/>
      <c r="AF168" s="430"/>
      <c r="AG168" s="430"/>
      <c r="AH168" s="430"/>
      <c r="AI168" s="430"/>
      <c r="AJ168" s="430"/>
      <c r="AK168" s="430"/>
      <c r="AL168" s="430"/>
      <c r="AM168" s="581"/>
    </row>
    <row r="169" spans="1:39" s="426" customFormat="1" ht="12.75">
      <c r="A169" s="641"/>
      <c r="B169" s="673"/>
      <c r="C169" s="667"/>
      <c r="D169" s="670"/>
      <c r="E169" s="661"/>
      <c r="F169" s="431" t="s">
        <v>117</v>
      </c>
      <c r="G169" s="427" t="s">
        <v>118</v>
      </c>
      <c r="H169" s="428"/>
      <c r="I169" s="429"/>
      <c r="J169" s="429"/>
      <c r="K169" s="429"/>
      <c r="L169" s="429"/>
      <c r="M169" s="429"/>
      <c r="N169" s="429"/>
      <c r="O169" s="429"/>
      <c r="P169" s="430"/>
      <c r="Q169" s="430"/>
      <c r="R169" s="430"/>
      <c r="S169" s="430"/>
      <c r="T169" s="430"/>
      <c r="U169" s="430"/>
      <c r="V169" s="430"/>
      <c r="W169" s="430"/>
      <c r="X169" s="430"/>
      <c r="Y169" s="430"/>
      <c r="Z169" s="430"/>
      <c r="AA169" s="430"/>
      <c r="AB169" s="430"/>
      <c r="AC169" s="430"/>
      <c r="AD169" s="430"/>
      <c r="AE169" s="430"/>
      <c r="AF169" s="430"/>
      <c r="AG169" s="430"/>
      <c r="AH169" s="430"/>
      <c r="AI169" s="430"/>
      <c r="AJ169" s="430"/>
      <c r="AK169" s="430"/>
      <c r="AL169" s="430"/>
      <c r="AM169" s="581"/>
    </row>
    <row r="170" spans="1:39" s="426" customFormat="1" ht="12.75">
      <c r="A170" s="641"/>
      <c r="B170" s="673"/>
      <c r="C170" s="667"/>
      <c r="D170" s="670"/>
      <c r="E170" s="664">
        <v>2013</v>
      </c>
      <c r="F170" s="662">
        <f>SUM(H173:AL173)</f>
        <v>0</v>
      </c>
      <c r="G170" s="427" t="s">
        <v>122</v>
      </c>
      <c r="H170" s="428"/>
      <c r="I170" s="429"/>
      <c r="J170" s="429"/>
      <c r="K170" s="429"/>
      <c r="L170" s="429"/>
      <c r="M170" s="429"/>
      <c r="N170" s="429"/>
      <c r="O170" s="429"/>
      <c r="P170" s="430"/>
      <c r="Q170" s="430"/>
      <c r="R170" s="430"/>
      <c r="S170" s="430"/>
      <c r="T170" s="430"/>
      <c r="U170" s="430"/>
      <c r="V170" s="430"/>
      <c r="W170" s="430"/>
      <c r="X170" s="430"/>
      <c r="Y170" s="430"/>
      <c r="Z170" s="430"/>
      <c r="AA170" s="430"/>
      <c r="AB170" s="430"/>
      <c r="AC170" s="430"/>
      <c r="AD170" s="430"/>
      <c r="AE170" s="430"/>
      <c r="AF170" s="430"/>
      <c r="AG170" s="430"/>
      <c r="AH170" s="430"/>
      <c r="AI170" s="430"/>
      <c r="AJ170" s="430"/>
      <c r="AK170" s="430"/>
      <c r="AL170" s="430"/>
      <c r="AM170" s="581"/>
    </row>
    <row r="171" spans="1:39" s="426" customFormat="1" ht="12.75">
      <c r="A171" s="641"/>
      <c r="B171" s="673"/>
      <c r="C171" s="667"/>
      <c r="D171" s="670"/>
      <c r="E171" s="660"/>
      <c r="F171" s="675"/>
      <c r="G171" s="427" t="s">
        <v>123</v>
      </c>
      <c r="H171" s="428"/>
      <c r="I171" s="429"/>
      <c r="J171" s="429"/>
      <c r="K171" s="429"/>
      <c r="L171" s="429"/>
      <c r="M171" s="429"/>
      <c r="N171" s="429"/>
      <c r="O171" s="429"/>
      <c r="P171" s="430"/>
      <c r="Q171" s="430"/>
      <c r="R171" s="430"/>
      <c r="S171" s="430"/>
      <c r="T171" s="430"/>
      <c r="U171" s="430"/>
      <c r="V171" s="430"/>
      <c r="W171" s="430"/>
      <c r="X171" s="430"/>
      <c r="Y171" s="430"/>
      <c r="Z171" s="430"/>
      <c r="AA171" s="430"/>
      <c r="AB171" s="430"/>
      <c r="AC171" s="430"/>
      <c r="AD171" s="430"/>
      <c r="AE171" s="430"/>
      <c r="AF171" s="430"/>
      <c r="AG171" s="430"/>
      <c r="AH171" s="430"/>
      <c r="AI171" s="430"/>
      <c r="AJ171" s="430"/>
      <c r="AK171" s="430"/>
      <c r="AL171" s="430"/>
      <c r="AM171" s="581"/>
    </row>
    <row r="172" spans="1:39" s="426" customFormat="1" ht="12.75">
      <c r="A172" s="641"/>
      <c r="B172" s="673"/>
      <c r="C172" s="667"/>
      <c r="D172" s="670"/>
      <c r="E172" s="660"/>
      <c r="F172" s="431" t="s">
        <v>121</v>
      </c>
      <c r="G172" s="427" t="s">
        <v>124</v>
      </c>
      <c r="H172" s="432">
        <f aca="true" t="shared" si="40" ref="H172:AL172">H166+H168+H170</f>
        <v>713234</v>
      </c>
      <c r="I172" s="433">
        <f t="shared" si="40"/>
        <v>207385</v>
      </c>
      <c r="J172" s="433">
        <f t="shared" si="40"/>
        <v>88881</v>
      </c>
      <c r="K172" s="433">
        <f t="shared" si="40"/>
        <v>0</v>
      </c>
      <c r="L172" s="433">
        <f t="shared" si="40"/>
        <v>0</v>
      </c>
      <c r="M172" s="433">
        <f t="shared" si="40"/>
        <v>0</v>
      </c>
      <c r="N172" s="433">
        <f t="shared" si="40"/>
        <v>0</v>
      </c>
      <c r="O172" s="433">
        <f t="shared" si="40"/>
        <v>0</v>
      </c>
      <c r="P172" s="433">
        <f t="shared" si="40"/>
        <v>0</v>
      </c>
      <c r="Q172" s="433">
        <f t="shared" si="40"/>
        <v>0</v>
      </c>
      <c r="R172" s="433">
        <f t="shared" si="40"/>
        <v>0</v>
      </c>
      <c r="S172" s="433">
        <f t="shared" si="40"/>
        <v>0</v>
      </c>
      <c r="T172" s="433">
        <f t="shared" si="40"/>
        <v>0</v>
      </c>
      <c r="U172" s="433">
        <f t="shared" si="40"/>
        <v>0</v>
      </c>
      <c r="V172" s="433">
        <f t="shared" si="40"/>
        <v>0</v>
      </c>
      <c r="W172" s="433">
        <f t="shared" si="40"/>
        <v>0</v>
      </c>
      <c r="X172" s="433">
        <f t="shared" si="40"/>
        <v>0</v>
      </c>
      <c r="Y172" s="433">
        <f t="shared" si="40"/>
        <v>0</v>
      </c>
      <c r="Z172" s="433">
        <f t="shared" si="40"/>
        <v>0</v>
      </c>
      <c r="AA172" s="433">
        <f t="shared" si="40"/>
        <v>0</v>
      </c>
      <c r="AB172" s="433">
        <f t="shared" si="40"/>
        <v>0</v>
      </c>
      <c r="AC172" s="433">
        <f t="shared" si="40"/>
        <v>0</v>
      </c>
      <c r="AD172" s="433">
        <f t="shared" si="40"/>
        <v>0</v>
      </c>
      <c r="AE172" s="433">
        <f t="shared" si="40"/>
        <v>0</v>
      </c>
      <c r="AF172" s="433">
        <f t="shared" si="40"/>
        <v>0</v>
      </c>
      <c r="AG172" s="433">
        <f t="shared" si="40"/>
        <v>0</v>
      </c>
      <c r="AH172" s="433">
        <f t="shared" si="40"/>
        <v>0</v>
      </c>
      <c r="AI172" s="433">
        <f t="shared" si="40"/>
        <v>0</v>
      </c>
      <c r="AJ172" s="433">
        <f t="shared" si="40"/>
        <v>0</v>
      </c>
      <c r="AK172" s="433">
        <f t="shared" si="40"/>
        <v>0</v>
      </c>
      <c r="AL172" s="433">
        <f t="shared" si="40"/>
        <v>0</v>
      </c>
      <c r="AM172" s="581"/>
    </row>
    <row r="173" spans="1:39" s="426" customFormat="1" ht="13.5" thickBot="1">
      <c r="A173" s="642"/>
      <c r="B173" s="674"/>
      <c r="C173" s="668"/>
      <c r="D173" s="670"/>
      <c r="E173" s="665"/>
      <c r="F173" s="435">
        <f>F167+F170</f>
        <v>1009500</v>
      </c>
      <c r="G173" s="443" t="s">
        <v>125</v>
      </c>
      <c r="H173" s="437">
        <f aca="true" t="shared" si="41" ref="H173:AL173">H167+H169+H171</f>
        <v>0</v>
      </c>
      <c r="I173" s="444">
        <f t="shared" si="41"/>
        <v>0</v>
      </c>
      <c r="J173" s="444">
        <f t="shared" si="41"/>
        <v>0</v>
      </c>
      <c r="K173" s="444">
        <f t="shared" si="41"/>
        <v>0</v>
      </c>
      <c r="L173" s="444">
        <f t="shared" si="41"/>
        <v>0</v>
      </c>
      <c r="M173" s="444">
        <f t="shared" si="41"/>
        <v>0</v>
      </c>
      <c r="N173" s="444">
        <f t="shared" si="41"/>
        <v>0</v>
      </c>
      <c r="O173" s="444">
        <f t="shared" si="41"/>
        <v>0</v>
      </c>
      <c r="P173" s="444">
        <f t="shared" si="41"/>
        <v>0</v>
      </c>
      <c r="Q173" s="444">
        <f t="shared" si="41"/>
        <v>0</v>
      </c>
      <c r="R173" s="444">
        <f t="shared" si="41"/>
        <v>0</v>
      </c>
      <c r="S173" s="444">
        <f t="shared" si="41"/>
        <v>0</v>
      </c>
      <c r="T173" s="444">
        <f t="shared" si="41"/>
        <v>0</v>
      </c>
      <c r="U173" s="444">
        <f t="shared" si="41"/>
        <v>0</v>
      </c>
      <c r="V173" s="444">
        <f t="shared" si="41"/>
        <v>0</v>
      </c>
      <c r="W173" s="444">
        <f t="shared" si="41"/>
        <v>0</v>
      </c>
      <c r="X173" s="444">
        <f t="shared" si="41"/>
        <v>0</v>
      </c>
      <c r="Y173" s="444">
        <f t="shared" si="41"/>
        <v>0</v>
      </c>
      <c r="Z173" s="444">
        <f t="shared" si="41"/>
        <v>0</v>
      </c>
      <c r="AA173" s="444">
        <f t="shared" si="41"/>
        <v>0</v>
      </c>
      <c r="AB173" s="444">
        <f t="shared" si="41"/>
        <v>0</v>
      </c>
      <c r="AC173" s="444">
        <f t="shared" si="41"/>
        <v>0</v>
      </c>
      <c r="AD173" s="444">
        <f t="shared" si="41"/>
        <v>0</v>
      </c>
      <c r="AE173" s="444">
        <f t="shared" si="41"/>
        <v>0</v>
      </c>
      <c r="AF173" s="444">
        <f t="shared" si="41"/>
        <v>0</v>
      </c>
      <c r="AG173" s="444">
        <f t="shared" si="41"/>
        <v>0</v>
      </c>
      <c r="AH173" s="444">
        <f t="shared" si="41"/>
        <v>0</v>
      </c>
      <c r="AI173" s="444">
        <f t="shared" si="41"/>
        <v>0</v>
      </c>
      <c r="AJ173" s="444">
        <f t="shared" si="41"/>
        <v>0</v>
      </c>
      <c r="AK173" s="444">
        <f t="shared" si="41"/>
        <v>0</v>
      </c>
      <c r="AL173" s="444">
        <f t="shared" si="41"/>
        <v>0</v>
      </c>
      <c r="AM173" s="582"/>
    </row>
    <row r="174" spans="1:39" s="426" customFormat="1" ht="12.75" customHeight="1">
      <c r="A174" s="640">
        <v>22</v>
      </c>
      <c r="B174" s="672" t="s">
        <v>259</v>
      </c>
      <c r="C174" s="666">
        <v>85201</v>
      </c>
      <c r="D174" s="669" t="s">
        <v>254</v>
      </c>
      <c r="E174" s="659">
        <v>2011</v>
      </c>
      <c r="F174" s="421" t="s">
        <v>113</v>
      </c>
      <c r="G174" s="422" t="s">
        <v>114</v>
      </c>
      <c r="H174" s="440">
        <f>369600</f>
        <v>369600</v>
      </c>
      <c r="I174" s="441">
        <v>554400</v>
      </c>
      <c r="J174" s="441">
        <v>554400</v>
      </c>
      <c r="K174" s="441">
        <v>554400</v>
      </c>
      <c r="L174" s="441">
        <v>554400</v>
      </c>
      <c r="M174" s="441">
        <v>184800</v>
      </c>
      <c r="N174" s="441"/>
      <c r="O174" s="441"/>
      <c r="P174" s="442"/>
      <c r="Q174" s="442"/>
      <c r="R174" s="442"/>
      <c r="S174" s="442"/>
      <c r="T174" s="442"/>
      <c r="U174" s="442"/>
      <c r="V174" s="442"/>
      <c r="W174" s="442"/>
      <c r="X174" s="442"/>
      <c r="Y174" s="442"/>
      <c r="Z174" s="442"/>
      <c r="AA174" s="442"/>
      <c r="AB174" s="442"/>
      <c r="AC174" s="442"/>
      <c r="AD174" s="442"/>
      <c r="AE174" s="442"/>
      <c r="AF174" s="442"/>
      <c r="AG174" s="442"/>
      <c r="AH174" s="442"/>
      <c r="AI174" s="442"/>
      <c r="AJ174" s="442"/>
      <c r="AK174" s="442"/>
      <c r="AL174" s="442"/>
      <c r="AM174" s="580">
        <f>SUM(J180:AL181)</f>
        <v>1848000</v>
      </c>
    </row>
    <row r="175" spans="1:39" s="426" customFormat="1" ht="12.75">
      <c r="A175" s="641"/>
      <c r="B175" s="673"/>
      <c r="C175" s="667"/>
      <c r="D175" s="670"/>
      <c r="E175" s="660"/>
      <c r="F175" s="662">
        <f>SUM(H180:AL180)</f>
        <v>2772000</v>
      </c>
      <c r="G175" s="427" t="s">
        <v>115</v>
      </c>
      <c r="H175" s="428"/>
      <c r="I175" s="429"/>
      <c r="J175" s="429"/>
      <c r="K175" s="429"/>
      <c r="L175" s="429"/>
      <c r="M175" s="429"/>
      <c r="N175" s="429"/>
      <c r="O175" s="429"/>
      <c r="P175" s="430"/>
      <c r="Q175" s="430"/>
      <c r="R175" s="430"/>
      <c r="S175" s="430"/>
      <c r="T175" s="430"/>
      <c r="U175" s="430"/>
      <c r="V175" s="430"/>
      <c r="W175" s="430"/>
      <c r="X175" s="430"/>
      <c r="Y175" s="430"/>
      <c r="Z175" s="430"/>
      <c r="AA175" s="430"/>
      <c r="AB175" s="430"/>
      <c r="AC175" s="430"/>
      <c r="AD175" s="430"/>
      <c r="AE175" s="430"/>
      <c r="AF175" s="430"/>
      <c r="AG175" s="430"/>
      <c r="AH175" s="430"/>
      <c r="AI175" s="430"/>
      <c r="AJ175" s="430"/>
      <c r="AK175" s="430"/>
      <c r="AL175" s="430"/>
      <c r="AM175" s="581"/>
    </row>
    <row r="176" spans="1:39" s="426" customFormat="1" ht="12.75">
      <c r="A176" s="641"/>
      <c r="B176" s="673"/>
      <c r="C176" s="667"/>
      <c r="D176" s="670"/>
      <c r="E176" s="660"/>
      <c r="F176" s="663"/>
      <c r="G176" s="427" t="s">
        <v>116</v>
      </c>
      <c r="H176" s="428"/>
      <c r="I176" s="429"/>
      <c r="J176" s="429"/>
      <c r="K176" s="429"/>
      <c r="L176" s="429"/>
      <c r="M176" s="429"/>
      <c r="N176" s="429"/>
      <c r="O176" s="429"/>
      <c r="P176" s="430"/>
      <c r="Q176" s="430"/>
      <c r="R176" s="430"/>
      <c r="S176" s="430"/>
      <c r="T176" s="430"/>
      <c r="U176" s="430"/>
      <c r="V176" s="430"/>
      <c r="W176" s="430"/>
      <c r="X176" s="430"/>
      <c r="Y176" s="430"/>
      <c r="Z176" s="430"/>
      <c r="AA176" s="430"/>
      <c r="AB176" s="430"/>
      <c r="AC176" s="430"/>
      <c r="AD176" s="430"/>
      <c r="AE176" s="430"/>
      <c r="AF176" s="430"/>
      <c r="AG176" s="430"/>
      <c r="AH176" s="430"/>
      <c r="AI176" s="430"/>
      <c r="AJ176" s="430"/>
      <c r="AK176" s="430"/>
      <c r="AL176" s="430"/>
      <c r="AM176" s="581"/>
    </row>
    <row r="177" spans="1:39" s="426" customFormat="1" ht="12.75">
      <c r="A177" s="641"/>
      <c r="B177" s="673"/>
      <c r="C177" s="667"/>
      <c r="D177" s="670"/>
      <c r="E177" s="661"/>
      <c r="F177" s="431" t="s">
        <v>117</v>
      </c>
      <c r="G177" s="427" t="s">
        <v>118</v>
      </c>
      <c r="H177" s="428"/>
      <c r="I177" s="429"/>
      <c r="J177" s="429"/>
      <c r="K177" s="429"/>
      <c r="L177" s="429"/>
      <c r="M177" s="429"/>
      <c r="N177" s="429"/>
      <c r="O177" s="429"/>
      <c r="P177" s="430"/>
      <c r="Q177" s="430"/>
      <c r="R177" s="430"/>
      <c r="S177" s="430"/>
      <c r="T177" s="430"/>
      <c r="U177" s="430"/>
      <c r="V177" s="430"/>
      <c r="W177" s="430"/>
      <c r="X177" s="430"/>
      <c r="Y177" s="430"/>
      <c r="Z177" s="430"/>
      <c r="AA177" s="430"/>
      <c r="AB177" s="430"/>
      <c r="AC177" s="430"/>
      <c r="AD177" s="430"/>
      <c r="AE177" s="430"/>
      <c r="AF177" s="430"/>
      <c r="AG177" s="430"/>
      <c r="AH177" s="430"/>
      <c r="AI177" s="430"/>
      <c r="AJ177" s="430"/>
      <c r="AK177" s="430"/>
      <c r="AL177" s="430"/>
      <c r="AM177" s="581"/>
    </row>
    <row r="178" spans="1:39" s="426" customFormat="1" ht="12.75">
      <c r="A178" s="641"/>
      <c r="B178" s="673"/>
      <c r="C178" s="667"/>
      <c r="D178" s="670"/>
      <c r="E178" s="664">
        <v>2016</v>
      </c>
      <c r="F178" s="662">
        <f>SUM(H181:AL181)</f>
        <v>0</v>
      </c>
      <c r="G178" s="427" t="s">
        <v>122</v>
      </c>
      <c r="H178" s="428"/>
      <c r="I178" s="429"/>
      <c r="J178" s="429"/>
      <c r="K178" s="429"/>
      <c r="L178" s="429"/>
      <c r="M178" s="429"/>
      <c r="N178" s="429"/>
      <c r="O178" s="429"/>
      <c r="P178" s="430"/>
      <c r="Q178" s="430"/>
      <c r="R178" s="430"/>
      <c r="S178" s="430"/>
      <c r="T178" s="430"/>
      <c r="U178" s="430"/>
      <c r="V178" s="430"/>
      <c r="W178" s="430"/>
      <c r="X178" s="430"/>
      <c r="Y178" s="430"/>
      <c r="Z178" s="430"/>
      <c r="AA178" s="430"/>
      <c r="AB178" s="430"/>
      <c r="AC178" s="430"/>
      <c r="AD178" s="430"/>
      <c r="AE178" s="430"/>
      <c r="AF178" s="430"/>
      <c r="AG178" s="430"/>
      <c r="AH178" s="430"/>
      <c r="AI178" s="430"/>
      <c r="AJ178" s="430"/>
      <c r="AK178" s="430"/>
      <c r="AL178" s="430"/>
      <c r="AM178" s="581"/>
    </row>
    <row r="179" spans="1:39" s="426" customFormat="1" ht="12.75">
      <c r="A179" s="641"/>
      <c r="B179" s="673"/>
      <c r="C179" s="667"/>
      <c r="D179" s="670"/>
      <c r="E179" s="660"/>
      <c r="F179" s="663"/>
      <c r="G179" s="427" t="s">
        <v>123</v>
      </c>
      <c r="H179" s="428"/>
      <c r="I179" s="429"/>
      <c r="J179" s="429"/>
      <c r="K179" s="429"/>
      <c r="L179" s="429"/>
      <c r="M179" s="429"/>
      <c r="N179" s="429"/>
      <c r="O179" s="429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430"/>
      <c r="AE179" s="430"/>
      <c r="AF179" s="430"/>
      <c r="AG179" s="430"/>
      <c r="AH179" s="430"/>
      <c r="AI179" s="430"/>
      <c r="AJ179" s="430"/>
      <c r="AK179" s="430"/>
      <c r="AL179" s="430"/>
      <c r="AM179" s="581"/>
    </row>
    <row r="180" spans="1:39" s="426" customFormat="1" ht="12.75">
      <c r="A180" s="641"/>
      <c r="B180" s="673"/>
      <c r="C180" s="667"/>
      <c r="D180" s="670"/>
      <c r="E180" s="660"/>
      <c r="F180" s="431" t="s">
        <v>121</v>
      </c>
      <c r="G180" s="427" t="s">
        <v>124</v>
      </c>
      <c r="H180" s="432">
        <f aca="true" t="shared" si="42" ref="H180:AL180">H174+H176+H178</f>
        <v>369600</v>
      </c>
      <c r="I180" s="433">
        <f t="shared" si="42"/>
        <v>554400</v>
      </c>
      <c r="J180" s="433">
        <f t="shared" si="42"/>
        <v>554400</v>
      </c>
      <c r="K180" s="433">
        <f t="shared" si="42"/>
        <v>554400</v>
      </c>
      <c r="L180" s="433">
        <f t="shared" si="42"/>
        <v>554400</v>
      </c>
      <c r="M180" s="433">
        <f t="shared" si="42"/>
        <v>184800</v>
      </c>
      <c r="N180" s="433">
        <f t="shared" si="42"/>
        <v>0</v>
      </c>
      <c r="O180" s="433">
        <f t="shared" si="42"/>
        <v>0</v>
      </c>
      <c r="P180" s="433">
        <f t="shared" si="42"/>
        <v>0</v>
      </c>
      <c r="Q180" s="433">
        <f t="shared" si="42"/>
        <v>0</v>
      </c>
      <c r="R180" s="433">
        <f t="shared" si="42"/>
        <v>0</v>
      </c>
      <c r="S180" s="433">
        <f t="shared" si="42"/>
        <v>0</v>
      </c>
      <c r="T180" s="433">
        <f t="shared" si="42"/>
        <v>0</v>
      </c>
      <c r="U180" s="433">
        <f t="shared" si="42"/>
        <v>0</v>
      </c>
      <c r="V180" s="433">
        <f t="shared" si="42"/>
        <v>0</v>
      </c>
      <c r="W180" s="433">
        <f t="shared" si="42"/>
        <v>0</v>
      </c>
      <c r="X180" s="433">
        <f t="shared" si="42"/>
        <v>0</v>
      </c>
      <c r="Y180" s="433">
        <f t="shared" si="42"/>
        <v>0</v>
      </c>
      <c r="Z180" s="433">
        <f t="shared" si="42"/>
        <v>0</v>
      </c>
      <c r="AA180" s="433">
        <f t="shared" si="42"/>
        <v>0</v>
      </c>
      <c r="AB180" s="433">
        <f t="shared" si="42"/>
        <v>0</v>
      </c>
      <c r="AC180" s="433">
        <f t="shared" si="42"/>
        <v>0</v>
      </c>
      <c r="AD180" s="433">
        <f t="shared" si="42"/>
        <v>0</v>
      </c>
      <c r="AE180" s="433">
        <f t="shared" si="42"/>
        <v>0</v>
      </c>
      <c r="AF180" s="433">
        <f t="shared" si="42"/>
        <v>0</v>
      </c>
      <c r="AG180" s="433">
        <f t="shared" si="42"/>
        <v>0</v>
      </c>
      <c r="AH180" s="433">
        <f t="shared" si="42"/>
        <v>0</v>
      </c>
      <c r="AI180" s="433">
        <f t="shared" si="42"/>
        <v>0</v>
      </c>
      <c r="AJ180" s="433">
        <f t="shared" si="42"/>
        <v>0</v>
      </c>
      <c r="AK180" s="433">
        <f t="shared" si="42"/>
        <v>0</v>
      </c>
      <c r="AL180" s="433">
        <f t="shared" si="42"/>
        <v>0</v>
      </c>
      <c r="AM180" s="581"/>
    </row>
    <row r="181" spans="1:39" s="426" customFormat="1" ht="13.5" thickBot="1">
      <c r="A181" s="642"/>
      <c r="B181" s="674"/>
      <c r="C181" s="668"/>
      <c r="D181" s="670"/>
      <c r="E181" s="665"/>
      <c r="F181" s="435">
        <f>F175+F178</f>
        <v>2772000</v>
      </c>
      <c r="G181" s="443" t="s">
        <v>125</v>
      </c>
      <c r="H181" s="437">
        <f aca="true" t="shared" si="43" ref="H181:AL181">H175+H177+H179</f>
        <v>0</v>
      </c>
      <c r="I181" s="444">
        <f t="shared" si="43"/>
        <v>0</v>
      </c>
      <c r="J181" s="444">
        <f t="shared" si="43"/>
        <v>0</v>
      </c>
      <c r="K181" s="444">
        <f t="shared" si="43"/>
        <v>0</v>
      </c>
      <c r="L181" s="444">
        <f t="shared" si="43"/>
        <v>0</v>
      </c>
      <c r="M181" s="444">
        <f t="shared" si="43"/>
        <v>0</v>
      </c>
      <c r="N181" s="444">
        <f t="shared" si="43"/>
        <v>0</v>
      </c>
      <c r="O181" s="444">
        <f t="shared" si="43"/>
        <v>0</v>
      </c>
      <c r="P181" s="444">
        <f t="shared" si="43"/>
        <v>0</v>
      </c>
      <c r="Q181" s="444">
        <f t="shared" si="43"/>
        <v>0</v>
      </c>
      <c r="R181" s="444">
        <f t="shared" si="43"/>
        <v>0</v>
      </c>
      <c r="S181" s="444">
        <f t="shared" si="43"/>
        <v>0</v>
      </c>
      <c r="T181" s="444">
        <f t="shared" si="43"/>
        <v>0</v>
      </c>
      <c r="U181" s="444">
        <f t="shared" si="43"/>
        <v>0</v>
      </c>
      <c r="V181" s="444">
        <f t="shared" si="43"/>
        <v>0</v>
      </c>
      <c r="W181" s="444">
        <f t="shared" si="43"/>
        <v>0</v>
      </c>
      <c r="X181" s="444">
        <f t="shared" si="43"/>
        <v>0</v>
      </c>
      <c r="Y181" s="444">
        <f t="shared" si="43"/>
        <v>0</v>
      </c>
      <c r="Z181" s="444">
        <f t="shared" si="43"/>
        <v>0</v>
      </c>
      <c r="AA181" s="444">
        <f t="shared" si="43"/>
        <v>0</v>
      </c>
      <c r="AB181" s="444">
        <f t="shared" si="43"/>
        <v>0</v>
      </c>
      <c r="AC181" s="444">
        <f t="shared" si="43"/>
        <v>0</v>
      </c>
      <c r="AD181" s="444">
        <f t="shared" si="43"/>
        <v>0</v>
      </c>
      <c r="AE181" s="444">
        <f t="shared" si="43"/>
        <v>0</v>
      </c>
      <c r="AF181" s="444">
        <f t="shared" si="43"/>
        <v>0</v>
      </c>
      <c r="AG181" s="444">
        <f t="shared" si="43"/>
        <v>0</v>
      </c>
      <c r="AH181" s="444">
        <f t="shared" si="43"/>
        <v>0</v>
      </c>
      <c r="AI181" s="444">
        <f t="shared" si="43"/>
        <v>0</v>
      </c>
      <c r="AJ181" s="444">
        <f t="shared" si="43"/>
        <v>0</v>
      </c>
      <c r="AK181" s="444">
        <f t="shared" si="43"/>
        <v>0</v>
      </c>
      <c r="AL181" s="444">
        <f t="shared" si="43"/>
        <v>0</v>
      </c>
      <c r="AM181" s="582"/>
    </row>
    <row r="182" spans="1:39" s="426" customFormat="1" ht="12.75" customHeight="1">
      <c r="A182" s="640">
        <v>23</v>
      </c>
      <c r="B182" s="672" t="s">
        <v>260</v>
      </c>
      <c r="C182" s="666">
        <v>85203</v>
      </c>
      <c r="D182" s="669" t="s">
        <v>254</v>
      </c>
      <c r="E182" s="659">
        <v>2011</v>
      </c>
      <c r="F182" s="421" t="s">
        <v>113</v>
      </c>
      <c r="G182" s="422" t="s">
        <v>114</v>
      </c>
      <c r="H182" s="440">
        <v>103718</v>
      </c>
      <c r="I182" s="441">
        <v>340200</v>
      </c>
      <c r="J182" s="441"/>
      <c r="K182" s="441"/>
      <c r="L182" s="441"/>
      <c r="M182" s="441"/>
      <c r="N182" s="441"/>
      <c r="O182" s="441"/>
      <c r="P182" s="442"/>
      <c r="Q182" s="442"/>
      <c r="R182" s="442"/>
      <c r="S182" s="442"/>
      <c r="T182" s="442"/>
      <c r="U182" s="442"/>
      <c r="V182" s="442"/>
      <c r="W182" s="442"/>
      <c r="X182" s="442"/>
      <c r="Y182" s="442"/>
      <c r="Z182" s="442"/>
      <c r="AA182" s="442"/>
      <c r="AB182" s="442"/>
      <c r="AC182" s="442"/>
      <c r="AD182" s="442"/>
      <c r="AE182" s="442"/>
      <c r="AF182" s="442"/>
      <c r="AG182" s="442"/>
      <c r="AH182" s="442"/>
      <c r="AI182" s="442"/>
      <c r="AJ182" s="442"/>
      <c r="AK182" s="442"/>
      <c r="AL182" s="442"/>
      <c r="AM182" s="580">
        <f>SUM(J188:AL189)</f>
        <v>0</v>
      </c>
    </row>
    <row r="183" spans="1:39" s="426" customFormat="1" ht="10.5" customHeight="1">
      <c r="A183" s="641"/>
      <c r="B183" s="673"/>
      <c r="C183" s="667"/>
      <c r="D183" s="670"/>
      <c r="E183" s="660"/>
      <c r="F183" s="662">
        <f>SUM(H188:AL188)</f>
        <v>443918</v>
      </c>
      <c r="G183" s="427" t="s">
        <v>115</v>
      </c>
      <c r="H183" s="428"/>
      <c r="I183" s="429"/>
      <c r="J183" s="429"/>
      <c r="K183" s="429"/>
      <c r="L183" s="429"/>
      <c r="M183" s="429"/>
      <c r="N183" s="429"/>
      <c r="O183" s="429"/>
      <c r="P183" s="430"/>
      <c r="Q183" s="430"/>
      <c r="R183" s="430"/>
      <c r="S183" s="430"/>
      <c r="T183" s="430"/>
      <c r="U183" s="430"/>
      <c r="V183" s="430"/>
      <c r="W183" s="430"/>
      <c r="X183" s="430"/>
      <c r="Y183" s="430"/>
      <c r="Z183" s="430"/>
      <c r="AA183" s="430"/>
      <c r="AB183" s="430"/>
      <c r="AC183" s="430"/>
      <c r="AD183" s="430"/>
      <c r="AE183" s="430"/>
      <c r="AF183" s="430"/>
      <c r="AG183" s="430"/>
      <c r="AH183" s="430"/>
      <c r="AI183" s="430"/>
      <c r="AJ183" s="430"/>
      <c r="AK183" s="430"/>
      <c r="AL183" s="430"/>
      <c r="AM183" s="581"/>
    </row>
    <row r="184" spans="1:39" s="426" customFormat="1" ht="10.5" customHeight="1">
      <c r="A184" s="641"/>
      <c r="B184" s="673"/>
      <c r="C184" s="667"/>
      <c r="D184" s="670"/>
      <c r="E184" s="660"/>
      <c r="F184" s="663"/>
      <c r="G184" s="427" t="s">
        <v>116</v>
      </c>
      <c r="H184" s="428"/>
      <c r="I184" s="429"/>
      <c r="J184" s="429"/>
      <c r="K184" s="429"/>
      <c r="L184" s="429"/>
      <c r="M184" s="429"/>
      <c r="N184" s="429"/>
      <c r="O184" s="429"/>
      <c r="P184" s="430"/>
      <c r="Q184" s="430"/>
      <c r="R184" s="430"/>
      <c r="S184" s="430"/>
      <c r="T184" s="430"/>
      <c r="U184" s="430"/>
      <c r="V184" s="430"/>
      <c r="W184" s="430"/>
      <c r="X184" s="430"/>
      <c r="Y184" s="430"/>
      <c r="Z184" s="430"/>
      <c r="AA184" s="430"/>
      <c r="AB184" s="430"/>
      <c r="AC184" s="430"/>
      <c r="AD184" s="430"/>
      <c r="AE184" s="430"/>
      <c r="AF184" s="430"/>
      <c r="AG184" s="430"/>
      <c r="AH184" s="430"/>
      <c r="AI184" s="430"/>
      <c r="AJ184" s="430"/>
      <c r="AK184" s="430"/>
      <c r="AL184" s="430"/>
      <c r="AM184" s="581"/>
    </row>
    <row r="185" spans="1:39" s="426" customFormat="1" ht="12.75">
      <c r="A185" s="641"/>
      <c r="B185" s="673"/>
      <c r="C185" s="667"/>
      <c r="D185" s="670"/>
      <c r="E185" s="661"/>
      <c r="F185" s="431" t="s">
        <v>117</v>
      </c>
      <c r="G185" s="427" t="s">
        <v>118</v>
      </c>
      <c r="H185" s="428"/>
      <c r="I185" s="429"/>
      <c r="J185" s="429"/>
      <c r="K185" s="429"/>
      <c r="L185" s="429"/>
      <c r="M185" s="429"/>
      <c r="N185" s="429"/>
      <c r="O185" s="429"/>
      <c r="P185" s="430"/>
      <c r="Q185" s="430"/>
      <c r="R185" s="430"/>
      <c r="S185" s="430"/>
      <c r="T185" s="430"/>
      <c r="U185" s="430"/>
      <c r="V185" s="430"/>
      <c r="W185" s="430"/>
      <c r="X185" s="430"/>
      <c r="Y185" s="430"/>
      <c r="Z185" s="430"/>
      <c r="AA185" s="430"/>
      <c r="AB185" s="430"/>
      <c r="AC185" s="430"/>
      <c r="AD185" s="430"/>
      <c r="AE185" s="430"/>
      <c r="AF185" s="430"/>
      <c r="AG185" s="430"/>
      <c r="AH185" s="430"/>
      <c r="AI185" s="430"/>
      <c r="AJ185" s="430"/>
      <c r="AK185" s="430"/>
      <c r="AL185" s="430"/>
      <c r="AM185" s="581"/>
    </row>
    <row r="186" spans="1:39" s="426" customFormat="1" ht="12.75">
      <c r="A186" s="641"/>
      <c r="B186" s="673"/>
      <c r="C186" s="667"/>
      <c r="D186" s="670"/>
      <c r="E186" s="664">
        <v>2012</v>
      </c>
      <c r="F186" s="662">
        <f>SUM(H189:AL189)</f>
        <v>0</v>
      </c>
      <c r="G186" s="427" t="s">
        <v>122</v>
      </c>
      <c r="H186" s="428"/>
      <c r="I186" s="429"/>
      <c r="J186" s="429"/>
      <c r="K186" s="429"/>
      <c r="L186" s="429"/>
      <c r="M186" s="429"/>
      <c r="N186" s="429"/>
      <c r="O186" s="429"/>
      <c r="P186" s="430"/>
      <c r="Q186" s="430"/>
      <c r="R186" s="430"/>
      <c r="S186" s="430"/>
      <c r="T186" s="430"/>
      <c r="U186" s="430"/>
      <c r="V186" s="430"/>
      <c r="W186" s="430"/>
      <c r="X186" s="430"/>
      <c r="Y186" s="430"/>
      <c r="Z186" s="430"/>
      <c r="AA186" s="430"/>
      <c r="AB186" s="430"/>
      <c r="AC186" s="430"/>
      <c r="AD186" s="430"/>
      <c r="AE186" s="430"/>
      <c r="AF186" s="430"/>
      <c r="AG186" s="430"/>
      <c r="AH186" s="430"/>
      <c r="AI186" s="430"/>
      <c r="AJ186" s="430"/>
      <c r="AK186" s="430"/>
      <c r="AL186" s="430"/>
      <c r="AM186" s="581"/>
    </row>
    <row r="187" spans="1:39" s="426" customFormat="1" ht="12.75">
      <c r="A187" s="641"/>
      <c r="B187" s="673"/>
      <c r="C187" s="667"/>
      <c r="D187" s="670"/>
      <c r="E187" s="660"/>
      <c r="F187" s="663"/>
      <c r="G187" s="427" t="s">
        <v>123</v>
      </c>
      <c r="H187" s="428"/>
      <c r="I187" s="429"/>
      <c r="J187" s="429"/>
      <c r="K187" s="429"/>
      <c r="L187" s="429"/>
      <c r="M187" s="429"/>
      <c r="N187" s="429"/>
      <c r="O187" s="429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  <c r="AA187" s="430"/>
      <c r="AB187" s="430"/>
      <c r="AC187" s="430"/>
      <c r="AD187" s="430"/>
      <c r="AE187" s="430"/>
      <c r="AF187" s="430"/>
      <c r="AG187" s="430"/>
      <c r="AH187" s="430"/>
      <c r="AI187" s="430"/>
      <c r="AJ187" s="430"/>
      <c r="AK187" s="430"/>
      <c r="AL187" s="430"/>
      <c r="AM187" s="581"/>
    </row>
    <row r="188" spans="1:39" s="426" customFormat="1" ht="12.75">
      <c r="A188" s="641"/>
      <c r="B188" s="673"/>
      <c r="C188" s="667"/>
      <c r="D188" s="670"/>
      <c r="E188" s="660"/>
      <c r="F188" s="431" t="s">
        <v>121</v>
      </c>
      <c r="G188" s="427" t="s">
        <v>124</v>
      </c>
      <c r="H188" s="432">
        <f aca="true" t="shared" si="44" ref="H188:AL188">SUM(H182,H186)</f>
        <v>103718</v>
      </c>
      <c r="I188" s="433">
        <f t="shared" si="44"/>
        <v>340200</v>
      </c>
      <c r="J188" s="433">
        <f t="shared" si="44"/>
        <v>0</v>
      </c>
      <c r="K188" s="433">
        <f t="shared" si="44"/>
        <v>0</v>
      </c>
      <c r="L188" s="433">
        <f t="shared" si="44"/>
        <v>0</v>
      </c>
      <c r="M188" s="433">
        <f t="shared" si="44"/>
        <v>0</v>
      </c>
      <c r="N188" s="433">
        <f t="shared" si="44"/>
        <v>0</v>
      </c>
      <c r="O188" s="433">
        <f t="shared" si="44"/>
        <v>0</v>
      </c>
      <c r="P188" s="433">
        <f t="shared" si="44"/>
        <v>0</v>
      </c>
      <c r="Q188" s="433">
        <f t="shared" si="44"/>
        <v>0</v>
      </c>
      <c r="R188" s="433">
        <f t="shared" si="44"/>
        <v>0</v>
      </c>
      <c r="S188" s="433">
        <f t="shared" si="44"/>
        <v>0</v>
      </c>
      <c r="T188" s="433">
        <f t="shared" si="44"/>
        <v>0</v>
      </c>
      <c r="U188" s="433">
        <f t="shared" si="44"/>
        <v>0</v>
      </c>
      <c r="V188" s="433">
        <f t="shared" si="44"/>
        <v>0</v>
      </c>
      <c r="W188" s="433">
        <f t="shared" si="44"/>
        <v>0</v>
      </c>
      <c r="X188" s="433">
        <f t="shared" si="44"/>
        <v>0</v>
      </c>
      <c r="Y188" s="433">
        <f t="shared" si="44"/>
        <v>0</v>
      </c>
      <c r="Z188" s="433">
        <f t="shared" si="44"/>
        <v>0</v>
      </c>
      <c r="AA188" s="433">
        <f t="shared" si="44"/>
        <v>0</v>
      </c>
      <c r="AB188" s="433">
        <f t="shared" si="44"/>
        <v>0</v>
      </c>
      <c r="AC188" s="433">
        <f t="shared" si="44"/>
        <v>0</v>
      </c>
      <c r="AD188" s="433">
        <f t="shared" si="44"/>
        <v>0</v>
      </c>
      <c r="AE188" s="433">
        <f t="shared" si="44"/>
        <v>0</v>
      </c>
      <c r="AF188" s="433">
        <f t="shared" si="44"/>
        <v>0</v>
      </c>
      <c r="AG188" s="433">
        <f t="shared" si="44"/>
        <v>0</v>
      </c>
      <c r="AH188" s="433">
        <f t="shared" si="44"/>
        <v>0</v>
      </c>
      <c r="AI188" s="433">
        <f t="shared" si="44"/>
        <v>0</v>
      </c>
      <c r="AJ188" s="433">
        <f t="shared" si="44"/>
        <v>0</v>
      </c>
      <c r="AK188" s="433">
        <f t="shared" si="44"/>
        <v>0</v>
      </c>
      <c r="AL188" s="433">
        <f t="shared" si="44"/>
        <v>0</v>
      </c>
      <c r="AM188" s="581"/>
    </row>
    <row r="189" spans="1:39" s="426" customFormat="1" ht="13.5" thickBot="1">
      <c r="A189" s="642"/>
      <c r="B189" s="674"/>
      <c r="C189" s="668"/>
      <c r="D189" s="670"/>
      <c r="E189" s="665"/>
      <c r="F189" s="435">
        <f>F183+F186</f>
        <v>443918</v>
      </c>
      <c r="G189" s="443" t="s">
        <v>125</v>
      </c>
      <c r="H189" s="432">
        <f aca="true" t="shared" si="45" ref="H189:AL189">SUM(H183,H187)</f>
        <v>0</v>
      </c>
      <c r="I189" s="444">
        <f t="shared" si="45"/>
        <v>0</v>
      </c>
      <c r="J189" s="444">
        <f t="shared" si="45"/>
        <v>0</v>
      </c>
      <c r="K189" s="444">
        <f t="shared" si="45"/>
        <v>0</v>
      </c>
      <c r="L189" s="444">
        <f t="shared" si="45"/>
        <v>0</v>
      </c>
      <c r="M189" s="444">
        <f t="shared" si="45"/>
        <v>0</v>
      </c>
      <c r="N189" s="444">
        <f t="shared" si="45"/>
        <v>0</v>
      </c>
      <c r="O189" s="444">
        <f t="shared" si="45"/>
        <v>0</v>
      </c>
      <c r="P189" s="444">
        <f t="shared" si="45"/>
        <v>0</v>
      </c>
      <c r="Q189" s="444">
        <f t="shared" si="45"/>
        <v>0</v>
      </c>
      <c r="R189" s="444">
        <f t="shared" si="45"/>
        <v>0</v>
      </c>
      <c r="S189" s="444">
        <f t="shared" si="45"/>
        <v>0</v>
      </c>
      <c r="T189" s="444">
        <f t="shared" si="45"/>
        <v>0</v>
      </c>
      <c r="U189" s="444">
        <f t="shared" si="45"/>
        <v>0</v>
      </c>
      <c r="V189" s="444">
        <f t="shared" si="45"/>
        <v>0</v>
      </c>
      <c r="W189" s="444">
        <f t="shared" si="45"/>
        <v>0</v>
      </c>
      <c r="X189" s="444">
        <f t="shared" si="45"/>
        <v>0</v>
      </c>
      <c r="Y189" s="444">
        <f t="shared" si="45"/>
        <v>0</v>
      </c>
      <c r="Z189" s="444">
        <f t="shared" si="45"/>
        <v>0</v>
      </c>
      <c r="AA189" s="444">
        <f t="shared" si="45"/>
        <v>0</v>
      </c>
      <c r="AB189" s="444">
        <f t="shared" si="45"/>
        <v>0</v>
      </c>
      <c r="AC189" s="444">
        <f t="shared" si="45"/>
        <v>0</v>
      </c>
      <c r="AD189" s="444">
        <f t="shared" si="45"/>
        <v>0</v>
      </c>
      <c r="AE189" s="444">
        <f t="shared" si="45"/>
        <v>0</v>
      </c>
      <c r="AF189" s="444">
        <f t="shared" si="45"/>
        <v>0</v>
      </c>
      <c r="AG189" s="444">
        <f t="shared" si="45"/>
        <v>0</v>
      </c>
      <c r="AH189" s="444">
        <f t="shared" si="45"/>
        <v>0</v>
      </c>
      <c r="AI189" s="444">
        <f t="shared" si="45"/>
        <v>0</v>
      </c>
      <c r="AJ189" s="444">
        <f t="shared" si="45"/>
        <v>0</v>
      </c>
      <c r="AK189" s="444">
        <f t="shared" si="45"/>
        <v>0</v>
      </c>
      <c r="AL189" s="444">
        <f t="shared" si="45"/>
        <v>0</v>
      </c>
      <c r="AM189" s="582"/>
    </row>
    <row r="190" spans="1:39" s="426" customFormat="1" ht="12.75" customHeight="1">
      <c r="A190" s="640">
        <v>24</v>
      </c>
      <c r="B190" s="672" t="s">
        <v>261</v>
      </c>
      <c r="C190" s="666">
        <v>85214</v>
      </c>
      <c r="D190" s="669" t="s">
        <v>254</v>
      </c>
      <c r="E190" s="659">
        <v>2010</v>
      </c>
      <c r="F190" s="421" t="s">
        <v>113</v>
      </c>
      <c r="G190" s="422" t="s">
        <v>114</v>
      </c>
      <c r="H190" s="440">
        <f>564242+566000</f>
        <v>1130242</v>
      </c>
      <c r="I190" s="441">
        <v>566000</v>
      </c>
      <c r="J190" s="441">
        <v>283000</v>
      </c>
      <c r="K190" s="441"/>
      <c r="L190" s="441"/>
      <c r="M190" s="441"/>
      <c r="N190" s="441"/>
      <c r="O190" s="441"/>
      <c r="P190" s="442"/>
      <c r="Q190" s="442"/>
      <c r="R190" s="442"/>
      <c r="S190" s="442"/>
      <c r="T190" s="442"/>
      <c r="U190" s="442"/>
      <c r="V190" s="442"/>
      <c r="W190" s="442"/>
      <c r="X190" s="442"/>
      <c r="Y190" s="442"/>
      <c r="Z190" s="442"/>
      <c r="AA190" s="442"/>
      <c r="AB190" s="442"/>
      <c r="AC190" s="442"/>
      <c r="AD190" s="442"/>
      <c r="AE190" s="442"/>
      <c r="AF190" s="442"/>
      <c r="AG190" s="442"/>
      <c r="AH190" s="442"/>
      <c r="AI190" s="442"/>
      <c r="AJ190" s="442"/>
      <c r="AK190" s="442"/>
      <c r="AL190" s="442"/>
      <c r="AM190" s="580">
        <f>SUM(J196:AL197)</f>
        <v>283000</v>
      </c>
    </row>
    <row r="191" spans="1:39" s="426" customFormat="1" ht="12.75">
      <c r="A191" s="641"/>
      <c r="B191" s="673"/>
      <c r="C191" s="667"/>
      <c r="D191" s="670"/>
      <c r="E191" s="660"/>
      <c r="F191" s="662">
        <f>SUM(H196:AL196)</f>
        <v>1979242</v>
      </c>
      <c r="G191" s="427" t="s">
        <v>115</v>
      </c>
      <c r="H191" s="428"/>
      <c r="I191" s="429"/>
      <c r="J191" s="429"/>
      <c r="K191" s="429"/>
      <c r="L191" s="429"/>
      <c r="M191" s="429"/>
      <c r="N191" s="429"/>
      <c r="O191" s="429"/>
      <c r="P191" s="430"/>
      <c r="Q191" s="430"/>
      <c r="R191" s="430"/>
      <c r="S191" s="430"/>
      <c r="T191" s="430"/>
      <c r="U191" s="430"/>
      <c r="V191" s="430"/>
      <c r="W191" s="430"/>
      <c r="X191" s="430"/>
      <c r="Y191" s="430"/>
      <c r="Z191" s="430"/>
      <c r="AA191" s="430"/>
      <c r="AB191" s="430"/>
      <c r="AC191" s="430"/>
      <c r="AD191" s="430"/>
      <c r="AE191" s="430"/>
      <c r="AF191" s="430"/>
      <c r="AG191" s="430"/>
      <c r="AH191" s="430"/>
      <c r="AI191" s="430"/>
      <c r="AJ191" s="430"/>
      <c r="AK191" s="430"/>
      <c r="AL191" s="430"/>
      <c r="AM191" s="581"/>
    </row>
    <row r="192" spans="1:39" s="426" customFormat="1" ht="12.75">
      <c r="A192" s="641"/>
      <c r="B192" s="673"/>
      <c r="C192" s="667"/>
      <c r="D192" s="670"/>
      <c r="E192" s="660"/>
      <c r="F192" s="663"/>
      <c r="G192" s="427" t="s">
        <v>116</v>
      </c>
      <c r="H192" s="428"/>
      <c r="I192" s="429"/>
      <c r="J192" s="429"/>
      <c r="K192" s="429"/>
      <c r="L192" s="429"/>
      <c r="M192" s="429"/>
      <c r="N192" s="429"/>
      <c r="O192" s="429"/>
      <c r="P192" s="430"/>
      <c r="Q192" s="430"/>
      <c r="R192" s="430"/>
      <c r="S192" s="430"/>
      <c r="T192" s="430"/>
      <c r="U192" s="430"/>
      <c r="V192" s="430"/>
      <c r="W192" s="430"/>
      <c r="X192" s="430"/>
      <c r="Y192" s="430"/>
      <c r="Z192" s="430"/>
      <c r="AA192" s="430"/>
      <c r="AB192" s="430"/>
      <c r="AC192" s="430"/>
      <c r="AD192" s="430"/>
      <c r="AE192" s="430"/>
      <c r="AF192" s="430"/>
      <c r="AG192" s="430"/>
      <c r="AH192" s="430"/>
      <c r="AI192" s="430"/>
      <c r="AJ192" s="430"/>
      <c r="AK192" s="430"/>
      <c r="AL192" s="430"/>
      <c r="AM192" s="581"/>
    </row>
    <row r="193" spans="1:39" s="426" customFormat="1" ht="12.75">
      <c r="A193" s="641"/>
      <c r="B193" s="673"/>
      <c r="C193" s="667"/>
      <c r="D193" s="670"/>
      <c r="E193" s="661"/>
      <c r="F193" s="431" t="s">
        <v>117</v>
      </c>
      <c r="G193" s="427" t="s">
        <v>118</v>
      </c>
      <c r="H193" s="428"/>
      <c r="I193" s="429"/>
      <c r="J193" s="429"/>
      <c r="K193" s="429"/>
      <c r="L193" s="429"/>
      <c r="M193" s="429"/>
      <c r="N193" s="429"/>
      <c r="O193" s="429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0"/>
      <c r="AC193" s="430"/>
      <c r="AD193" s="430"/>
      <c r="AE193" s="430"/>
      <c r="AF193" s="430"/>
      <c r="AG193" s="430"/>
      <c r="AH193" s="430"/>
      <c r="AI193" s="430"/>
      <c r="AJ193" s="430"/>
      <c r="AK193" s="430"/>
      <c r="AL193" s="430"/>
      <c r="AM193" s="581"/>
    </row>
    <row r="194" spans="1:39" s="426" customFormat="1" ht="12.75">
      <c r="A194" s="641"/>
      <c r="B194" s="673"/>
      <c r="C194" s="667"/>
      <c r="D194" s="670"/>
      <c r="E194" s="664">
        <v>2013</v>
      </c>
      <c r="F194" s="662">
        <f>SUM(H197:AL197)</f>
        <v>0</v>
      </c>
      <c r="G194" s="427" t="s">
        <v>122</v>
      </c>
      <c r="H194" s="428"/>
      <c r="I194" s="429"/>
      <c r="J194" s="429"/>
      <c r="K194" s="429"/>
      <c r="L194" s="429"/>
      <c r="M194" s="429"/>
      <c r="N194" s="429"/>
      <c r="O194" s="429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0"/>
      <c r="AC194" s="430"/>
      <c r="AD194" s="430"/>
      <c r="AE194" s="430"/>
      <c r="AF194" s="430"/>
      <c r="AG194" s="430"/>
      <c r="AH194" s="430"/>
      <c r="AI194" s="430"/>
      <c r="AJ194" s="430"/>
      <c r="AK194" s="430"/>
      <c r="AL194" s="430"/>
      <c r="AM194" s="581"/>
    </row>
    <row r="195" spans="1:39" s="426" customFormat="1" ht="12.75">
      <c r="A195" s="641"/>
      <c r="B195" s="673"/>
      <c r="C195" s="667"/>
      <c r="D195" s="670"/>
      <c r="E195" s="660"/>
      <c r="F195" s="663"/>
      <c r="G195" s="427" t="s">
        <v>123</v>
      </c>
      <c r="H195" s="428"/>
      <c r="I195" s="429"/>
      <c r="J195" s="429"/>
      <c r="K195" s="429"/>
      <c r="L195" s="429"/>
      <c r="M195" s="429"/>
      <c r="N195" s="429"/>
      <c r="O195" s="429"/>
      <c r="P195" s="430"/>
      <c r="Q195" s="430"/>
      <c r="R195" s="430"/>
      <c r="S195" s="430"/>
      <c r="T195" s="430"/>
      <c r="U195" s="430"/>
      <c r="V195" s="430"/>
      <c r="W195" s="430"/>
      <c r="X195" s="430"/>
      <c r="Y195" s="430"/>
      <c r="Z195" s="430"/>
      <c r="AA195" s="430"/>
      <c r="AB195" s="430"/>
      <c r="AC195" s="430"/>
      <c r="AD195" s="430"/>
      <c r="AE195" s="430"/>
      <c r="AF195" s="430"/>
      <c r="AG195" s="430"/>
      <c r="AH195" s="430"/>
      <c r="AI195" s="430"/>
      <c r="AJ195" s="430"/>
      <c r="AK195" s="430"/>
      <c r="AL195" s="430"/>
      <c r="AM195" s="581"/>
    </row>
    <row r="196" spans="1:39" s="426" customFormat="1" ht="12.75">
      <c r="A196" s="641"/>
      <c r="B196" s="673"/>
      <c r="C196" s="667"/>
      <c r="D196" s="670"/>
      <c r="E196" s="660"/>
      <c r="F196" s="431" t="s">
        <v>121</v>
      </c>
      <c r="G196" s="427" t="s">
        <v>124</v>
      </c>
      <c r="H196" s="432">
        <f aca="true" t="shared" si="46" ref="H196:AL196">H190+H192+H194</f>
        <v>1130242</v>
      </c>
      <c r="I196" s="433">
        <f t="shared" si="46"/>
        <v>566000</v>
      </c>
      <c r="J196" s="433">
        <f t="shared" si="46"/>
        <v>283000</v>
      </c>
      <c r="K196" s="433">
        <f t="shared" si="46"/>
        <v>0</v>
      </c>
      <c r="L196" s="433">
        <f t="shared" si="46"/>
        <v>0</v>
      </c>
      <c r="M196" s="433">
        <f t="shared" si="46"/>
        <v>0</v>
      </c>
      <c r="N196" s="433">
        <f t="shared" si="46"/>
        <v>0</v>
      </c>
      <c r="O196" s="433">
        <f t="shared" si="46"/>
        <v>0</v>
      </c>
      <c r="P196" s="433">
        <f t="shared" si="46"/>
        <v>0</v>
      </c>
      <c r="Q196" s="433">
        <f t="shared" si="46"/>
        <v>0</v>
      </c>
      <c r="R196" s="433">
        <f t="shared" si="46"/>
        <v>0</v>
      </c>
      <c r="S196" s="433">
        <f t="shared" si="46"/>
        <v>0</v>
      </c>
      <c r="T196" s="433">
        <f t="shared" si="46"/>
        <v>0</v>
      </c>
      <c r="U196" s="433">
        <f t="shared" si="46"/>
        <v>0</v>
      </c>
      <c r="V196" s="433">
        <f t="shared" si="46"/>
        <v>0</v>
      </c>
      <c r="W196" s="433">
        <f t="shared" si="46"/>
        <v>0</v>
      </c>
      <c r="X196" s="433">
        <f t="shared" si="46"/>
        <v>0</v>
      </c>
      <c r="Y196" s="433">
        <f t="shared" si="46"/>
        <v>0</v>
      </c>
      <c r="Z196" s="433">
        <f t="shared" si="46"/>
        <v>0</v>
      </c>
      <c r="AA196" s="433">
        <f t="shared" si="46"/>
        <v>0</v>
      </c>
      <c r="AB196" s="433">
        <f t="shared" si="46"/>
        <v>0</v>
      </c>
      <c r="AC196" s="433">
        <f t="shared" si="46"/>
        <v>0</v>
      </c>
      <c r="AD196" s="433">
        <f t="shared" si="46"/>
        <v>0</v>
      </c>
      <c r="AE196" s="433">
        <f t="shared" si="46"/>
        <v>0</v>
      </c>
      <c r="AF196" s="433">
        <f t="shared" si="46"/>
        <v>0</v>
      </c>
      <c r="AG196" s="433">
        <f t="shared" si="46"/>
        <v>0</v>
      </c>
      <c r="AH196" s="433">
        <f t="shared" si="46"/>
        <v>0</v>
      </c>
      <c r="AI196" s="433">
        <f t="shared" si="46"/>
        <v>0</v>
      </c>
      <c r="AJ196" s="433">
        <f t="shared" si="46"/>
        <v>0</v>
      </c>
      <c r="AK196" s="433">
        <f t="shared" si="46"/>
        <v>0</v>
      </c>
      <c r="AL196" s="433">
        <f t="shared" si="46"/>
        <v>0</v>
      </c>
      <c r="AM196" s="581"/>
    </row>
    <row r="197" spans="1:39" s="426" customFormat="1" ht="13.5" thickBot="1">
      <c r="A197" s="642"/>
      <c r="B197" s="674"/>
      <c r="C197" s="668"/>
      <c r="D197" s="671"/>
      <c r="E197" s="665"/>
      <c r="F197" s="435">
        <f>F191+F194</f>
        <v>1979242</v>
      </c>
      <c r="G197" s="443" t="s">
        <v>125</v>
      </c>
      <c r="H197" s="437">
        <f aca="true" t="shared" si="47" ref="H197:AL197">H191+H193+H195</f>
        <v>0</v>
      </c>
      <c r="I197" s="444">
        <f t="shared" si="47"/>
        <v>0</v>
      </c>
      <c r="J197" s="444">
        <f t="shared" si="47"/>
        <v>0</v>
      </c>
      <c r="K197" s="444">
        <f t="shared" si="47"/>
        <v>0</v>
      </c>
      <c r="L197" s="444">
        <f t="shared" si="47"/>
        <v>0</v>
      </c>
      <c r="M197" s="444">
        <f t="shared" si="47"/>
        <v>0</v>
      </c>
      <c r="N197" s="444">
        <f t="shared" si="47"/>
        <v>0</v>
      </c>
      <c r="O197" s="444">
        <f t="shared" si="47"/>
        <v>0</v>
      </c>
      <c r="P197" s="444">
        <f t="shared" si="47"/>
        <v>0</v>
      </c>
      <c r="Q197" s="444">
        <f t="shared" si="47"/>
        <v>0</v>
      </c>
      <c r="R197" s="444">
        <f t="shared" si="47"/>
        <v>0</v>
      </c>
      <c r="S197" s="444">
        <f t="shared" si="47"/>
        <v>0</v>
      </c>
      <c r="T197" s="444">
        <f t="shared" si="47"/>
        <v>0</v>
      </c>
      <c r="U197" s="444">
        <f t="shared" si="47"/>
        <v>0</v>
      </c>
      <c r="V197" s="444">
        <f t="shared" si="47"/>
        <v>0</v>
      </c>
      <c r="W197" s="444">
        <f t="shared" si="47"/>
        <v>0</v>
      </c>
      <c r="X197" s="444">
        <f t="shared" si="47"/>
        <v>0</v>
      </c>
      <c r="Y197" s="444">
        <f t="shared" si="47"/>
        <v>0</v>
      </c>
      <c r="Z197" s="444">
        <f t="shared" si="47"/>
        <v>0</v>
      </c>
      <c r="AA197" s="444">
        <f t="shared" si="47"/>
        <v>0</v>
      </c>
      <c r="AB197" s="444">
        <f t="shared" si="47"/>
        <v>0</v>
      </c>
      <c r="AC197" s="444">
        <f t="shared" si="47"/>
        <v>0</v>
      </c>
      <c r="AD197" s="444">
        <f t="shared" si="47"/>
        <v>0</v>
      </c>
      <c r="AE197" s="444">
        <f t="shared" si="47"/>
        <v>0</v>
      </c>
      <c r="AF197" s="444">
        <f t="shared" si="47"/>
        <v>0</v>
      </c>
      <c r="AG197" s="444">
        <f t="shared" si="47"/>
        <v>0</v>
      </c>
      <c r="AH197" s="444">
        <f t="shared" si="47"/>
        <v>0</v>
      </c>
      <c r="AI197" s="444">
        <f t="shared" si="47"/>
        <v>0</v>
      </c>
      <c r="AJ197" s="444">
        <f t="shared" si="47"/>
        <v>0</v>
      </c>
      <c r="AK197" s="444">
        <f t="shared" si="47"/>
        <v>0</v>
      </c>
      <c r="AL197" s="444">
        <f t="shared" si="47"/>
        <v>0</v>
      </c>
      <c r="AM197" s="582"/>
    </row>
    <row r="198" spans="1:39" s="426" customFormat="1" ht="12.75" customHeight="1">
      <c r="A198" s="640">
        <v>25</v>
      </c>
      <c r="B198" s="672" t="s">
        <v>262</v>
      </c>
      <c r="C198" s="666">
        <v>85154</v>
      </c>
      <c r="D198" s="669" t="s">
        <v>254</v>
      </c>
      <c r="E198" s="660">
        <v>2011</v>
      </c>
      <c r="F198" s="421" t="s">
        <v>113</v>
      </c>
      <c r="G198" s="446" t="s">
        <v>114</v>
      </c>
      <c r="H198" s="440">
        <f>300000</f>
        <v>300000</v>
      </c>
      <c r="I198" s="424">
        <v>200000</v>
      </c>
      <c r="J198" s="424">
        <f>150000</f>
        <v>150000</v>
      </c>
      <c r="K198" s="424"/>
      <c r="L198" s="424"/>
      <c r="M198" s="424"/>
      <c r="N198" s="424"/>
      <c r="O198" s="424"/>
      <c r="P198" s="425"/>
      <c r="Q198" s="425"/>
      <c r="R198" s="425"/>
      <c r="S198" s="425"/>
      <c r="T198" s="425"/>
      <c r="U198" s="425"/>
      <c r="V198" s="425"/>
      <c r="W198" s="425"/>
      <c r="X198" s="425"/>
      <c r="Y198" s="425"/>
      <c r="Z198" s="425"/>
      <c r="AA198" s="425"/>
      <c r="AB198" s="425"/>
      <c r="AC198" s="425"/>
      <c r="AD198" s="425"/>
      <c r="AE198" s="425"/>
      <c r="AF198" s="425"/>
      <c r="AG198" s="425"/>
      <c r="AH198" s="425"/>
      <c r="AI198" s="425"/>
      <c r="AJ198" s="425"/>
      <c r="AK198" s="425"/>
      <c r="AL198" s="425"/>
      <c r="AM198" s="580">
        <f>SUM(J204:AL205)</f>
        <v>150000</v>
      </c>
    </row>
    <row r="199" spans="1:39" s="426" customFormat="1" ht="12.75">
      <c r="A199" s="641"/>
      <c r="B199" s="673"/>
      <c r="C199" s="667"/>
      <c r="D199" s="670"/>
      <c r="E199" s="660"/>
      <c r="F199" s="662">
        <f>SUM(H204:AL204)</f>
        <v>650000</v>
      </c>
      <c r="G199" s="427" t="s">
        <v>115</v>
      </c>
      <c r="H199" s="428"/>
      <c r="I199" s="429"/>
      <c r="J199" s="429"/>
      <c r="K199" s="429"/>
      <c r="L199" s="429"/>
      <c r="M199" s="429"/>
      <c r="N199" s="429"/>
      <c r="O199" s="429"/>
      <c r="P199" s="430"/>
      <c r="Q199" s="430"/>
      <c r="R199" s="430"/>
      <c r="S199" s="430"/>
      <c r="T199" s="430"/>
      <c r="U199" s="430"/>
      <c r="V199" s="430"/>
      <c r="W199" s="430"/>
      <c r="X199" s="430"/>
      <c r="Y199" s="430"/>
      <c r="Z199" s="430"/>
      <c r="AA199" s="430"/>
      <c r="AB199" s="430"/>
      <c r="AC199" s="430"/>
      <c r="AD199" s="430"/>
      <c r="AE199" s="430"/>
      <c r="AF199" s="430"/>
      <c r="AG199" s="430"/>
      <c r="AH199" s="430"/>
      <c r="AI199" s="430"/>
      <c r="AJ199" s="430"/>
      <c r="AK199" s="430"/>
      <c r="AL199" s="430"/>
      <c r="AM199" s="581"/>
    </row>
    <row r="200" spans="1:39" s="426" customFormat="1" ht="12.75">
      <c r="A200" s="641"/>
      <c r="B200" s="673"/>
      <c r="C200" s="667"/>
      <c r="D200" s="670"/>
      <c r="E200" s="660"/>
      <c r="F200" s="663"/>
      <c r="G200" s="427" t="s">
        <v>116</v>
      </c>
      <c r="H200" s="428"/>
      <c r="I200" s="429"/>
      <c r="J200" s="429"/>
      <c r="K200" s="429"/>
      <c r="L200" s="429"/>
      <c r="M200" s="429"/>
      <c r="N200" s="429"/>
      <c r="O200" s="429"/>
      <c r="P200" s="430"/>
      <c r="Q200" s="430"/>
      <c r="R200" s="430"/>
      <c r="S200" s="430"/>
      <c r="T200" s="430"/>
      <c r="U200" s="430"/>
      <c r="V200" s="430"/>
      <c r="W200" s="430"/>
      <c r="X200" s="430"/>
      <c r="Y200" s="430"/>
      <c r="Z200" s="430"/>
      <c r="AA200" s="430"/>
      <c r="AB200" s="430"/>
      <c r="AC200" s="430"/>
      <c r="AD200" s="430"/>
      <c r="AE200" s="430"/>
      <c r="AF200" s="430"/>
      <c r="AG200" s="430"/>
      <c r="AH200" s="430"/>
      <c r="AI200" s="430"/>
      <c r="AJ200" s="430"/>
      <c r="AK200" s="430"/>
      <c r="AL200" s="430"/>
      <c r="AM200" s="581"/>
    </row>
    <row r="201" spans="1:39" s="426" customFormat="1" ht="12.75">
      <c r="A201" s="641"/>
      <c r="B201" s="673"/>
      <c r="C201" s="667"/>
      <c r="D201" s="670"/>
      <c r="E201" s="661"/>
      <c r="F201" s="431" t="s">
        <v>117</v>
      </c>
      <c r="G201" s="427" t="s">
        <v>118</v>
      </c>
      <c r="H201" s="428"/>
      <c r="I201" s="429"/>
      <c r="J201" s="429"/>
      <c r="K201" s="429"/>
      <c r="L201" s="429"/>
      <c r="M201" s="429"/>
      <c r="N201" s="429"/>
      <c r="O201" s="429"/>
      <c r="P201" s="430"/>
      <c r="Q201" s="430"/>
      <c r="R201" s="430"/>
      <c r="S201" s="430"/>
      <c r="T201" s="430"/>
      <c r="U201" s="430"/>
      <c r="V201" s="430"/>
      <c r="W201" s="430"/>
      <c r="X201" s="430"/>
      <c r="Y201" s="430"/>
      <c r="Z201" s="430"/>
      <c r="AA201" s="430"/>
      <c r="AB201" s="430"/>
      <c r="AC201" s="430"/>
      <c r="AD201" s="430"/>
      <c r="AE201" s="430"/>
      <c r="AF201" s="430"/>
      <c r="AG201" s="430"/>
      <c r="AH201" s="430"/>
      <c r="AI201" s="430"/>
      <c r="AJ201" s="430"/>
      <c r="AK201" s="430"/>
      <c r="AL201" s="430"/>
      <c r="AM201" s="581"/>
    </row>
    <row r="202" spans="1:39" s="426" customFormat="1" ht="12.75">
      <c r="A202" s="641"/>
      <c r="B202" s="673"/>
      <c r="C202" s="667"/>
      <c r="D202" s="670"/>
      <c r="E202" s="664">
        <v>2013</v>
      </c>
      <c r="F202" s="662">
        <f>SUM(H199:L199)</f>
        <v>0</v>
      </c>
      <c r="G202" s="427" t="s">
        <v>122</v>
      </c>
      <c r="H202" s="428"/>
      <c r="I202" s="429"/>
      <c r="J202" s="429"/>
      <c r="K202" s="429"/>
      <c r="L202" s="429"/>
      <c r="M202" s="429"/>
      <c r="N202" s="429"/>
      <c r="O202" s="429"/>
      <c r="P202" s="430"/>
      <c r="Q202" s="430"/>
      <c r="R202" s="430"/>
      <c r="S202" s="430"/>
      <c r="T202" s="429"/>
      <c r="U202" s="430"/>
      <c r="V202" s="430"/>
      <c r="W202" s="430"/>
      <c r="X202" s="430"/>
      <c r="Y202" s="430"/>
      <c r="Z202" s="430"/>
      <c r="AA202" s="430"/>
      <c r="AB202" s="430"/>
      <c r="AC202" s="430"/>
      <c r="AD202" s="430"/>
      <c r="AE202" s="430"/>
      <c r="AF202" s="430"/>
      <c r="AG202" s="430"/>
      <c r="AH202" s="430"/>
      <c r="AI202" s="430"/>
      <c r="AJ202" s="430"/>
      <c r="AK202" s="430"/>
      <c r="AL202" s="430"/>
      <c r="AM202" s="581"/>
    </row>
    <row r="203" spans="1:39" s="426" customFormat="1" ht="12.75">
      <c r="A203" s="641"/>
      <c r="B203" s="673"/>
      <c r="C203" s="667"/>
      <c r="D203" s="670"/>
      <c r="E203" s="660"/>
      <c r="F203" s="663"/>
      <c r="G203" s="427" t="s">
        <v>123</v>
      </c>
      <c r="H203" s="428"/>
      <c r="I203" s="429"/>
      <c r="J203" s="429"/>
      <c r="K203" s="429"/>
      <c r="L203" s="429"/>
      <c r="M203" s="429"/>
      <c r="N203" s="429"/>
      <c r="O203" s="429"/>
      <c r="P203" s="430"/>
      <c r="Q203" s="430"/>
      <c r="R203" s="430"/>
      <c r="S203" s="430"/>
      <c r="T203" s="429"/>
      <c r="U203" s="430"/>
      <c r="V203" s="430"/>
      <c r="W203" s="430"/>
      <c r="X203" s="430"/>
      <c r="Y203" s="430"/>
      <c r="Z203" s="430"/>
      <c r="AA203" s="430"/>
      <c r="AB203" s="430"/>
      <c r="AC203" s="430"/>
      <c r="AD203" s="430"/>
      <c r="AE203" s="430"/>
      <c r="AF203" s="430"/>
      <c r="AG203" s="430"/>
      <c r="AH203" s="430"/>
      <c r="AI203" s="430"/>
      <c r="AJ203" s="430"/>
      <c r="AK203" s="430"/>
      <c r="AL203" s="430"/>
      <c r="AM203" s="581"/>
    </row>
    <row r="204" spans="1:39" s="426" customFormat="1" ht="12.75">
      <c r="A204" s="641"/>
      <c r="B204" s="673"/>
      <c r="C204" s="667"/>
      <c r="D204" s="670"/>
      <c r="E204" s="660"/>
      <c r="F204" s="431" t="s">
        <v>121</v>
      </c>
      <c r="G204" s="427" t="s">
        <v>124</v>
      </c>
      <c r="H204" s="432">
        <f aca="true" t="shared" si="48" ref="H204:AL204">H198+H200+H202</f>
        <v>300000</v>
      </c>
      <c r="I204" s="433">
        <f t="shared" si="48"/>
        <v>200000</v>
      </c>
      <c r="J204" s="433">
        <f t="shared" si="48"/>
        <v>150000</v>
      </c>
      <c r="K204" s="433">
        <f t="shared" si="48"/>
        <v>0</v>
      </c>
      <c r="L204" s="433">
        <f t="shared" si="48"/>
        <v>0</v>
      </c>
      <c r="M204" s="433">
        <f t="shared" si="48"/>
        <v>0</v>
      </c>
      <c r="N204" s="433">
        <f t="shared" si="48"/>
        <v>0</v>
      </c>
      <c r="O204" s="433">
        <f t="shared" si="48"/>
        <v>0</v>
      </c>
      <c r="P204" s="433">
        <f t="shared" si="48"/>
        <v>0</v>
      </c>
      <c r="Q204" s="433">
        <f t="shared" si="48"/>
        <v>0</v>
      </c>
      <c r="R204" s="433">
        <f t="shared" si="48"/>
        <v>0</v>
      </c>
      <c r="S204" s="433">
        <f t="shared" si="48"/>
        <v>0</v>
      </c>
      <c r="T204" s="433">
        <f t="shared" si="48"/>
        <v>0</v>
      </c>
      <c r="U204" s="433">
        <f t="shared" si="48"/>
        <v>0</v>
      </c>
      <c r="V204" s="433">
        <f t="shared" si="48"/>
        <v>0</v>
      </c>
      <c r="W204" s="433">
        <f t="shared" si="48"/>
        <v>0</v>
      </c>
      <c r="X204" s="433">
        <f t="shared" si="48"/>
        <v>0</v>
      </c>
      <c r="Y204" s="433">
        <f t="shared" si="48"/>
        <v>0</v>
      </c>
      <c r="Z204" s="433">
        <f t="shared" si="48"/>
        <v>0</v>
      </c>
      <c r="AA204" s="433">
        <f t="shared" si="48"/>
        <v>0</v>
      </c>
      <c r="AB204" s="433">
        <f t="shared" si="48"/>
        <v>0</v>
      </c>
      <c r="AC204" s="433">
        <f t="shared" si="48"/>
        <v>0</v>
      </c>
      <c r="AD204" s="433">
        <f t="shared" si="48"/>
        <v>0</v>
      </c>
      <c r="AE204" s="433">
        <f t="shared" si="48"/>
        <v>0</v>
      </c>
      <c r="AF204" s="433">
        <f t="shared" si="48"/>
        <v>0</v>
      </c>
      <c r="AG204" s="433">
        <f t="shared" si="48"/>
        <v>0</v>
      </c>
      <c r="AH204" s="433">
        <f t="shared" si="48"/>
        <v>0</v>
      </c>
      <c r="AI204" s="433">
        <f t="shared" si="48"/>
        <v>0</v>
      </c>
      <c r="AJ204" s="433">
        <f t="shared" si="48"/>
        <v>0</v>
      </c>
      <c r="AK204" s="433">
        <f t="shared" si="48"/>
        <v>0</v>
      </c>
      <c r="AL204" s="433">
        <f t="shared" si="48"/>
        <v>0</v>
      </c>
      <c r="AM204" s="581"/>
    </row>
    <row r="205" spans="1:39" s="426" customFormat="1" ht="13.5" thickBot="1">
      <c r="A205" s="642"/>
      <c r="B205" s="674"/>
      <c r="C205" s="668"/>
      <c r="D205" s="670"/>
      <c r="E205" s="665"/>
      <c r="F205" s="435">
        <f>F199+F202</f>
        <v>650000</v>
      </c>
      <c r="G205" s="443" t="s">
        <v>125</v>
      </c>
      <c r="H205" s="437">
        <f aca="true" t="shared" si="49" ref="H205:AL205">H199+H201+H203</f>
        <v>0</v>
      </c>
      <c r="I205" s="444">
        <f t="shared" si="49"/>
        <v>0</v>
      </c>
      <c r="J205" s="444">
        <f t="shared" si="49"/>
        <v>0</v>
      </c>
      <c r="K205" s="444">
        <f t="shared" si="49"/>
        <v>0</v>
      </c>
      <c r="L205" s="444">
        <f t="shared" si="49"/>
        <v>0</v>
      </c>
      <c r="M205" s="444">
        <f t="shared" si="49"/>
        <v>0</v>
      </c>
      <c r="N205" s="444">
        <f t="shared" si="49"/>
        <v>0</v>
      </c>
      <c r="O205" s="444">
        <f t="shared" si="49"/>
        <v>0</v>
      </c>
      <c r="P205" s="444">
        <f t="shared" si="49"/>
        <v>0</v>
      </c>
      <c r="Q205" s="444">
        <f t="shared" si="49"/>
        <v>0</v>
      </c>
      <c r="R205" s="444">
        <f t="shared" si="49"/>
        <v>0</v>
      </c>
      <c r="S205" s="444">
        <f t="shared" si="49"/>
        <v>0</v>
      </c>
      <c r="T205" s="444">
        <f t="shared" si="49"/>
        <v>0</v>
      </c>
      <c r="U205" s="438">
        <f t="shared" si="49"/>
        <v>0</v>
      </c>
      <c r="V205" s="438">
        <f t="shared" si="49"/>
        <v>0</v>
      </c>
      <c r="W205" s="438">
        <f t="shared" si="49"/>
        <v>0</v>
      </c>
      <c r="X205" s="438">
        <f t="shared" si="49"/>
        <v>0</v>
      </c>
      <c r="Y205" s="438">
        <f t="shared" si="49"/>
        <v>0</v>
      </c>
      <c r="Z205" s="438">
        <f t="shared" si="49"/>
        <v>0</v>
      </c>
      <c r="AA205" s="438">
        <f t="shared" si="49"/>
        <v>0</v>
      </c>
      <c r="AB205" s="438">
        <f t="shared" si="49"/>
        <v>0</v>
      </c>
      <c r="AC205" s="438">
        <f t="shared" si="49"/>
        <v>0</v>
      </c>
      <c r="AD205" s="438">
        <f t="shared" si="49"/>
        <v>0</v>
      </c>
      <c r="AE205" s="438">
        <f t="shared" si="49"/>
        <v>0</v>
      </c>
      <c r="AF205" s="438">
        <f t="shared" si="49"/>
        <v>0</v>
      </c>
      <c r="AG205" s="438">
        <f t="shared" si="49"/>
        <v>0</v>
      </c>
      <c r="AH205" s="438">
        <f t="shared" si="49"/>
        <v>0</v>
      </c>
      <c r="AI205" s="438">
        <f t="shared" si="49"/>
        <v>0</v>
      </c>
      <c r="AJ205" s="438">
        <f t="shared" si="49"/>
        <v>0</v>
      </c>
      <c r="AK205" s="438">
        <f t="shared" si="49"/>
        <v>0</v>
      </c>
      <c r="AL205" s="438">
        <f t="shared" si="49"/>
        <v>0</v>
      </c>
      <c r="AM205" s="582"/>
    </row>
    <row r="206" spans="1:39" s="426" customFormat="1" ht="12.75" customHeight="1">
      <c r="A206" s="640">
        <v>26</v>
      </c>
      <c r="B206" s="672" t="s">
        <v>263</v>
      </c>
      <c r="C206" s="666">
        <v>85214</v>
      </c>
      <c r="D206" s="669" t="s">
        <v>254</v>
      </c>
      <c r="E206" s="660">
        <v>2011</v>
      </c>
      <c r="F206" s="421" t="s">
        <v>113</v>
      </c>
      <c r="G206" s="446" t="s">
        <v>114</v>
      </c>
      <c r="H206" s="440">
        <v>200000</v>
      </c>
      <c r="I206" s="424">
        <v>200000</v>
      </c>
      <c r="J206" s="424">
        <v>110100</v>
      </c>
      <c r="K206" s="424"/>
      <c r="L206" s="424"/>
      <c r="M206" s="424"/>
      <c r="N206" s="424"/>
      <c r="O206" s="424"/>
      <c r="P206" s="425"/>
      <c r="Q206" s="425"/>
      <c r="R206" s="425"/>
      <c r="S206" s="425"/>
      <c r="T206" s="425"/>
      <c r="U206" s="425"/>
      <c r="V206" s="425"/>
      <c r="W206" s="425"/>
      <c r="X206" s="425"/>
      <c r="Y206" s="425"/>
      <c r="Z206" s="425"/>
      <c r="AA206" s="425"/>
      <c r="AB206" s="425"/>
      <c r="AC206" s="425"/>
      <c r="AD206" s="425"/>
      <c r="AE206" s="425"/>
      <c r="AF206" s="425"/>
      <c r="AG206" s="425"/>
      <c r="AH206" s="425"/>
      <c r="AI206" s="425"/>
      <c r="AJ206" s="425"/>
      <c r="AK206" s="425"/>
      <c r="AL206" s="425"/>
      <c r="AM206" s="580">
        <f>SUM(J212:AL213)</f>
        <v>110100</v>
      </c>
    </row>
    <row r="207" spans="1:39" s="426" customFormat="1" ht="12.75">
      <c r="A207" s="641"/>
      <c r="B207" s="673"/>
      <c r="C207" s="667"/>
      <c r="D207" s="670"/>
      <c r="E207" s="660"/>
      <c r="F207" s="662">
        <f>SUM(H212:AL212)</f>
        <v>510100</v>
      </c>
      <c r="G207" s="427" t="s">
        <v>115</v>
      </c>
      <c r="H207" s="428"/>
      <c r="I207" s="429"/>
      <c r="J207" s="429"/>
      <c r="K207" s="429"/>
      <c r="L207" s="429"/>
      <c r="M207" s="429"/>
      <c r="N207" s="429"/>
      <c r="O207" s="429"/>
      <c r="P207" s="430"/>
      <c r="Q207" s="430"/>
      <c r="R207" s="430"/>
      <c r="S207" s="430"/>
      <c r="T207" s="430"/>
      <c r="U207" s="430"/>
      <c r="V207" s="430"/>
      <c r="W207" s="430"/>
      <c r="X207" s="430"/>
      <c r="Y207" s="430"/>
      <c r="Z207" s="430"/>
      <c r="AA207" s="430"/>
      <c r="AB207" s="430"/>
      <c r="AC207" s="430"/>
      <c r="AD207" s="430"/>
      <c r="AE207" s="430"/>
      <c r="AF207" s="430"/>
      <c r="AG207" s="430"/>
      <c r="AH207" s="430"/>
      <c r="AI207" s="430"/>
      <c r="AJ207" s="430"/>
      <c r="AK207" s="430"/>
      <c r="AL207" s="430"/>
      <c r="AM207" s="581"/>
    </row>
    <row r="208" spans="1:39" s="426" customFormat="1" ht="12.75">
      <c r="A208" s="641"/>
      <c r="B208" s="673"/>
      <c r="C208" s="667"/>
      <c r="D208" s="670"/>
      <c r="E208" s="660"/>
      <c r="F208" s="663"/>
      <c r="G208" s="427" t="s">
        <v>116</v>
      </c>
      <c r="H208" s="428"/>
      <c r="I208" s="429"/>
      <c r="J208" s="429"/>
      <c r="K208" s="429"/>
      <c r="L208" s="429"/>
      <c r="M208" s="429"/>
      <c r="N208" s="429"/>
      <c r="O208" s="429"/>
      <c r="P208" s="430"/>
      <c r="Q208" s="430"/>
      <c r="R208" s="430"/>
      <c r="S208" s="430"/>
      <c r="T208" s="430"/>
      <c r="U208" s="430"/>
      <c r="V208" s="430"/>
      <c r="W208" s="430"/>
      <c r="X208" s="430"/>
      <c r="Y208" s="430"/>
      <c r="Z208" s="430"/>
      <c r="AA208" s="430"/>
      <c r="AB208" s="430"/>
      <c r="AC208" s="430"/>
      <c r="AD208" s="430"/>
      <c r="AE208" s="430"/>
      <c r="AF208" s="430"/>
      <c r="AG208" s="430"/>
      <c r="AH208" s="430"/>
      <c r="AI208" s="430"/>
      <c r="AJ208" s="430"/>
      <c r="AK208" s="430"/>
      <c r="AL208" s="430"/>
      <c r="AM208" s="581"/>
    </row>
    <row r="209" spans="1:39" s="426" customFormat="1" ht="12.75">
      <c r="A209" s="641"/>
      <c r="B209" s="673"/>
      <c r="C209" s="667"/>
      <c r="D209" s="670"/>
      <c r="E209" s="661"/>
      <c r="F209" s="431" t="s">
        <v>117</v>
      </c>
      <c r="G209" s="427" t="s">
        <v>118</v>
      </c>
      <c r="H209" s="428"/>
      <c r="I209" s="429"/>
      <c r="J209" s="429"/>
      <c r="K209" s="429"/>
      <c r="L209" s="429"/>
      <c r="M209" s="429"/>
      <c r="N209" s="429"/>
      <c r="O209" s="429"/>
      <c r="P209" s="430"/>
      <c r="Q209" s="430"/>
      <c r="R209" s="430"/>
      <c r="S209" s="430"/>
      <c r="T209" s="430"/>
      <c r="U209" s="430"/>
      <c r="V209" s="430"/>
      <c r="W209" s="430"/>
      <c r="X209" s="430"/>
      <c r="Y209" s="430"/>
      <c r="Z209" s="430"/>
      <c r="AA209" s="430"/>
      <c r="AB209" s="430"/>
      <c r="AC209" s="430"/>
      <c r="AD209" s="430"/>
      <c r="AE209" s="430"/>
      <c r="AF209" s="430"/>
      <c r="AG209" s="430"/>
      <c r="AH209" s="430"/>
      <c r="AI209" s="430"/>
      <c r="AJ209" s="430"/>
      <c r="AK209" s="430"/>
      <c r="AL209" s="430"/>
      <c r="AM209" s="581"/>
    </row>
    <row r="210" spans="1:39" s="426" customFormat="1" ht="12.75">
      <c r="A210" s="641"/>
      <c r="B210" s="673"/>
      <c r="C210" s="667"/>
      <c r="D210" s="670"/>
      <c r="E210" s="664">
        <v>2013</v>
      </c>
      <c r="F210" s="662">
        <f>SUM(H213:AL213)</f>
        <v>0</v>
      </c>
      <c r="G210" s="427" t="s">
        <v>122</v>
      </c>
      <c r="H210" s="428"/>
      <c r="I210" s="429"/>
      <c r="J210" s="429"/>
      <c r="K210" s="429"/>
      <c r="L210" s="429"/>
      <c r="M210" s="429"/>
      <c r="N210" s="429"/>
      <c r="O210" s="429"/>
      <c r="P210" s="430"/>
      <c r="Q210" s="430"/>
      <c r="R210" s="430"/>
      <c r="S210" s="430"/>
      <c r="T210" s="429"/>
      <c r="U210" s="430"/>
      <c r="V210" s="430"/>
      <c r="W210" s="430"/>
      <c r="X210" s="430"/>
      <c r="Y210" s="430"/>
      <c r="Z210" s="430"/>
      <c r="AA210" s="430"/>
      <c r="AB210" s="430"/>
      <c r="AC210" s="430"/>
      <c r="AD210" s="430"/>
      <c r="AE210" s="430"/>
      <c r="AF210" s="430"/>
      <c r="AG210" s="430"/>
      <c r="AH210" s="430"/>
      <c r="AI210" s="430"/>
      <c r="AJ210" s="430"/>
      <c r="AK210" s="430"/>
      <c r="AL210" s="430"/>
      <c r="AM210" s="581"/>
    </row>
    <row r="211" spans="1:39" s="426" customFormat="1" ht="12.75">
      <c r="A211" s="641"/>
      <c r="B211" s="673"/>
      <c r="C211" s="667"/>
      <c r="D211" s="670"/>
      <c r="E211" s="660"/>
      <c r="F211" s="663"/>
      <c r="G211" s="427" t="s">
        <v>123</v>
      </c>
      <c r="H211" s="428"/>
      <c r="I211" s="429"/>
      <c r="J211" s="429"/>
      <c r="K211" s="429"/>
      <c r="L211" s="429"/>
      <c r="M211" s="429"/>
      <c r="N211" s="429"/>
      <c r="O211" s="429"/>
      <c r="P211" s="430"/>
      <c r="Q211" s="430"/>
      <c r="R211" s="430"/>
      <c r="S211" s="430"/>
      <c r="T211" s="429"/>
      <c r="U211" s="430"/>
      <c r="V211" s="430"/>
      <c r="W211" s="430"/>
      <c r="X211" s="430"/>
      <c r="Y211" s="430"/>
      <c r="Z211" s="430"/>
      <c r="AA211" s="430"/>
      <c r="AB211" s="430"/>
      <c r="AC211" s="430"/>
      <c r="AD211" s="430"/>
      <c r="AE211" s="430"/>
      <c r="AF211" s="430"/>
      <c r="AG211" s="430"/>
      <c r="AH211" s="430"/>
      <c r="AI211" s="430"/>
      <c r="AJ211" s="430"/>
      <c r="AK211" s="430"/>
      <c r="AL211" s="430"/>
      <c r="AM211" s="581"/>
    </row>
    <row r="212" spans="1:39" s="426" customFormat="1" ht="12.75">
      <c r="A212" s="641"/>
      <c r="B212" s="673"/>
      <c r="C212" s="667"/>
      <c r="D212" s="670"/>
      <c r="E212" s="660"/>
      <c r="F212" s="431" t="s">
        <v>121</v>
      </c>
      <c r="G212" s="427" t="s">
        <v>124</v>
      </c>
      <c r="H212" s="432">
        <f aca="true" t="shared" si="50" ref="H212:AL212">H206+H208+H210</f>
        <v>200000</v>
      </c>
      <c r="I212" s="433">
        <f t="shared" si="50"/>
        <v>200000</v>
      </c>
      <c r="J212" s="433">
        <f t="shared" si="50"/>
        <v>110100</v>
      </c>
      <c r="K212" s="433">
        <f t="shared" si="50"/>
        <v>0</v>
      </c>
      <c r="L212" s="433">
        <f t="shared" si="50"/>
        <v>0</v>
      </c>
      <c r="M212" s="433">
        <f t="shared" si="50"/>
        <v>0</v>
      </c>
      <c r="N212" s="433">
        <f t="shared" si="50"/>
        <v>0</v>
      </c>
      <c r="O212" s="433">
        <f t="shared" si="50"/>
        <v>0</v>
      </c>
      <c r="P212" s="433">
        <f t="shared" si="50"/>
        <v>0</v>
      </c>
      <c r="Q212" s="433">
        <f t="shared" si="50"/>
        <v>0</v>
      </c>
      <c r="R212" s="433">
        <f t="shared" si="50"/>
        <v>0</v>
      </c>
      <c r="S212" s="433">
        <f t="shared" si="50"/>
        <v>0</v>
      </c>
      <c r="T212" s="433">
        <f t="shared" si="50"/>
        <v>0</v>
      </c>
      <c r="U212" s="433">
        <f t="shared" si="50"/>
        <v>0</v>
      </c>
      <c r="V212" s="433">
        <f t="shared" si="50"/>
        <v>0</v>
      </c>
      <c r="W212" s="433">
        <f t="shared" si="50"/>
        <v>0</v>
      </c>
      <c r="X212" s="433">
        <f t="shared" si="50"/>
        <v>0</v>
      </c>
      <c r="Y212" s="433">
        <f t="shared" si="50"/>
        <v>0</v>
      </c>
      <c r="Z212" s="433">
        <f t="shared" si="50"/>
        <v>0</v>
      </c>
      <c r="AA212" s="433">
        <f t="shared" si="50"/>
        <v>0</v>
      </c>
      <c r="AB212" s="433">
        <f t="shared" si="50"/>
        <v>0</v>
      </c>
      <c r="AC212" s="433">
        <f t="shared" si="50"/>
        <v>0</v>
      </c>
      <c r="AD212" s="433">
        <f t="shared" si="50"/>
        <v>0</v>
      </c>
      <c r="AE212" s="433">
        <f t="shared" si="50"/>
        <v>0</v>
      </c>
      <c r="AF212" s="433">
        <f t="shared" si="50"/>
        <v>0</v>
      </c>
      <c r="AG212" s="433">
        <f t="shared" si="50"/>
        <v>0</v>
      </c>
      <c r="AH212" s="433">
        <f t="shared" si="50"/>
        <v>0</v>
      </c>
      <c r="AI212" s="433">
        <f t="shared" si="50"/>
        <v>0</v>
      </c>
      <c r="AJ212" s="433">
        <f t="shared" si="50"/>
        <v>0</v>
      </c>
      <c r="AK212" s="433">
        <f t="shared" si="50"/>
        <v>0</v>
      </c>
      <c r="AL212" s="433">
        <f t="shared" si="50"/>
        <v>0</v>
      </c>
      <c r="AM212" s="581"/>
    </row>
    <row r="213" spans="1:39" s="426" customFormat="1" ht="13.5" thickBot="1">
      <c r="A213" s="642"/>
      <c r="B213" s="674"/>
      <c r="C213" s="668"/>
      <c r="D213" s="670"/>
      <c r="E213" s="665"/>
      <c r="F213" s="435">
        <f>F207+F210</f>
        <v>510100</v>
      </c>
      <c r="G213" s="443" t="s">
        <v>125</v>
      </c>
      <c r="H213" s="437">
        <f aca="true" t="shared" si="51" ref="H213:AL213">H207+H209+H211</f>
        <v>0</v>
      </c>
      <c r="I213" s="444">
        <f t="shared" si="51"/>
        <v>0</v>
      </c>
      <c r="J213" s="444">
        <f t="shared" si="51"/>
        <v>0</v>
      </c>
      <c r="K213" s="444">
        <f t="shared" si="51"/>
        <v>0</v>
      </c>
      <c r="L213" s="444">
        <f t="shared" si="51"/>
        <v>0</v>
      </c>
      <c r="M213" s="444">
        <f t="shared" si="51"/>
        <v>0</v>
      </c>
      <c r="N213" s="444">
        <f t="shared" si="51"/>
        <v>0</v>
      </c>
      <c r="O213" s="444">
        <f t="shared" si="51"/>
        <v>0</v>
      </c>
      <c r="P213" s="444">
        <f t="shared" si="51"/>
        <v>0</v>
      </c>
      <c r="Q213" s="444">
        <f t="shared" si="51"/>
        <v>0</v>
      </c>
      <c r="R213" s="444">
        <f t="shared" si="51"/>
        <v>0</v>
      </c>
      <c r="S213" s="444">
        <f t="shared" si="51"/>
        <v>0</v>
      </c>
      <c r="T213" s="444">
        <f t="shared" si="51"/>
        <v>0</v>
      </c>
      <c r="U213" s="438">
        <f t="shared" si="51"/>
        <v>0</v>
      </c>
      <c r="V213" s="438">
        <f t="shared" si="51"/>
        <v>0</v>
      </c>
      <c r="W213" s="438">
        <f t="shared" si="51"/>
        <v>0</v>
      </c>
      <c r="X213" s="438">
        <f t="shared" si="51"/>
        <v>0</v>
      </c>
      <c r="Y213" s="438">
        <f t="shared" si="51"/>
        <v>0</v>
      </c>
      <c r="Z213" s="438">
        <f t="shared" si="51"/>
        <v>0</v>
      </c>
      <c r="AA213" s="438">
        <f t="shared" si="51"/>
        <v>0</v>
      </c>
      <c r="AB213" s="438">
        <f t="shared" si="51"/>
        <v>0</v>
      </c>
      <c r="AC213" s="438">
        <f t="shared" si="51"/>
        <v>0</v>
      </c>
      <c r="AD213" s="438">
        <f t="shared" si="51"/>
        <v>0</v>
      </c>
      <c r="AE213" s="438">
        <f t="shared" si="51"/>
        <v>0</v>
      </c>
      <c r="AF213" s="438">
        <f t="shared" si="51"/>
        <v>0</v>
      </c>
      <c r="AG213" s="438">
        <f t="shared" si="51"/>
        <v>0</v>
      </c>
      <c r="AH213" s="438">
        <f t="shared" si="51"/>
        <v>0</v>
      </c>
      <c r="AI213" s="438">
        <f t="shared" si="51"/>
        <v>0</v>
      </c>
      <c r="AJ213" s="438">
        <f t="shared" si="51"/>
        <v>0</v>
      </c>
      <c r="AK213" s="438">
        <f t="shared" si="51"/>
        <v>0</v>
      </c>
      <c r="AL213" s="438">
        <f t="shared" si="51"/>
        <v>0</v>
      </c>
      <c r="AM213" s="582"/>
    </row>
    <row r="214" spans="1:39" s="426" customFormat="1" ht="12.75" customHeight="1">
      <c r="A214" s="640">
        <v>27</v>
      </c>
      <c r="B214" s="673" t="s">
        <v>264</v>
      </c>
      <c r="C214" s="667">
        <v>85214</v>
      </c>
      <c r="D214" s="669" t="s">
        <v>254</v>
      </c>
      <c r="E214" s="660">
        <v>2011</v>
      </c>
      <c r="F214" s="447" t="s">
        <v>113</v>
      </c>
      <c r="G214" s="446" t="s">
        <v>114</v>
      </c>
      <c r="H214" s="448">
        <f>230544</f>
        <v>230544</v>
      </c>
      <c r="I214" s="424">
        <v>230544</v>
      </c>
      <c r="J214" s="424">
        <v>57636</v>
      </c>
      <c r="K214" s="424"/>
      <c r="L214" s="424"/>
      <c r="M214" s="424"/>
      <c r="N214" s="424"/>
      <c r="O214" s="424"/>
      <c r="P214" s="425"/>
      <c r="Q214" s="425"/>
      <c r="R214" s="425"/>
      <c r="S214" s="425"/>
      <c r="T214" s="425"/>
      <c r="U214" s="425"/>
      <c r="V214" s="425"/>
      <c r="W214" s="425"/>
      <c r="X214" s="425"/>
      <c r="Y214" s="425"/>
      <c r="Z214" s="425"/>
      <c r="AA214" s="425"/>
      <c r="AB214" s="425"/>
      <c r="AC214" s="425"/>
      <c r="AD214" s="425"/>
      <c r="AE214" s="425"/>
      <c r="AF214" s="425"/>
      <c r="AG214" s="425"/>
      <c r="AH214" s="425"/>
      <c r="AI214" s="425"/>
      <c r="AJ214" s="425"/>
      <c r="AK214" s="425"/>
      <c r="AL214" s="425"/>
      <c r="AM214" s="580">
        <f>SUM(J220:AL221)</f>
        <v>57636</v>
      </c>
    </row>
    <row r="215" spans="1:39" s="426" customFormat="1" ht="12.75">
      <c r="A215" s="641"/>
      <c r="B215" s="673"/>
      <c r="C215" s="667"/>
      <c r="D215" s="670"/>
      <c r="E215" s="660"/>
      <c r="F215" s="662">
        <f>SUM(H220:AL220)</f>
        <v>518724</v>
      </c>
      <c r="G215" s="427" t="s">
        <v>115</v>
      </c>
      <c r="H215" s="428"/>
      <c r="I215" s="429"/>
      <c r="J215" s="429"/>
      <c r="K215" s="429"/>
      <c r="L215" s="429"/>
      <c r="M215" s="429"/>
      <c r="N215" s="429"/>
      <c r="O215" s="429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  <c r="AA215" s="430"/>
      <c r="AB215" s="430"/>
      <c r="AC215" s="430"/>
      <c r="AD215" s="430"/>
      <c r="AE215" s="430"/>
      <c r="AF215" s="430"/>
      <c r="AG215" s="430"/>
      <c r="AH215" s="430"/>
      <c r="AI215" s="430"/>
      <c r="AJ215" s="430"/>
      <c r="AK215" s="430"/>
      <c r="AL215" s="430"/>
      <c r="AM215" s="581"/>
    </row>
    <row r="216" spans="1:39" s="426" customFormat="1" ht="12.75">
      <c r="A216" s="641"/>
      <c r="B216" s="673"/>
      <c r="C216" s="667"/>
      <c r="D216" s="670"/>
      <c r="E216" s="660"/>
      <c r="F216" s="663"/>
      <c r="G216" s="427" t="s">
        <v>116</v>
      </c>
      <c r="H216" s="428"/>
      <c r="I216" s="429"/>
      <c r="J216" s="429"/>
      <c r="K216" s="429"/>
      <c r="L216" s="429"/>
      <c r="M216" s="429"/>
      <c r="N216" s="429"/>
      <c r="O216" s="429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  <c r="AA216" s="430"/>
      <c r="AB216" s="430"/>
      <c r="AC216" s="430"/>
      <c r="AD216" s="430"/>
      <c r="AE216" s="430"/>
      <c r="AF216" s="430"/>
      <c r="AG216" s="430"/>
      <c r="AH216" s="430"/>
      <c r="AI216" s="430"/>
      <c r="AJ216" s="430"/>
      <c r="AK216" s="430"/>
      <c r="AL216" s="430"/>
      <c r="AM216" s="581"/>
    </row>
    <row r="217" spans="1:39" s="426" customFormat="1" ht="12.75">
      <c r="A217" s="641"/>
      <c r="B217" s="673"/>
      <c r="C217" s="667"/>
      <c r="D217" s="670"/>
      <c r="E217" s="661"/>
      <c r="F217" s="431" t="s">
        <v>117</v>
      </c>
      <c r="G217" s="427" t="s">
        <v>118</v>
      </c>
      <c r="H217" s="428"/>
      <c r="I217" s="429"/>
      <c r="J217" s="429"/>
      <c r="K217" s="429"/>
      <c r="L217" s="429"/>
      <c r="M217" s="429"/>
      <c r="N217" s="429"/>
      <c r="O217" s="429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0"/>
      <c r="AC217" s="430"/>
      <c r="AD217" s="430"/>
      <c r="AE217" s="430"/>
      <c r="AF217" s="430"/>
      <c r="AG217" s="430"/>
      <c r="AH217" s="430"/>
      <c r="AI217" s="430"/>
      <c r="AJ217" s="430"/>
      <c r="AK217" s="430"/>
      <c r="AL217" s="430"/>
      <c r="AM217" s="581"/>
    </row>
    <row r="218" spans="1:39" s="426" customFormat="1" ht="12.75">
      <c r="A218" s="641"/>
      <c r="B218" s="673"/>
      <c r="C218" s="667"/>
      <c r="D218" s="670"/>
      <c r="E218" s="664">
        <v>2013</v>
      </c>
      <c r="F218" s="662">
        <f>SUM(H221:AL221)</f>
        <v>0</v>
      </c>
      <c r="G218" s="427" t="s">
        <v>122</v>
      </c>
      <c r="H218" s="428"/>
      <c r="I218" s="429"/>
      <c r="J218" s="429"/>
      <c r="K218" s="429"/>
      <c r="L218" s="429"/>
      <c r="M218" s="429"/>
      <c r="N218" s="429"/>
      <c r="O218" s="429"/>
      <c r="P218" s="430"/>
      <c r="Q218" s="430"/>
      <c r="R218" s="430"/>
      <c r="S218" s="430"/>
      <c r="T218" s="430"/>
      <c r="U218" s="430"/>
      <c r="V218" s="430"/>
      <c r="W218" s="430"/>
      <c r="X218" s="430"/>
      <c r="Y218" s="430"/>
      <c r="Z218" s="430"/>
      <c r="AA218" s="430"/>
      <c r="AB218" s="430"/>
      <c r="AC218" s="430"/>
      <c r="AD218" s="430"/>
      <c r="AE218" s="430"/>
      <c r="AF218" s="430"/>
      <c r="AG218" s="430"/>
      <c r="AH218" s="430"/>
      <c r="AI218" s="430"/>
      <c r="AJ218" s="430"/>
      <c r="AK218" s="430"/>
      <c r="AL218" s="430"/>
      <c r="AM218" s="581"/>
    </row>
    <row r="219" spans="1:39" s="426" customFormat="1" ht="12.75">
      <c r="A219" s="641"/>
      <c r="B219" s="673"/>
      <c r="C219" s="667"/>
      <c r="D219" s="670"/>
      <c r="E219" s="660"/>
      <c r="F219" s="663"/>
      <c r="G219" s="427" t="s">
        <v>123</v>
      </c>
      <c r="H219" s="428"/>
      <c r="I219" s="429"/>
      <c r="J219" s="429"/>
      <c r="K219" s="429"/>
      <c r="L219" s="429"/>
      <c r="M219" s="429"/>
      <c r="N219" s="429"/>
      <c r="O219" s="429"/>
      <c r="P219" s="430"/>
      <c r="Q219" s="430"/>
      <c r="R219" s="430"/>
      <c r="S219" s="430"/>
      <c r="T219" s="430"/>
      <c r="U219" s="430"/>
      <c r="V219" s="430"/>
      <c r="W219" s="430"/>
      <c r="X219" s="430"/>
      <c r="Y219" s="430"/>
      <c r="Z219" s="430"/>
      <c r="AA219" s="430"/>
      <c r="AB219" s="430"/>
      <c r="AC219" s="430"/>
      <c r="AD219" s="430"/>
      <c r="AE219" s="430"/>
      <c r="AF219" s="430"/>
      <c r="AG219" s="430"/>
      <c r="AH219" s="430"/>
      <c r="AI219" s="430"/>
      <c r="AJ219" s="430"/>
      <c r="AK219" s="430"/>
      <c r="AL219" s="430"/>
      <c r="AM219" s="581"/>
    </row>
    <row r="220" spans="1:39" s="426" customFormat="1" ht="12.75">
      <c r="A220" s="641"/>
      <c r="B220" s="673"/>
      <c r="C220" s="667"/>
      <c r="D220" s="670"/>
      <c r="E220" s="660"/>
      <c r="F220" s="431" t="s">
        <v>121</v>
      </c>
      <c r="G220" s="427" t="s">
        <v>124</v>
      </c>
      <c r="H220" s="432">
        <f aca="true" t="shared" si="52" ref="H220:AL220">H214+H216+H218</f>
        <v>230544</v>
      </c>
      <c r="I220" s="433">
        <f t="shared" si="52"/>
        <v>230544</v>
      </c>
      <c r="J220" s="433">
        <f t="shared" si="52"/>
        <v>57636</v>
      </c>
      <c r="K220" s="433">
        <f t="shared" si="52"/>
        <v>0</v>
      </c>
      <c r="L220" s="433">
        <f t="shared" si="52"/>
        <v>0</v>
      </c>
      <c r="M220" s="433">
        <f t="shared" si="52"/>
        <v>0</v>
      </c>
      <c r="N220" s="433">
        <f t="shared" si="52"/>
        <v>0</v>
      </c>
      <c r="O220" s="433">
        <f t="shared" si="52"/>
        <v>0</v>
      </c>
      <c r="P220" s="433">
        <f t="shared" si="52"/>
        <v>0</v>
      </c>
      <c r="Q220" s="433">
        <f t="shared" si="52"/>
        <v>0</v>
      </c>
      <c r="R220" s="433">
        <f t="shared" si="52"/>
        <v>0</v>
      </c>
      <c r="S220" s="433">
        <f t="shared" si="52"/>
        <v>0</v>
      </c>
      <c r="T220" s="433">
        <f t="shared" si="52"/>
        <v>0</v>
      </c>
      <c r="U220" s="433">
        <f t="shared" si="52"/>
        <v>0</v>
      </c>
      <c r="V220" s="433">
        <f t="shared" si="52"/>
        <v>0</v>
      </c>
      <c r="W220" s="433">
        <f t="shared" si="52"/>
        <v>0</v>
      </c>
      <c r="X220" s="433">
        <f t="shared" si="52"/>
        <v>0</v>
      </c>
      <c r="Y220" s="433">
        <f t="shared" si="52"/>
        <v>0</v>
      </c>
      <c r="Z220" s="433">
        <f t="shared" si="52"/>
        <v>0</v>
      </c>
      <c r="AA220" s="433">
        <f t="shared" si="52"/>
        <v>0</v>
      </c>
      <c r="AB220" s="433">
        <f t="shared" si="52"/>
        <v>0</v>
      </c>
      <c r="AC220" s="433">
        <f t="shared" si="52"/>
        <v>0</v>
      </c>
      <c r="AD220" s="433">
        <f t="shared" si="52"/>
        <v>0</v>
      </c>
      <c r="AE220" s="433">
        <f t="shared" si="52"/>
        <v>0</v>
      </c>
      <c r="AF220" s="433">
        <f t="shared" si="52"/>
        <v>0</v>
      </c>
      <c r="AG220" s="433">
        <f t="shared" si="52"/>
        <v>0</v>
      </c>
      <c r="AH220" s="433">
        <f t="shared" si="52"/>
        <v>0</v>
      </c>
      <c r="AI220" s="433">
        <f t="shared" si="52"/>
        <v>0</v>
      </c>
      <c r="AJ220" s="433">
        <f t="shared" si="52"/>
        <v>0</v>
      </c>
      <c r="AK220" s="433">
        <f t="shared" si="52"/>
        <v>0</v>
      </c>
      <c r="AL220" s="433">
        <f t="shared" si="52"/>
        <v>0</v>
      </c>
      <c r="AM220" s="581"/>
    </row>
    <row r="221" spans="1:39" s="426" customFormat="1" ht="13.5" thickBot="1">
      <c r="A221" s="642"/>
      <c r="B221" s="674"/>
      <c r="C221" s="668"/>
      <c r="D221" s="670"/>
      <c r="E221" s="665"/>
      <c r="F221" s="435">
        <f>F215+F218</f>
        <v>518724</v>
      </c>
      <c r="G221" s="443" t="s">
        <v>125</v>
      </c>
      <c r="H221" s="437">
        <f aca="true" t="shared" si="53" ref="H221:AL221">H215+H217+H219</f>
        <v>0</v>
      </c>
      <c r="I221" s="444">
        <f t="shared" si="53"/>
        <v>0</v>
      </c>
      <c r="J221" s="444">
        <f t="shared" si="53"/>
        <v>0</v>
      </c>
      <c r="K221" s="444">
        <f t="shared" si="53"/>
        <v>0</v>
      </c>
      <c r="L221" s="444">
        <f t="shared" si="53"/>
        <v>0</v>
      </c>
      <c r="M221" s="444">
        <f t="shared" si="53"/>
        <v>0</v>
      </c>
      <c r="N221" s="444">
        <f t="shared" si="53"/>
        <v>0</v>
      </c>
      <c r="O221" s="444">
        <f t="shared" si="53"/>
        <v>0</v>
      </c>
      <c r="P221" s="444">
        <f t="shared" si="53"/>
        <v>0</v>
      </c>
      <c r="Q221" s="444">
        <f t="shared" si="53"/>
        <v>0</v>
      </c>
      <c r="R221" s="444">
        <f t="shared" si="53"/>
        <v>0</v>
      </c>
      <c r="S221" s="444">
        <f t="shared" si="53"/>
        <v>0</v>
      </c>
      <c r="T221" s="444">
        <f t="shared" si="53"/>
        <v>0</v>
      </c>
      <c r="U221" s="444">
        <f t="shared" si="53"/>
        <v>0</v>
      </c>
      <c r="V221" s="444">
        <f t="shared" si="53"/>
        <v>0</v>
      </c>
      <c r="W221" s="444">
        <f t="shared" si="53"/>
        <v>0</v>
      </c>
      <c r="X221" s="444">
        <f t="shared" si="53"/>
        <v>0</v>
      </c>
      <c r="Y221" s="444">
        <f t="shared" si="53"/>
        <v>0</v>
      </c>
      <c r="Z221" s="444">
        <f t="shared" si="53"/>
        <v>0</v>
      </c>
      <c r="AA221" s="444">
        <f t="shared" si="53"/>
        <v>0</v>
      </c>
      <c r="AB221" s="444">
        <f t="shared" si="53"/>
        <v>0</v>
      </c>
      <c r="AC221" s="444">
        <f t="shared" si="53"/>
        <v>0</v>
      </c>
      <c r="AD221" s="444">
        <f t="shared" si="53"/>
        <v>0</v>
      </c>
      <c r="AE221" s="444">
        <f t="shared" si="53"/>
        <v>0</v>
      </c>
      <c r="AF221" s="444">
        <f t="shared" si="53"/>
        <v>0</v>
      </c>
      <c r="AG221" s="444">
        <f t="shared" si="53"/>
        <v>0</v>
      </c>
      <c r="AH221" s="444">
        <f t="shared" si="53"/>
        <v>0</v>
      </c>
      <c r="AI221" s="444">
        <f t="shared" si="53"/>
        <v>0</v>
      </c>
      <c r="AJ221" s="444">
        <f t="shared" si="53"/>
        <v>0</v>
      </c>
      <c r="AK221" s="444">
        <f t="shared" si="53"/>
        <v>0</v>
      </c>
      <c r="AL221" s="444">
        <f t="shared" si="53"/>
        <v>0</v>
      </c>
      <c r="AM221" s="582"/>
    </row>
    <row r="222" spans="1:39" s="426" customFormat="1" ht="12.75" customHeight="1">
      <c r="A222" s="640">
        <v>28</v>
      </c>
      <c r="B222" s="672" t="s">
        <v>265</v>
      </c>
      <c r="C222" s="666">
        <v>85220</v>
      </c>
      <c r="D222" s="669" t="s">
        <v>254</v>
      </c>
      <c r="E222" s="659">
        <v>2010</v>
      </c>
      <c r="F222" s="421" t="s">
        <v>113</v>
      </c>
      <c r="G222" s="422" t="s">
        <v>114</v>
      </c>
      <c r="H222" s="440">
        <f>457600+432600</f>
        <v>890200</v>
      </c>
      <c r="I222" s="441">
        <v>432600</v>
      </c>
      <c r="J222" s="441"/>
      <c r="K222" s="441"/>
      <c r="L222" s="441"/>
      <c r="M222" s="441"/>
      <c r="N222" s="441"/>
      <c r="O222" s="441"/>
      <c r="P222" s="442"/>
      <c r="Q222" s="442"/>
      <c r="R222" s="442"/>
      <c r="S222" s="442"/>
      <c r="T222" s="442"/>
      <c r="U222" s="442"/>
      <c r="V222" s="442"/>
      <c r="W222" s="442"/>
      <c r="X222" s="442"/>
      <c r="Y222" s="442"/>
      <c r="Z222" s="442"/>
      <c r="AA222" s="442"/>
      <c r="AB222" s="442"/>
      <c r="AC222" s="442"/>
      <c r="AD222" s="442"/>
      <c r="AE222" s="442"/>
      <c r="AF222" s="442"/>
      <c r="AG222" s="442"/>
      <c r="AH222" s="442"/>
      <c r="AI222" s="442"/>
      <c r="AJ222" s="442"/>
      <c r="AK222" s="442"/>
      <c r="AL222" s="442"/>
      <c r="AM222" s="580">
        <f>SUM(J228:AL229)</f>
        <v>0</v>
      </c>
    </row>
    <row r="223" spans="1:39" s="426" customFormat="1" ht="12.75">
      <c r="A223" s="641"/>
      <c r="B223" s="673"/>
      <c r="C223" s="667"/>
      <c r="D223" s="670"/>
      <c r="E223" s="660"/>
      <c r="F223" s="662">
        <f>SUM(H228:AL228)</f>
        <v>1322800</v>
      </c>
      <c r="G223" s="427" t="s">
        <v>115</v>
      </c>
      <c r="H223" s="428"/>
      <c r="I223" s="429"/>
      <c r="J223" s="429"/>
      <c r="K223" s="429"/>
      <c r="L223" s="429"/>
      <c r="M223" s="429"/>
      <c r="N223" s="429"/>
      <c r="O223" s="429"/>
      <c r="P223" s="430"/>
      <c r="Q223" s="430"/>
      <c r="R223" s="430"/>
      <c r="S223" s="430"/>
      <c r="T223" s="430"/>
      <c r="U223" s="430"/>
      <c r="V223" s="430"/>
      <c r="W223" s="430"/>
      <c r="X223" s="430"/>
      <c r="Y223" s="430"/>
      <c r="Z223" s="430"/>
      <c r="AA223" s="430"/>
      <c r="AB223" s="430"/>
      <c r="AC223" s="430"/>
      <c r="AD223" s="430"/>
      <c r="AE223" s="430"/>
      <c r="AF223" s="430"/>
      <c r="AG223" s="430"/>
      <c r="AH223" s="430"/>
      <c r="AI223" s="430"/>
      <c r="AJ223" s="430"/>
      <c r="AK223" s="430"/>
      <c r="AL223" s="430"/>
      <c r="AM223" s="581"/>
    </row>
    <row r="224" spans="1:39" s="426" customFormat="1" ht="12.75">
      <c r="A224" s="641"/>
      <c r="B224" s="673"/>
      <c r="C224" s="667"/>
      <c r="D224" s="670"/>
      <c r="E224" s="660"/>
      <c r="F224" s="663"/>
      <c r="G224" s="427" t="s">
        <v>116</v>
      </c>
      <c r="H224" s="428"/>
      <c r="I224" s="429"/>
      <c r="J224" s="429"/>
      <c r="K224" s="429"/>
      <c r="L224" s="429"/>
      <c r="M224" s="429"/>
      <c r="N224" s="429"/>
      <c r="O224" s="429"/>
      <c r="P224" s="430"/>
      <c r="Q224" s="430"/>
      <c r="R224" s="430"/>
      <c r="S224" s="430"/>
      <c r="T224" s="430"/>
      <c r="U224" s="430"/>
      <c r="V224" s="430"/>
      <c r="W224" s="430"/>
      <c r="X224" s="430"/>
      <c r="Y224" s="430"/>
      <c r="Z224" s="430"/>
      <c r="AA224" s="430"/>
      <c r="AB224" s="430"/>
      <c r="AC224" s="430"/>
      <c r="AD224" s="430"/>
      <c r="AE224" s="430"/>
      <c r="AF224" s="430"/>
      <c r="AG224" s="430"/>
      <c r="AH224" s="430"/>
      <c r="AI224" s="430"/>
      <c r="AJ224" s="430"/>
      <c r="AK224" s="430"/>
      <c r="AL224" s="430"/>
      <c r="AM224" s="581"/>
    </row>
    <row r="225" spans="1:39" s="426" customFormat="1" ht="12.75">
      <c r="A225" s="641"/>
      <c r="B225" s="673"/>
      <c r="C225" s="667"/>
      <c r="D225" s="670"/>
      <c r="E225" s="661"/>
      <c r="F225" s="431" t="s">
        <v>117</v>
      </c>
      <c r="G225" s="427" t="s">
        <v>118</v>
      </c>
      <c r="H225" s="428"/>
      <c r="I225" s="429"/>
      <c r="J225" s="429"/>
      <c r="K225" s="429"/>
      <c r="L225" s="429"/>
      <c r="M225" s="429"/>
      <c r="N225" s="429"/>
      <c r="O225" s="429"/>
      <c r="P225" s="430"/>
      <c r="Q225" s="430"/>
      <c r="R225" s="430"/>
      <c r="S225" s="430"/>
      <c r="T225" s="430"/>
      <c r="U225" s="430"/>
      <c r="V225" s="430"/>
      <c r="W225" s="430"/>
      <c r="X225" s="430"/>
      <c r="Y225" s="430"/>
      <c r="Z225" s="430"/>
      <c r="AA225" s="430"/>
      <c r="AB225" s="430"/>
      <c r="AC225" s="430"/>
      <c r="AD225" s="430"/>
      <c r="AE225" s="430"/>
      <c r="AF225" s="430"/>
      <c r="AG225" s="430"/>
      <c r="AH225" s="430"/>
      <c r="AI225" s="430"/>
      <c r="AJ225" s="430"/>
      <c r="AK225" s="430"/>
      <c r="AL225" s="430"/>
      <c r="AM225" s="581"/>
    </row>
    <row r="226" spans="1:39" s="426" customFormat="1" ht="12.75">
      <c r="A226" s="641"/>
      <c r="B226" s="673"/>
      <c r="C226" s="667"/>
      <c r="D226" s="670"/>
      <c r="E226" s="664">
        <v>2012</v>
      </c>
      <c r="F226" s="662">
        <f>SUM(H229:AL229)</f>
        <v>0</v>
      </c>
      <c r="G226" s="427" t="s">
        <v>122</v>
      </c>
      <c r="H226" s="428"/>
      <c r="I226" s="429"/>
      <c r="J226" s="429"/>
      <c r="K226" s="429"/>
      <c r="L226" s="429"/>
      <c r="M226" s="429"/>
      <c r="N226" s="429"/>
      <c r="O226" s="429"/>
      <c r="P226" s="430"/>
      <c r="Q226" s="430"/>
      <c r="R226" s="430"/>
      <c r="S226" s="430"/>
      <c r="T226" s="430"/>
      <c r="U226" s="430"/>
      <c r="V226" s="430"/>
      <c r="W226" s="430"/>
      <c r="X226" s="430"/>
      <c r="Y226" s="430"/>
      <c r="Z226" s="430"/>
      <c r="AA226" s="430"/>
      <c r="AB226" s="430"/>
      <c r="AC226" s="430"/>
      <c r="AD226" s="430"/>
      <c r="AE226" s="430"/>
      <c r="AF226" s="430"/>
      <c r="AG226" s="430"/>
      <c r="AH226" s="430"/>
      <c r="AI226" s="430"/>
      <c r="AJ226" s="430"/>
      <c r="AK226" s="430"/>
      <c r="AL226" s="430"/>
      <c r="AM226" s="581"/>
    </row>
    <row r="227" spans="1:39" s="426" customFormat="1" ht="12.75">
      <c r="A227" s="641"/>
      <c r="B227" s="673"/>
      <c r="C227" s="667"/>
      <c r="D227" s="670"/>
      <c r="E227" s="660"/>
      <c r="F227" s="663"/>
      <c r="G227" s="427" t="s">
        <v>123</v>
      </c>
      <c r="H227" s="428"/>
      <c r="I227" s="429"/>
      <c r="J227" s="429"/>
      <c r="K227" s="429"/>
      <c r="L227" s="429"/>
      <c r="M227" s="429"/>
      <c r="N227" s="429"/>
      <c r="O227" s="429"/>
      <c r="P227" s="430"/>
      <c r="Q227" s="430"/>
      <c r="R227" s="430"/>
      <c r="S227" s="430"/>
      <c r="T227" s="430"/>
      <c r="U227" s="430"/>
      <c r="V227" s="430"/>
      <c r="W227" s="430"/>
      <c r="X227" s="430"/>
      <c r="Y227" s="430"/>
      <c r="Z227" s="430"/>
      <c r="AA227" s="430"/>
      <c r="AB227" s="430"/>
      <c r="AC227" s="430"/>
      <c r="AD227" s="430"/>
      <c r="AE227" s="430"/>
      <c r="AF227" s="430"/>
      <c r="AG227" s="430"/>
      <c r="AH227" s="430"/>
      <c r="AI227" s="430"/>
      <c r="AJ227" s="430"/>
      <c r="AK227" s="430"/>
      <c r="AL227" s="430"/>
      <c r="AM227" s="581"/>
    </row>
    <row r="228" spans="1:39" s="426" customFormat="1" ht="12.75">
      <c r="A228" s="641"/>
      <c r="B228" s="673"/>
      <c r="C228" s="667"/>
      <c r="D228" s="670"/>
      <c r="E228" s="660"/>
      <c r="F228" s="431" t="s">
        <v>121</v>
      </c>
      <c r="G228" s="427" t="s">
        <v>124</v>
      </c>
      <c r="H228" s="432">
        <f aca="true" t="shared" si="54" ref="H228:AL228">H222+H224+H226</f>
        <v>890200</v>
      </c>
      <c r="I228" s="433">
        <f t="shared" si="54"/>
        <v>432600</v>
      </c>
      <c r="J228" s="433">
        <f t="shared" si="54"/>
        <v>0</v>
      </c>
      <c r="K228" s="433">
        <f t="shared" si="54"/>
        <v>0</v>
      </c>
      <c r="L228" s="433">
        <f t="shared" si="54"/>
        <v>0</v>
      </c>
      <c r="M228" s="433">
        <f t="shared" si="54"/>
        <v>0</v>
      </c>
      <c r="N228" s="433">
        <f t="shared" si="54"/>
        <v>0</v>
      </c>
      <c r="O228" s="433">
        <f t="shared" si="54"/>
        <v>0</v>
      </c>
      <c r="P228" s="433">
        <f t="shared" si="54"/>
        <v>0</v>
      </c>
      <c r="Q228" s="433">
        <f t="shared" si="54"/>
        <v>0</v>
      </c>
      <c r="R228" s="433">
        <f t="shared" si="54"/>
        <v>0</v>
      </c>
      <c r="S228" s="433">
        <f t="shared" si="54"/>
        <v>0</v>
      </c>
      <c r="T228" s="433">
        <f t="shared" si="54"/>
        <v>0</v>
      </c>
      <c r="U228" s="433">
        <f t="shared" si="54"/>
        <v>0</v>
      </c>
      <c r="V228" s="433">
        <f t="shared" si="54"/>
        <v>0</v>
      </c>
      <c r="W228" s="433">
        <f t="shared" si="54"/>
        <v>0</v>
      </c>
      <c r="X228" s="433">
        <f t="shared" si="54"/>
        <v>0</v>
      </c>
      <c r="Y228" s="433">
        <f t="shared" si="54"/>
        <v>0</v>
      </c>
      <c r="Z228" s="433">
        <f t="shared" si="54"/>
        <v>0</v>
      </c>
      <c r="AA228" s="433">
        <f t="shared" si="54"/>
        <v>0</v>
      </c>
      <c r="AB228" s="433">
        <f t="shared" si="54"/>
        <v>0</v>
      </c>
      <c r="AC228" s="433">
        <f t="shared" si="54"/>
        <v>0</v>
      </c>
      <c r="AD228" s="433">
        <f t="shared" si="54"/>
        <v>0</v>
      </c>
      <c r="AE228" s="433">
        <f t="shared" si="54"/>
        <v>0</v>
      </c>
      <c r="AF228" s="433">
        <f t="shared" si="54"/>
        <v>0</v>
      </c>
      <c r="AG228" s="433">
        <f t="shared" si="54"/>
        <v>0</v>
      </c>
      <c r="AH228" s="433">
        <f t="shared" si="54"/>
        <v>0</v>
      </c>
      <c r="AI228" s="433">
        <f t="shared" si="54"/>
        <v>0</v>
      </c>
      <c r="AJ228" s="433">
        <f t="shared" si="54"/>
        <v>0</v>
      </c>
      <c r="AK228" s="433">
        <f t="shared" si="54"/>
        <v>0</v>
      </c>
      <c r="AL228" s="433">
        <f t="shared" si="54"/>
        <v>0</v>
      </c>
      <c r="AM228" s="581"/>
    </row>
    <row r="229" spans="1:39" s="426" customFormat="1" ht="13.5" thickBot="1">
      <c r="A229" s="642"/>
      <c r="B229" s="674"/>
      <c r="C229" s="668"/>
      <c r="D229" s="670"/>
      <c r="E229" s="665"/>
      <c r="F229" s="435">
        <f>F223+F226</f>
        <v>1322800</v>
      </c>
      <c r="G229" s="443" t="s">
        <v>125</v>
      </c>
      <c r="H229" s="437">
        <f aca="true" t="shared" si="55" ref="H229:AL229">H223+H225+H227</f>
        <v>0</v>
      </c>
      <c r="I229" s="444">
        <f t="shared" si="55"/>
        <v>0</v>
      </c>
      <c r="J229" s="444">
        <f t="shared" si="55"/>
        <v>0</v>
      </c>
      <c r="K229" s="444">
        <f t="shared" si="55"/>
        <v>0</v>
      </c>
      <c r="L229" s="444">
        <f t="shared" si="55"/>
        <v>0</v>
      </c>
      <c r="M229" s="444">
        <f t="shared" si="55"/>
        <v>0</v>
      </c>
      <c r="N229" s="444">
        <f t="shared" si="55"/>
        <v>0</v>
      </c>
      <c r="O229" s="444">
        <f t="shared" si="55"/>
        <v>0</v>
      </c>
      <c r="P229" s="444">
        <f t="shared" si="55"/>
        <v>0</v>
      </c>
      <c r="Q229" s="444">
        <f t="shared" si="55"/>
        <v>0</v>
      </c>
      <c r="R229" s="444">
        <f t="shared" si="55"/>
        <v>0</v>
      </c>
      <c r="S229" s="444">
        <f t="shared" si="55"/>
        <v>0</v>
      </c>
      <c r="T229" s="444">
        <f t="shared" si="55"/>
        <v>0</v>
      </c>
      <c r="U229" s="444">
        <f t="shared" si="55"/>
        <v>0</v>
      </c>
      <c r="V229" s="444">
        <f t="shared" si="55"/>
        <v>0</v>
      </c>
      <c r="W229" s="444">
        <f t="shared" si="55"/>
        <v>0</v>
      </c>
      <c r="X229" s="444">
        <f t="shared" si="55"/>
        <v>0</v>
      </c>
      <c r="Y229" s="444">
        <f t="shared" si="55"/>
        <v>0</v>
      </c>
      <c r="Z229" s="444">
        <f t="shared" si="55"/>
        <v>0</v>
      </c>
      <c r="AA229" s="444">
        <f t="shared" si="55"/>
        <v>0</v>
      </c>
      <c r="AB229" s="444">
        <f t="shared" si="55"/>
        <v>0</v>
      </c>
      <c r="AC229" s="444">
        <f t="shared" si="55"/>
        <v>0</v>
      </c>
      <c r="AD229" s="444">
        <f t="shared" si="55"/>
        <v>0</v>
      </c>
      <c r="AE229" s="444">
        <f t="shared" si="55"/>
        <v>0</v>
      </c>
      <c r="AF229" s="444">
        <f t="shared" si="55"/>
        <v>0</v>
      </c>
      <c r="AG229" s="444">
        <f t="shared" si="55"/>
        <v>0</v>
      </c>
      <c r="AH229" s="444">
        <f t="shared" si="55"/>
        <v>0</v>
      </c>
      <c r="AI229" s="444">
        <f t="shared" si="55"/>
        <v>0</v>
      </c>
      <c r="AJ229" s="444">
        <f t="shared" si="55"/>
        <v>0</v>
      </c>
      <c r="AK229" s="444">
        <f t="shared" si="55"/>
        <v>0</v>
      </c>
      <c r="AL229" s="444">
        <f t="shared" si="55"/>
        <v>0</v>
      </c>
      <c r="AM229" s="582"/>
    </row>
    <row r="230" spans="1:39" s="426" customFormat="1" ht="12.75" customHeight="1">
      <c r="A230" s="640">
        <v>29</v>
      </c>
      <c r="B230" s="672" t="s">
        <v>266</v>
      </c>
      <c r="C230" s="666">
        <v>85228</v>
      </c>
      <c r="D230" s="669" t="s">
        <v>254</v>
      </c>
      <c r="E230" s="659">
        <v>2011</v>
      </c>
      <c r="F230" s="421" t="s">
        <v>113</v>
      </c>
      <c r="G230" s="422" t="s">
        <v>114</v>
      </c>
      <c r="H230" s="440">
        <f>3304793</f>
        <v>3304793</v>
      </c>
      <c r="I230" s="441">
        <f>3128034</f>
        <v>3128034</v>
      </c>
      <c r="J230" s="441">
        <f>1564017</f>
        <v>1564017</v>
      </c>
      <c r="K230" s="441"/>
      <c r="L230" s="441"/>
      <c r="M230" s="441"/>
      <c r="N230" s="441"/>
      <c r="O230" s="441"/>
      <c r="P230" s="442"/>
      <c r="Q230" s="442"/>
      <c r="R230" s="442"/>
      <c r="S230" s="442"/>
      <c r="T230" s="442"/>
      <c r="U230" s="442"/>
      <c r="V230" s="442"/>
      <c r="W230" s="442"/>
      <c r="X230" s="442"/>
      <c r="Y230" s="442"/>
      <c r="Z230" s="442"/>
      <c r="AA230" s="442"/>
      <c r="AB230" s="442"/>
      <c r="AC230" s="442"/>
      <c r="AD230" s="442"/>
      <c r="AE230" s="442"/>
      <c r="AF230" s="442"/>
      <c r="AG230" s="442"/>
      <c r="AH230" s="442"/>
      <c r="AI230" s="442"/>
      <c r="AJ230" s="442"/>
      <c r="AK230" s="442"/>
      <c r="AL230" s="442"/>
      <c r="AM230" s="580">
        <f>SUM(J236:AL237)</f>
        <v>1564017</v>
      </c>
    </row>
    <row r="231" spans="1:39" s="426" customFormat="1" ht="12.75">
      <c r="A231" s="641"/>
      <c r="B231" s="673"/>
      <c r="C231" s="667"/>
      <c r="D231" s="670"/>
      <c r="E231" s="660"/>
      <c r="F231" s="662">
        <f>SUM(H236:AL236)</f>
        <v>7996844</v>
      </c>
      <c r="G231" s="427" t="s">
        <v>115</v>
      </c>
      <c r="H231" s="428"/>
      <c r="I231" s="429"/>
      <c r="J231" s="429"/>
      <c r="K231" s="429"/>
      <c r="L231" s="429"/>
      <c r="M231" s="429"/>
      <c r="N231" s="429"/>
      <c r="O231" s="429"/>
      <c r="P231" s="430"/>
      <c r="Q231" s="430"/>
      <c r="R231" s="430"/>
      <c r="S231" s="430"/>
      <c r="T231" s="430"/>
      <c r="U231" s="430"/>
      <c r="V231" s="430"/>
      <c r="W231" s="430"/>
      <c r="X231" s="430"/>
      <c r="Y231" s="430"/>
      <c r="Z231" s="430"/>
      <c r="AA231" s="430"/>
      <c r="AB231" s="430"/>
      <c r="AC231" s="430"/>
      <c r="AD231" s="430"/>
      <c r="AE231" s="430"/>
      <c r="AF231" s="430"/>
      <c r="AG231" s="430"/>
      <c r="AH231" s="430"/>
      <c r="AI231" s="430"/>
      <c r="AJ231" s="430"/>
      <c r="AK231" s="430"/>
      <c r="AL231" s="430"/>
      <c r="AM231" s="581"/>
    </row>
    <row r="232" spans="1:39" s="426" customFormat="1" ht="12.75">
      <c r="A232" s="641"/>
      <c r="B232" s="673"/>
      <c r="C232" s="667"/>
      <c r="D232" s="670"/>
      <c r="E232" s="660"/>
      <c r="F232" s="663"/>
      <c r="G232" s="427" t="s">
        <v>116</v>
      </c>
      <c r="H232" s="428"/>
      <c r="I232" s="429"/>
      <c r="J232" s="429"/>
      <c r="K232" s="429"/>
      <c r="L232" s="429"/>
      <c r="M232" s="429"/>
      <c r="N232" s="429"/>
      <c r="O232" s="429"/>
      <c r="P232" s="430"/>
      <c r="Q232" s="430"/>
      <c r="R232" s="430"/>
      <c r="S232" s="430"/>
      <c r="T232" s="430"/>
      <c r="U232" s="430"/>
      <c r="V232" s="430"/>
      <c r="W232" s="430"/>
      <c r="X232" s="430"/>
      <c r="Y232" s="430"/>
      <c r="Z232" s="430"/>
      <c r="AA232" s="430"/>
      <c r="AB232" s="430"/>
      <c r="AC232" s="430"/>
      <c r="AD232" s="430"/>
      <c r="AE232" s="430"/>
      <c r="AF232" s="430"/>
      <c r="AG232" s="430"/>
      <c r="AH232" s="430"/>
      <c r="AI232" s="430"/>
      <c r="AJ232" s="430"/>
      <c r="AK232" s="430"/>
      <c r="AL232" s="430"/>
      <c r="AM232" s="581"/>
    </row>
    <row r="233" spans="1:39" s="426" customFormat="1" ht="12.75">
      <c r="A233" s="641"/>
      <c r="B233" s="673"/>
      <c r="C233" s="667"/>
      <c r="D233" s="670"/>
      <c r="E233" s="661"/>
      <c r="F233" s="431" t="s">
        <v>117</v>
      </c>
      <c r="G233" s="427" t="s">
        <v>118</v>
      </c>
      <c r="H233" s="428"/>
      <c r="I233" s="429"/>
      <c r="J233" s="429"/>
      <c r="K233" s="429"/>
      <c r="L233" s="429"/>
      <c r="M233" s="429"/>
      <c r="N233" s="429"/>
      <c r="O233" s="429"/>
      <c r="P233" s="430"/>
      <c r="Q233" s="430"/>
      <c r="R233" s="430"/>
      <c r="S233" s="430"/>
      <c r="T233" s="430"/>
      <c r="U233" s="430"/>
      <c r="V233" s="430"/>
      <c r="W233" s="430"/>
      <c r="X233" s="430"/>
      <c r="Y233" s="430"/>
      <c r="Z233" s="430"/>
      <c r="AA233" s="430"/>
      <c r="AB233" s="430"/>
      <c r="AC233" s="430"/>
      <c r="AD233" s="430"/>
      <c r="AE233" s="430"/>
      <c r="AF233" s="430"/>
      <c r="AG233" s="430"/>
      <c r="AH233" s="430"/>
      <c r="AI233" s="430"/>
      <c r="AJ233" s="430"/>
      <c r="AK233" s="430"/>
      <c r="AL233" s="430"/>
      <c r="AM233" s="581"/>
    </row>
    <row r="234" spans="1:39" s="426" customFormat="1" ht="10.5" customHeight="1">
      <c r="A234" s="641"/>
      <c r="B234" s="673"/>
      <c r="C234" s="667"/>
      <c r="D234" s="670"/>
      <c r="E234" s="664">
        <v>2013</v>
      </c>
      <c r="F234" s="662">
        <f>SUM(H237:AL237)</f>
        <v>0</v>
      </c>
      <c r="G234" s="427" t="s">
        <v>122</v>
      </c>
      <c r="H234" s="428"/>
      <c r="I234" s="429"/>
      <c r="J234" s="429"/>
      <c r="K234" s="429"/>
      <c r="L234" s="429"/>
      <c r="M234" s="429"/>
      <c r="N234" s="429"/>
      <c r="O234" s="429"/>
      <c r="P234" s="430"/>
      <c r="Q234" s="430"/>
      <c r="R234" s="430"/>
      <c r="S234" s="430"/>
      <c r="T234" s="430"/>
      <c r="U234" s="430"/>
      <c r="V234" s="430"/>
      <c r="W234" s="430"/>
      <c r="X234" s="430"/>
      <c r="Y234" s="430"/>
      <c r="Z234" s="430"/>
      <c r="AA234" s="430"/>
      <c r="AB234" s="430"/>
      <c r="AC234" s="430"/>
      <c r="AD234" s="430"/>
      <c r="AE234" s="430"/>
      <c r="AF234" s="430"/>
      <c r="AG234" s="430"/>
      <c r="AH234" s="430"/>
      <c r="AI234" s="430"/>
      <c r="AJ234" s="430"/>
      <c r="AK234" s="430"/>
      <c r="AL234" s="430"/>
      <c r="AM234" s="581"/>
    </row>
    <row r="235" spans="1:39" s="426" customFormat="1" ht="10.5" customHeight="1">
      <c r="A235" s="641"/>
      <c r="B235" s="673"/>
      <c r="C235" s="667"/>
      <c r="D235" s="670"/>
      <c r="E235" s="660"/>
      <c r="F235" s="663"/>
      <c r="G235" s="427" t="s">
        <v>123</v>
      </c>
      <c r="H235" s="428"/>
      <c r="I235" s="429"/>
      <c r="J235" s="429"/>
      <c r="K235" s="429"/>
      <c r="L235" s="429"/>
      <c r="M235" s="429"/>
      <c r="N235" s="429"/>
      <c r="O235" s="429"/>
      <c r="P235" s="430"/>
      <c r="Q235" s="430"/>
      <c r="R235" s="430"/>
      <c r="S235" s="430"/>
      <c r="T235" s="430"/>
      <c r="U235" s="430"/>
      <c r="V235" s="430"/>
      <c r="W235" s="430"/>
      <c r="X235" s="430"/>
      <c r="Y235" s="430"/>
      <c r="Z235" s="430"/>
      <c r="AA235" s="430"/>
      <c r="AB235" s="430"/>
      <c r="AC235" s="430"/>
      <c r="AD235" s="430"/>
      <c r="AE235" s="430"/>
      <c r="AF235" s="430"/>
      <c r="AG235" s="430"/>
      <c r="AH235" s="430"/>
      <c r="AI235" s="430"/>
      <c r="AJ235" s="430"/>
      <c r="AK235" s="430"/>
      <c r="AL235" s="430"/>
      <c r="AM235" s="581"/>
    </row>
    <row r="236" spans="1:39" s="426" customFormat="1" ht="12.75">
      <c r="A236" s="641"/>
      <c r="B236" s="673"/>
      <c r="C236" s="667"/>
      <c r="D236" s="670"/>
      <c r="E236" s="660"/>
      <c r="F236" s="431" t="s">
        <v>121</v>
      </c>
      <c r="G236" s="427" t="s">
        <v>124</v>
      </c>
      <c r="H236" s="432">
        <f aca="true" t="shared" si="56" ref="H236:AL236">H230+H232+H234</f>
        <v>3304793</v>
      </c>
      <c r="I236" s="433">
        <f t="shared" si="56"/>
        <v>3128034</v>
      </c>
      <c r="J236" s="433">
        <f t="shared" si="56"/>
        <v>1564017</v>
      </c>
      <c r="K236" s="433">
        <f t="shared" si="56"/>
        <v>0</v>
      </c>
      <c r="L236" s="433">
        <f t="shared" si="56"/>
        <v>0</v>
      </c>
      <c r="M236" s="433">
        <f t="shared" si="56"/>
        <v>0</v>
      </c>
      <c r="N236" s="433">
        <f t="shared" si="56"/>
        <v>0</v>
      </c>
      <c r="O236" s="433">
        <f t="shared" si="56"/>
        <v>0</v>
      </c>
      <c r="P236" s="433">
        <f t="shared" si="56"/>
        <v>0</v>
      </c>
      <c r="Q236" s="433">
        <f t="shared" si="56"/>
        <v>0</v>
      </c>
      <c r="R236" s="433">
        <f t="shared" si="56"/>
        <v>0</v>
      </c>
      <c r="S236" s="433">
        <f t="shared" si="56"/>
        <v>0</v>
      </c>
      <c r="T236" s="433">
        <f t="shared" si="56"/>
        <v>0</v>
      </c>
      <c r="U236" s="433">
        <f t="shared" si="56"/>
        <v>0</v>
      </c>
      <c r="V236" s="433">
        <f t="shared" si="56"/>
        <v>0</v>
      </c>
      <c r="W236" s="433">
        <f t="shared" si="56"/>
        <v>0</v>
      </c>
      <c r="X236" s="433">
        <f t="shared" si="56"/>
        <v>0</v>
      </c>
      <c r="Y236" s="433">
        <f t="shared" si="56"/>
        <v>0</v>
      </c>
      <c r="Z236" s="433">
        <f t="shared" si="56"/>
        <v>0</v>
      </c>
      <c r="AA236" s="433">
        <f t="shared" si="56"/>
        <v>0</v>
      </c>
      <c r="AB236" s="433">
        <f t="shared" si="56"/>
        <v>0</v>
      </c>
      <c r="AC236" s="433">
        <f t="shared" si="56"/>
        <v>0</v>
      </c>
      <c r="AD236" s="433">
        <f t="shared" si="56"/>
        <v>0</v>
      </c>
      <c r="AE236" s="433">
        <f t="shared" si="56"/>
        <v>0</v>
      </c>
      <c r="AF236" s="433">
        <f t="shared" si="56"/>
        <v>0</v>
      </c>
      <c r="AG236" s="433">
        <f t="shared" si="56"/>
        <v>0</v>
      </c>
      <c r="AH236" s="433">
        <f t="shared" si="56"/>
        <v>0</v>
      </c>
      <c r="AI236" s="433">
        <f t="shared" si="56"/>
        <v>0</v>
      </c>
      <c r="AJ236" s="433">
        <f t="shared" si="56"/>
        <v>0</v>
      </c>
      <c r="AK236" s="433">
        <f t="shared" si="56"/>
        <v>0</v>
      </c>
      <c r="AL236" s="433">
        <f t="shared" si="56"/>
        <v>0</v>
      </c>
      <c r="AM236" s="581"/>
    </row>
    <row r="237" spans="1:39" s="426" customFormat="1" ht="13.5" thickBot="1">
      <c r="A237" s="642"/>
      <c r="B237" s="674"/>
      <c r="C237" s="668"/>
      <c r="D237" s="671"/>
      <c r="E237" s="665"/>
      <c r="F237" s="435">
        <f>F231+F234</f>
        <v>7996844</v>
      </c>
      <c r="G237" s="443" t="s">
        <v>125</v>
      </c>
      <c r="H237" s="437">
        <f aca="true" t="shared" si="57" ref="H237:AL237">H231+H233+H235</f>
        <v>0</v>
      </c>
      <c r="I237" s="444">
        <f t="shared" si="57"/>
        <v>0</v>
      </c>
      <c r="J237" s="444">
        <f t="shared" si="57"/>
        <v>0</v>
      </c>
      <c r="K237" s="444">
        <f t="shared" si="57"/>
        <v>0</v>
      </c>
      <c r="L237" s="444">
        <f t="shared" si="57"/>
        <v>0</v>
      </c>
      <c r="M237" s="444">
        <f t="shared" si="57"/>
        <v>0</v>
      </c>
      <c r="N237" s="444">
        <f t="shared" si="57"/>
        <v>0</v>
      </c>
      <c r="O237" s="444">
        <f t="shared" si="57"/>
        <v>0</v>
      </c>
      <c r="P237" s="444">
        <f t="shared" si="57"/>
        <v>0</v>
      </c>
      <c r="Q237" s="444">
        <f t="shared" si="57"/>
        <v>0</v>
      </c>
      <c r="R237" s="444">
        <f t="shared" si="57"/>
        <v>0</v>
      </c>
      <c r="S237" s="444">
        <f t="shared" si="57"/>
        <v>0</v>
      </c>
      <c r="T237" s="444">
        <f t="shared" si="57"/>
        <v>0</v>
      </c>
      <c r="U237" s="444">
        <f t="shared" si="57"/>
        <v>0</v>
      </c>
      <c r="V237" s="444">
        <f t="shared" si="57"/>
        <v>0</v>
      </c>
      <c r="W237" s="444">
        <f t="shared" si="57"/>
        <v>0</v>
      </c>
      <c r="X237" s="444">
        <f t="shared" si="57"/>
        <v>0</v>
      </c>
      <c r="Y237" s="444">
        <f t="shared" si="57"/>
        <v>0</v>
      </c>
      <c r="Z237" s="444">
        <f t="shared" si="57"/>
        <v>0</v>
      </c>
      <c r="AA237" s="444">
        <f t="shared" si="57"/>
        <v>0</v>
      </c>
      <c r="AB237" s="444">
        <f t="shared" si="57"/>
        <v>0</v>
      </c>
      <c r="AC237" s="444">
        <f t="shared" si="57"/>
        <v>0</v>
      </c>
      <c r="AD237" s="444">
        <f t="shared" si="57"/>
        <v>0</v>
      </c>
      <c r="AE237" s="444">
        <f t="shared" si="57"/>
        <v>0</v>
      </c>
      <c r="AF237" s="444">
        <f t="shared" si="57"/>
        <v>0</v>
      </c>
      <c r="AG237" s="444">
        <f t="shared" si="57"/>
        <v>0</v>
      </c>
      <c r="AH237" s="444">
        <f t="shared" si="57"/>
        <v>0</v>
      </c>
      <c r="AI237" s="444">
        <f t="shared" si="57"/>
        <v>0</v>
      </c>
      <c r="AJ237" s="444">
        <f t="shared" si="57"/>
        <v>0</v>
      </c>
      <c r="AK237" s="444">
        <f t="shared" si="57"/>
        <v>0</v>
      </c>
      <c r="AL237" s="444">
        <f t="shared" si="57"/>
        <v>0</v>
      </c>
      <c r="AM237" s="582"/>
    </row>
    <row r="238" spans="1:39" s="426" customFormat="1" ht="12.75" customHeight="1">
      <c r="A238" s="640">
        <v>30</v>
      </c>
      <c r="B238" s="672" t="s">
        <v>266</v>
      </c>
      <c r="C238" s="666">
        <v>85228</v>
      </c>
      <c r="D238" s="669" t="s">
        <v>254</v>
      </c>
      <c r="E238" s="659">
        <v>2011</v>
      </c>
      <c r="F238" s="421" t="s">
        <v>113</v>
      </c>
      <c r="G238" s="422" t="s">
        <v>114</v>
      </c>
      <c r="H238" s="440">
        <v>586957</v>
      </c>
      <c r="I238" s="441">
        <v>1760152</v>
      </c>
      <c r="J238" s="441">
        <v>880076</v>
      </c>
      <c r="K238" s="441"/>
      <c r="L238" s="441"/>
      <c r="M238" s="441"/>
      <c r="N238" s="441"/>
      <c r="O238" s="441"/>
      <c r="P238" s="442"/>
      <c r="Q238" s="442"/>
      <c r="R238" s="442"/>
      <c r="S238" s="442"/>
      <c r="T238" s="442"/>
      <c r="U238" s="442"/>
      <c r="V238" s="442"/>
      <c r="W238" s="442"/>
      <c r="X238" s="442"/>
      <c r="Y238" s="442"/>
      <c r="Z238" s="442"/>
      <c r="AA238" s="442"/>
      <c r="AB238" s="442"/>
      <c r="AC238" s="442"/>
      <c r="AD238" s="442"/>
      <c r="AE238" s="442"/>
      <c r="AF238" s="442"/>
      <c r="AG238" s="442"/>
      <c r="AH238" s="442"/>
      <c r="AI238" s="442"/>
      <c r="AJ238" s="442"/>
      <c r="AK238" s="442"/>
      <c r="AL238" s="442"/>
      <c r="AM238" s="580">
        <f>SUM(J244:AL245)</f>
        <v>880076</v>
      </c>
    </row>
    <row r="239" spans="1:39" s="426" customFormat="1" ht="12.75" customHeight="1">
      <c r="A239" s="641"/>
      <c r="B239" s="673"/>
      <c r="C239" s="667"/>
      <c r="D239" s="670"/>
      <c r="E239" s="660"/>
      <c r="F239" s="662">
        <f>SUM(H244:AL244)</f>
        <v>3227185</v>
      </c>
      <c r="G239" s="427" t="s">
        <v>115</v>
      </c>
      <c r="H239" s="428"/>
      <c r="I239" s="429"/>
      <c r="J239" s="429"/>
      <c r="K239" s="429"/>
      <c r="L239" s="429"/>
      <c r="M239" s="429"/>
      <c r="N239" s="429"/>
      <c r="O239" s="429"/>
      <c r="P239" s="430"/>
      <c r="Q239" s="430"/>
      <c r="R239" s="430"/>
      <c r="S239" s="430"/>
      <c r="T239" s="430"/>
      <c r="U239" s="430"/>
      <c r="V239" s="430"/>
      <c r="W239" s="430"/>
      <c r="X239" s="430"/>
      <c r="Y239" s="430"/>
      <c r="Z239" s="430"/>
      <c r="AA239" s="430"/>
      <c r="AB239" s="430"/>
      <c r="AC239" s="430"/>
      <c r="AD239" s="430"/>
      <c r="AE239" s="430"/>
      <c r="AF239" s="430"/>
      <c r="AG239" s="430"/>
      <c r="AH239" s="430"/>
      <c r="AI239" s="430"/>
      <c r="AJ239" s="430"/>
      <c r="AK239" s="430"/>
      <c r="AL239" s="430"/>
      <c r="AM239" s="581"/>
    </row>
    <row r="240" spans="1:39" s="426" customFormat="1" ht="12.75" customHeight="1">
      <c r="A240" s="641"/>
      <c r="B240" s="673"/>
      <c r="C240" s="667"/>
      <c r="D240" s="670"/>
      <c r="E240" s="660"/>
      <c r="F240" s="663"/>
      <c r="G240" s="427" t="s">
        <v>116</v>
      </c>
      <c r="H240" s="428"/>
      <c r="I240" s="429"/>
      <c r="J240" s="429"/>
      <c r="K240" s="429"/>
      <c r="L240" s="429"/>
      <c r="M240" s="429"/>
      <c r="N240" s="429"/>
      <c r="O240" s="429"/>
      <c r="P240" s="430"/>
      <c r="Q240" s="430"/>
      <c r="R240" s="430"/>
      <c r="S240" s="430"/>
      <c r="T240" s="430"/>
      <c r="U240" s="430"/>
      <c r="V240" s="430"/>
      <c r="W240" s="430"/>
      <c r="X240" s="430"/>
      <c r="Y240" s="430"/>
      <c r="Z240" s="430"/>
      <c r="AA240" s="430"/>
      <c r="AB240" s="430"/>
      <c r="AC240" s="430"/>
      <c r="AD240" s="430"/>
      <c r="AE240" s="430"/>
      <c r="AF240" s="430"/>
      <c r="AG240" s="430"/>
      <c r="AH240" s="430"/>
      <c r="AI240" s="430"/>
      <c r="AJ240" s="430"/>
      <c r="AK240" s="430"/>
      <c r="AL240" s="430"/>
      <c r="AM240" s="581"/>
    </row>
    <row r="241" spans="1:39" s="426" customFormat="1" ht="12.75" customHeight="1">
      <c r="A241" s="641"/>
      <c r="B241" s="673"/>
      <c r="C241" s="667"/>
      <c r="D241" s="670"/>
      <c r="E241" s="661"/>
      <c r="F241" s="431" t="s">
        <v>117</v>
      </c>
      <c r="G241" s="427" t="s">
        <v>118</v>
      </c>
      <c r="H241" s="428"/>
      <c r="I241" s="429"/>
      <c r="J241" s="429"/>
      <c r="K241" s="429"/>
      <c r="L241" s="429"/>
      <c r="M241" s="429"/>
      <c r="N241" s="429"/>
      <c r="O241" s="429"/>
      <c r="P241" s="430"/>
      <c r="Q241" s="430"/>
      <c r="R241" s="430"/>
      <c r="S241" s="430"/>
      <c r="T241" s="430"/>
      <c r="U241" s="430"/>
      <c r="V241" s="430"/>
      <c r="W241" s="430"/>
      <c r="X241" s="430"/>
      <c r="Y241" s="430"/>
      <c r="Z241" s="430"/>
      <c r="AA241" s="430"/>
      <c r="AB241" s="430"/>
      <c r="AC241" s="430"/>
      <c r="AD241" s="430"/>
      <c r="AE241" s="430"/>
      <c r="AF241" s="430"/>
      <c r="AG241" s="430"/>
      <c r="AH241" s="430"/>
      <c r="AI241" s="430"/>
      <c r="AJ241" s="430"/>
      <c r="AK241" s="430"/>
      <c r="AL241" s="430"/>
      <c r="AM241" s="581"/>
    </row>
    <row r="242" spans="1:39" s="426" customFormat="1" ht="12.75" customHeight="1">
      <c r="A242" s="641"/>
      <c r="B242" s="673"/>
      <c r="C242" s="667"/>
      <c r="D242" s="670"/>
      <c r="E242" s="664">
        <v>2013</v>
      </c>
      <c r="F242" s="662">
        <f>SUM(H245:AL245)</f>
        <v>0</v>
      </c>
      <c r="G242" s="427" t="s">
        <v>122</v>
      </c>
      <c r="H242" s="428"/>
      <c r="I242" s="429"/>
      <c r="J242" s="429"/>
      <c r="K242" s="429"/>
      <c r="L242" s="429"/>
      <c r="M242" s="429"/>
      <c r="N242" s="429"/>
      <c r="O242" s="429"/>
      <c r="P242" s="430"/>
      <c r="Q242" s="430"/>
      <c r="R242" s="430"/>
      <c r="S242" s="430"/>
      <c r="T242" s="430"/>
      <c r="U242" s="430"/>
      <c r="V242" s="430"/>
      <c r="W242" s="430"/>
      <c r="X242" s="430"/>
      <c r="Y242" s="430"/>
      <c r="Z242" s="430"/>
      <c r="AA242" s="430"/>
      <c r="AB242" s="430"/>
      <c r="AC242" s="430"/>
      <c r="AD242" s="430"/>
      <c r="AE242" s="430"/>
      <c r="AF242" s="430"/>
      <c r="AG242" s="430"/>
      <c r="AH242" s="430"/>
      <c r="AI242" s="430"/>
      <c r="AJ242" s="430"/>
      <c r="AK242" s="430"/>
      <c r="AL242" s="430"/>
      <c r="AM242" s="581"/>
    </row>
    <row r="243" spans="1:39" s="426" customFormat="1" ht="12.75" customHeight="1">
      <c r="A243" s="641"/>
      <c r="B243" s="673"/>
      <c r="C243" s="667"/>
      <c r="D243" s="670"/>
      <c r="E243" s="660"/>
      <c r="F243" s="663"/>
      <c r="G243" s="427" t="s">
        <v>123</v>
      </c>
      <c r="H243" s="428"/>
      <c r="I243" s="429"/>
      <c r="J243" s="429"/>
      <c r="K243" s="429"/>
      <c r="L243" s="429"/>
      <c r="M243" s="429"/>
      <c r="N243" s="429"/>
      <c r="O243" s="429"/>
      <c r="P243" s="430"/>
      <c r="Q243" s="430"/>
      <c r="R243" s="430"/>
      <c r="S243" s="430"/>
      <c r="T243" s="430"/>
      <c r="U243" s="430"/>
      <c r="V243" s="430"/>
      <c r="W243" s="430"/>
      <c r="X243" s="430"/>
      <c r="Y243" s="430"/>
      <c r="Z243" s="430"/>
      <c r="AA243" s="430"/>
      <c r="AB243" s="430"/>
      <c r="AC243" s="430"/>
      <c r="AD243" s="430"/>
      <c r="AE243" s="430"/>
      <c r="AF243" s="430"/>
      <c r="AG243" s="430"/>
      <c r="AH243" s="430"/>
      <c r="AI243" s="430"/>
      <c r="AJ243" s="430"/>
      <c r="AK243" s="430"/>
      <c r="AL243" s="430"/>
      <c r="AM243" s="581"/>
    </row>
    <row r="244" spans="1:39" s="426" customFormat="1" ht="12.75" customHeight="1">
      <c r="A244" s="641"/>
      <c r="B244" s="673"/>
      <c r="C244" s="667"/>
      <c r="D244" s="670"/>
      <c r="E244" s="660"/>
      <c r="F244" s="431" t="s">
        <v>121</v>
      </c>
      <c r="G244" s="427" t="s">
        <v>124</v>
      </c>
      <c r="H244" s="432">
        <f aca="true" t="shared" si="58" ref="H244:AL244">H238+H240+H242</f>
        <v>586957</v>
      </c>
      <c r="I244" s="433">
        <f t="shared" si="58"/>
        <v>1760152</v>
      </c>
      <c r="J244" s="433">
        <f t="shared" si="58"/>
        <v>880076</v>
      </c>
      <c r="K244" s="433">
        <f t="shared" si="58"/>
        <v>0</v>
      </c>
      <c r="L244" s="433">
        <f t="shared" si="58"/>
        <v>0</v>
      </c>
      <c r="M244" s="433">
        <f t="shared" si="58"/>
        <v>0</v>
      </c>
      <c r="N244" s="433">
        <f t="shared" si="58"/>
        <v>0</v>
      </c>
      <c r="O244" s="433">
        <f t="shared" si="58"/>
        <v>0</v>
      </c>
      <c r="P244" s="433">
        <f t="shared" si="58"/>
        <v>0</v>
      </c>
      <c r="Q244" s="433">
        <f t="shared" si="58"/>
        <v>0</v>
      </c>
      <c r="R244" s="433">
        <f t="shared" si="58"/>
        <v>0</v>
      </c>
      <c r="S244" s="433">
        <f t="shared" si="58"/>
        <v>0</v>
      </c>
      <c r="T244" s="433">
        <f t="shared" si="58"/>
        <v>0</v>
      </c>
      <c r="U244" s="433">
        <f t="shared" si="58"/>
        <v>0</v>
      </c>
      <c r="V244" s="433">
        <f t="shared" si="58"/>
        <v>0</v>
      </c>
      <c r="W244" s="433">
        <f t="shared" si="58"/>
        <v>0</v>
      </c>
      <c r="X244" s="433">
        <f t="shared" si="58"/>
        <v>0</v>
      </c>
      <c r="Y244" s="433">
        <f t="shared" si="58"/>
        <v>0</v>
      </c>
      <c r="Z244" s="433">
        <f t="shared" si="58"/>
        <v>0</v>
      </c>
      <c r="AA244" s="433">
        <f t="shared" si="58"/>
        <v>0</v>
      </c>
      <c r="AB244" s="433">
        <f t="shared" si="58"/>
        <v>0</v>
      </c>
      <c r="AC244" s="433">
        <f t="shared" si="58"/>
        <v>0</v>
      </c>
      <c r="AD244" s="433">
        <f t="shared" si="58"/>
        <v>0</v>
      </c>
      <c r="AE244" s="433">
        <f t="shared" si="58"/>
        <v>0</v>
      </c>
      <c r="AF244" s="433">
        <f t="shared" si="58"/>
        <v>0</v>
      </c>
      <c r="AG244" s="433">
        <f t="shared" si="58"/>
        <v>0</v>
      </c>
      <c r="AH244" s="433">
        <f t="shared" si="58"/>
        <v>0</v>
      </c>
      <c r="AI244" s="433">
        <f t="shared" si="58"/>
        <v>0</v>
      </c>
      <c r="AJ244" s="433">
        <f t="shared" si="58"/>
        <v>0</v>
      </c>
      <c r="AK244" s="433">
        <f t="shared" si="58"/>
        <v>0</v>
      </c>
      <c r="AL244" s="433">
        <f t="shared" si="58"/>
        <v>0</v>
      </c>
      <c r="AM244" s="581"/>
    </row>
    <row r="245" spans="1:39" s="426" customFormat="1" ht="13.5" customHeight="1" thickBot="1">
      <c r="A245" s="642"/>
      <c r="B245" s="674"/>
      <c r="C245" s="668"/>
      <c r="D245" s="670"/>
      <c r="E245" s="665"/>
      <c r="F245" s="435">
        <f>F239+F242</f>
        <v>3227185</v>
      </c>
      <c r="G245" s="443" t="s">
        <v>125</v>
      </c>
      <c r="H245" s="437">
        <f aca="true" t="shared" si="59" ref="H245:AL245">H239+H241+H243</f>
        <v>0</v>
      </c>
      <c r="I245" s="444">
        <f t="shared" si="59"/>
        <v>0</v>
      </c>
      <c r="J245" s="444">
        <f t="shared" si="59"/>
        <v>0</v>
      </c>
      <c r="K245" s="444">
        <f t="shared" si="59"/>
        <v>0</v>
      </c>
      <c r="L245" s="444">
        <f t="shared" si="59"/>
        <v>0</v>
      </c>
      <c r="M245" s="444">
        <f t="shared" si="59"/>
        <v>0</v>
      </c>
      <c r="N245" s="444">
        <f t="shared" si="59"/>
        <v>0</v>
      </c>
      <c r="O245" s="444">
        <f t="shared" si="59"/>
        <v>0</v>
      </c>
      <c r="P245" s="444">
        <f t="shared" si="59"/>
        <v>0</v>
      </c>
      <c r="Q245" s="444">
        <f t="shared" si="59"/>
        <v>0</v>
      </c>
      <c r="R245" s="444">
        <f t="shared" si="59"/>
        <v>0</v>
      </c>
      <c r="S245" s="444">
        <f t="shared" si="59"/>
        <v>0</v>
      </c>
      <c r="T245" s="444">
        <f t="shared" si="59"/>
        <v>0</v>
      </c>
      <c r="U245" s="444">
        <f t="shared" si="59"/>
        <v>0</v>
      </c>
      <c r="V245" s="444">
        <f t="shared" si="59"/>
        <v>0</v>
      </c>
      <c r="W245" s="444">
        <f t="shared" si="59"/>
        <v>0</v>
      </c>
      <c r="X245" s="444">
        <f t="shared" si="59"/>
        <v>0</v>
      </c>
      <c r="Y245" s="444">
        <f t="shared" si="59"/>
        <v>0</v>
      </c>
      <c r="Z245" s="444">
        <f t="shared" si="59"/>
        <v>0</v>
      </c>
      <c r="AA245" s="444">
        <f t="shared" si="59"/>
        <v>0</v>
      </c>
      <c r="AB245" s="444">
        <f t="shared" si="59"/>
        <v>0</v>
      </c>
      <c r="AC245" s="444">
        <f t="shared" si="59"/>
        <v>0</v>
      </c>
      <c r="AD245" s="444">
        <f t="shared" si="59"/>
        <v>0</v>
      </c>
      <c r="AE245" s="444">
        <f t="shared" si="59"/>
        <v>0</v>
      </c>
      <c r="AF245" s="444">
        <f t="shared" si="59"/>
        <v>0</v>
      </c>
      <c r="AG245" s="444">
        <f t="shared" si="59"/>
        <v>0</v>
      </c>
      <c r="AH245" s="444">
        <f t="shared" si="59"/>
        <v>0</v>
      </c>
      <c r="AI245" s="444">
        <f t="shared" si="59"/>
        <v>0</v>
      </c>
      <c r="AJ245" s="444">
        <f t="shared" si="59"/>
        <v>0</v>
      </c>
      <c r="AK245" s="444">
        <f t="shared" si="59"/>
        <v>0</v>
      </c>
      <c r="AL245" s="444">
        <f t="shared" si="59"/>
        <v>0</v>
      </c>
      <c r="AM245" s="582"/>
    </row>
    <row r="246" spans="1:39" s="426" customFormat="1" ht="12.75" customHeight="1">
      <c r="A246" s="640">
        <v>31</v>
      </c>
      <c r="B246" s="672" t="s">
        <v>267</v>
      </c>
      <c r="C246" s="666">
        <v>85295</v>
      </c>
      <c r="D246" s="669" t="s">
        <v>254</v>
      </c>
      <c r="E246" s="659">
        <v>2011</v>
      </c>
      <c r="F246" s="421" t="s">
        <v>113</v>
      </c>
      <c r="G246" s="422" t="s">
        <v>200</v>
      </c>
      <c r="H246" s="440">
        <f>176400</f>
        <v>176400</v>
      </c>
      <c r="I246" s="424">
        <v>345744</v>
      </c>
      <c r="J246" s="424"/>
      <c r="K246" s="424"/>
      <c r="L246" s="424"/>
      <c r="M246" s="424"/>
      <c r="N246" s="424"/>
      <c r="O246" s="424"/>
      <c r="P246" s="425"/>
      <c r="Q246" s="425"/>
      <c r="R246" s="425"/>
      <c r="S246" s="425"/>
      <c r="T246" s="425"/>
      <c r="U246" s="425"/>
      <c r="V246" s="425"/>
      <c r="W246" s="425"/>
      <c r="X246" s="425"/>
      <c r="Y246" s="425"/>
      <c r="Z246" s="425"/>
      <c r="AA246" s="425"/>
      <c r="AB246" s="425"/>
      <c r="AC246" s="425"/>
      <c r="AD246" s="425"/>
      <c r="AE246" s="425"/>
      <c r="AF246" s="425"/>
      <c r="AG246" s="425"/>
      <c r="AH246" s="425"/>
      <c r="AI246" s="425"/>
      <c r="AJ246" s="425"/>
      <c r="AK246" s="425"/>
      <c r="AL246" s="425"/>
      <c r="AM246" s="580">
        <f>SUM(J252:AL253)</f>
        <v>0</v>
      </c>
    </row>
    <row r="247" spans="1:39" s="426" customFormat="1" ht="12.75">
      <c r="A247" s="641"/>
      <c r="B247" s="673"/>
      <c r="C247" s="667"/>
      <c r="D247" s="670"/>
      <c r="E247" s="660"/>
      <c r="F247" s="662">
        <f>SUM(H252:AL252)</f>
        <v>522144</v>
      </c>
      <c r="G247" s="427" t="s">
        <v>201</v>
      </c>
      <c r="H247" s="428"/>
      <c r="I247" s="429"/>
      <c r="J247" s="429"/>
      <c r="K247" s="429"/>
      <c r="L247" s="429"/>
      <c r="M247" s="429"/>
      <c r="N247" s="429"/>
      <c r="O247" s="429"/>
      <c r="P247" s="430"/>
      <c r="Q247" s="430"/>
      <c r="R247" s="430"/>
      <c r="S247" s="430"/>
      <c r="T247" s="430"/>
      <c r="U247" s="430"/>
      <c r="V247" s="430"/>
      <c r="W247" s="430"/>
      <c r="X247" s="430"/>
      <c r="Y247" s="430"/>
      <c r="Z247" s="430"/>
      <c r="AA247" s="430"/>
      <c r="AB247" s="430"/>
      <c r="AC247" s="430"/>
      <c r="AD247" s="430"/>
      <c r="AE247" s="430"/>
      <c r="AF247" s="430"/>
      <c r="AG247" s="430"/>
      <c r="AH247" s="430"/>
      <c r="AI247" s="430"/>
      <c r="AJ247" s="430"/>
      <c r="AK247" s="430"/>
      <c r="AL247" s="430"/>
      <c r="AM247" s="581"/>
    </row>
    <row r="248" spans="1:39" s="426" customFormat="1" ht="12.75">
      <c r="A248" s="641"/>
      <c r="B248" s="673"/>
      <c r="C248" s="667"/>
      <c r="D248" s="670"/>
      <c r="E248" s="660"/>
      <c r="F248" s="663"/>
      <c r="G248" s="427" t="s">
        <v>116</v>
      </c>
      <c r="H248" s="428"/>
      <c r="I248" s="429"/>
      <c r="J248" s="429"/>
      <c r="K248" s="429"/>
      <c r="L248" s="429"/>
      <c r="M248" s="429"/>
      <c r="N248" s="429"/>
      <c r="O248" s="429"/>
      <c r="P248" s="430"/>
      <c r="Q248" s="430"/>
      <c r="R248" s="430"/>
      <c r="S248" s="430"/>
      <c r="T248" s="430"/>
      <c r="U248" s="430"/>
      <c r="V248" s="430"/>
      <c r="W248" s="430"/>
      <c r="X248" s="430"/>
      <c r="Y248" s="430"/>
      <c r="Z248" s="430"/>
      <c r="AA248" s="430"/>
      <c r="AB248" s="430"/>
      <c r="AC248" s="430"/>
      <c r="AD248" s="430"/>
      <c r="AE248" s="430"/>
      <c r="AF248" s="430"/>
      <c r="AG248" s="430"/>
      <c r="AH248" s="430"/>
      <c r="AI248" s="430"/>
      <c r="AJ248" s="430"/>
      <c r="AK248" s="430"/>
      <c r="AL248" s="430"/>
      <c r="AM248" s="581"/>
    </row>
    <row r="249" spans="1:39" s="426" customFormat="1" ht="12.75">
      <c r="A249" s="641"/>
      <c r="B249" s="673"/>
      <c r="C249" s="667"/>
      <c r="D249" s="670"/>
      <c r="E249" s="661"/>
      <c r="F249" s="431" t="s">
        <v>117</v>
      </c>
      <c r="G249" s="427" t="s">
        <v>118</v>
      </c>
      <c r="H249" s="428"/>
      <c r="I249" s="429"/>
      <c r="J249" s="429"/>
      <c r="K249" s="429"/>
      <c r="L249" s="429"/>
      <c r="M249" s="429"/>
      <c r="N249" s="429"/>
      <c r="O249" s="429"/>
      <c r="P249" s="430"/>
      <c r="Q249" s="430"/>
      <c r="R249" s="430"/>
      <c r="S249" s="430"/>
      <c r="T249" s="430"/>
      <c r="U249" s="430"/>
      <c r="V249" s="430"/>
      <c r="W249" s="430"/>
      <c r="X249" s="430"/>
      <c r="Y249" s="430"/>
      <c r="Z249" s="430"/>
      <c r="AA249" s="430"/>
      <c r="AB249" s="430"/>
      <c r="AC249" s="430"/>
      <c r="AD249" s="430"/>
      <c r="AE249" s="430"/>
      <c r="AF249" s="430"/>
      <c r="AG249" s="430"/>
      <c r="AH249" s="430"/>
      <c r="AI249" s="430"/>
      <c r="AJ249" s="430"/>
      <c r="AK249" s="430"/>
      <c r="AL249" s="430"/>
      <c r="AM249" s="581"/>
    </row>
    <row r="250" spans="1:39" s="426" customFormat="1" ht="12.75">
      <c r="A250" s="641"/>
      <c r="B250" s="673"/>
      <c r="C250" s="667"/>
      <c r="D250" s="670"/>
      <c r="E250" s="664">
        <v>2012</v>
      </c>
      <c r="F250" s="662">
        <f>SUM(H253:AL253)</f>
        <v>0</v>
      </c>
      <c r="G250" s="427" t="s">
        <v>122</v>
      </c>
      <c r="H250" s="428"/>
      <c r="I250" s="429"/>
      <c r="J250" s="429"/>
      <c r="K250" s="429"/>
      <c r="L250" s="429"/>
      <c r="M250" s="429"/>
      <c r="N250" s="429"/>
      <c r="O250" s="429"/>
      <c r="P250" s="430"/>
      <c r="Q250" s="430"/>
      <c r="R250" s="430"/>
      <c r="S250" s="430"/>
      <c r="T250" s="430"/>
      <c r="U250" s="430"/>
      <c r="V250" s="430"/>
      <c r="W250" s="430"/>
      <c r="X250" s="430"/>
      <c r="Y250" s="430"/>
      <c r="Z250" s="430"/>
      <c r="AA250" s="430"/>
      <c r="AB250" s="430"/>
      <c r="AC250" s="430"/>
      <c r="AD250" s="430"/>
      <c r="AE250" s="430"/>
      <c r="AF250" s="430"/>
      <c r="AG250" s="430"/>
      <c r="AH250" s="430"/>
      <c r="AI250" s="430"/>
      <c r="AJ250" s="430"/>
      <c r="AK250" s="430"/>
      <c r="AL250" s="430"/>
      <c r="AM250" s="581"/>
    </row>
    <row r="251" spans="1:39" s="426" customFormat="1" ht="12.75">
      <c r="A251" s="641"/>
      <c r="B251" s="673"/>
      <c r="C251" s="667"/>
      <c r="D251" s="670"/>
      <c r="E251" s="660"/>
      <c r="F251" s="663"/>
      <c r="G251" s="427" t="s">
        <v>123</v>
      </c>
      <c r="H251" s="428"/>
      <c r="I251" s="429"/>
      <c r="J251" s="429"/>
      <c r="K251" s="429"/>
      <c r="L251" s="429"/>
      <c r="M251" s="429"/>
      <c r="N251" s="429"/>
      <c r="O251" s="429"/>
      <c r="P251" s="430"/>
      <c r="Q251" s="430"/>
      <c r="R251" s="430"/>
      <c r="S251" s="430"/>
      <c r="T251" s="430"/>
      <c r="U251" s="430"/>
      <c r="V251" s="430"/>
      <c r="W251" s="430"/>
      <c r="X251" s="430"/>
      <c r="Y251" s="430"/>
      <c r="Z251" s="430"/>
      <c r="AA251" s="430"/>
      <c r="AB251" s="430"/>
      <c r="AC251" s="430"/>
      <c r="AD251" s="430"/>
      <c r="AE251" s="430"/>
      <c r="AF251" s="430"/>
      <c r="AG251" s="430"/>
      <c r="AH251" s="430"/>
      <c r="AI251" s="430"/>
      <c r="AJ251" s="430"/>
      <c r="AK251" s="430"/>
      <c r="AL251" s="430"/>
      <c r="AM251" s="581"/>
    </row>
    <row r="252" spans="1:39" s="426" customFormat="1" ht="12.75">
      <c r="A252" s="641"/>
      <c r="B252" s="673"/>
      <c r="C252" s="667"/>
      <c r="D252" s="670"/>
      <c r="E252" s="660"/>
      <c r="F252" s="431" t="s">
        <v>121</v>
      </c>
      <c r="G252" s="427" t="s">
        <v>124</v>
      </c>
      <c r="H252" s="432">
        <f aca="true" t="shared" si="60" ref="H252:AL252">H246+H248+H250</f>
        <v>176400</v>
      </c>
      <c r="I252" s="433">
        <f t="shared" si="60"/>
        <v>345744</v>
      </c>
      <c r="J252" s="433">
        <f t="shared" si="60"/>
        <v>0</v>
      </c>
      <c r="K252" s="433">
        <f t="shared" si="60"/>
        <v>0</v>
      </c>
      <c r="L252" s="433">
        <f t="shared" si="60"/>
        <v>0</v>
      </c>
      <c r="M252" s="433">
        <f t="shared" si="60"/>
        <v>0</v>
      </c>
      <c r="N252" s="433">
        <f t="shared" si="60"/>
        <v>0</v>
      </c>
      <c r="O252" s="433">
        <f t="shared" si="60"/>
        <v>0</v>
      </c>
      <c r="P252" s="433">
        <f t="shared" si="60"/>
        <v>0</v>
      </c>
      <c r="Q252" s="433">
        <f t="shared" si="60"/>
        <v>0</v>
      </c>
      <c r="R252" s="433">
        <f t="shared" si="60"/>
        <v>0</v>
      </c>
      <c r="S252" s="433">
        <f t="shared" si="60"/>
        <v>0</v>
      </c>
      <c r="T252" s="433">
        <f t="shared" si="60"/>
        <v>0</v>
      </c>
      <c r="U252" s="433">
        <f t="shared" si="60"/>
        <v>0</v>
      </c>
      <c r="V252" s="433">
        <f t="shared" si="60"/>
        <v>0</v>
      </c>
      <c r="W252" s="433">
        <f t="shared" si="60"/>
        <v>0</v>
      </c>
      <c r="X252" s="433">
        <f t="shared" si="60"/>
        <v>0</v>
      </c>
      <c r="Y252" s="433">
        <f t="shared" si="60"/>
        <v>0</v>
      </c>
      <c r="Z252" s="433">
        <f t="shared" si="60"/>
        <v>0</v>
      </c>
      <c r="AA252" s="433">
        <f t="shared" si="60"/>
        <v>0</v>
      </c>
      <c r="AB252" s="433">
        <f t="shared" si="60"/>
        <v>0</v>
      </c>
      <c r="AC252" s="433">
        <f t="shared" si="60"/>
        <v>0</v>
      </c>
      <c r="AD252" s="433">
        <f t="shared" si="60"/>
        <v>0</v>
      </c>
      <c r="AE252" s="433">
        <f t="shared" si="60"/>
        <v>0</v>
      </c>
      <c r="AF252" s="433">
        <f t="shared" si="60"/>
        <v>0</v>
      </c>
      <c r="AG252" s="433">
        <f t="shared" si="60"/>
        <v>0</v>
      </c>
      <c r="AH252" s="433">
        <f t="shared" si="60"/>
        <v>0</v>
      </c>
      <c r="AI252" s="433">
        <f t="shared" si="60"/>
        <v>0</v>
      </c>
      <c r="AJ252" s="433">
        <f t="shared" si="60"/>
        <v>0</v>
      </c>
      <c r="AK252" s="433">
        <f t="shared" si="60"/>
        <v>0</v>
      </c>
      <c r="AL252" s="433">
        <f t="shared" si="60"/>
        <v>0</v>
      </c>
      <c r="AM252" s="581"/>
    </row>
    <row r="253" spans="1:39" s="426" customFormat="1" ht="13.5" thickBot="1">
      <c r="A253" s="642"/>
      <c r="B253" s="673"/>
      <c r="C253" s="667"/>
      <c r="D253" s="670"/>
      <c r="E253" s="660"/>
      <c r="F253" s="435">
        <f>F247+F250</f>
        <v>522144</v>
      </c>
      <c r="G253" s="436" t="s">
        <v>125</v>
      </c>
      <c r="H253" s="437">
        <f aca="true" t="shared" si="61" ref="H253:AL253">H247+H249+H251</f>
        <v>0</v>
      </c>
      <c r="I253" s="438">
        <f t="shared" si="61"/>
        <v>0</v>
      </c>
      <c r="J253" s="438">
        <f t="shared" si="61"/>
        <v>0</v>
      </c>
      <c r="K253" s="438">
        <f t="shared" si="61"/>
        <v>0</v>
      </c>
      <c r="L253" s="438">
        <f t="shared" si="61"/>
        <v>0</v>
      </c>
      <c r="M253" s="438">
        <f t="shared" si="61"/>
        <v>0</v>
      </c>
      <c r="N253" s="438">
        <f t="shared" si="61"/>
        <v>0</v>
      </c>
      <c r="O253" s="438">
        <f t="shared" si="61"/>
        <v>0</v>
      </c>
      <c r="P253" s="438">
        <f t="shared" si="61"/>
        <v>0</v>
      </c>
      <c r="Q253" s="438">
        <f t="shared" si="61"/>
        <v>0</v>
      </c>
      <c r="R253" s="438">
        <f t="shared" si="61"/>
        <v>0</v>
      </c>
      <c r="S253" s="438">
        <f t="shared" si="61"/>
        <v>0</v>
      </c>
      <c r="T253" s="438">
        <f t="shared" si="61"/>
        <v>0</v>
      </c>
      <c r="U253" s="438">
        <f t="shared" si="61"/>
        <v>0</v>
      </c>
      <c r="V253" s="438">
        <f t="shared" si="61"/>
        <v>0</v>
      </c>
      <c r="W253" s="438">
        <f t="shared" si="61"/>
        <v>0</v>
      </c>
      <c r="X253" s="438">
        <f t="shared" si="61"/>
        <v>0</v>
      </c>
      <c r="Y253" s="438">
        <f t="shared" si="61"/>
        <v>0</v>
      </c>
      <c r="Z253" s="438">
        <f t="shared" si="61"/>
        <v>0</v>
      </c>
      <c r="AA253" s="438">
        <f t="shared" si="61"/>
        <v>0</v>
      </c>
      <c r="AB253" s="438">
        <f t="shared" si="61"/>
        <v>0</v>
      </c>
      <c r="AC253" s="438">
        <f t="shared" si="61"/>
        <v>0</v>
      </c>
      <c r="AD253" s="438">
        <f t="shared" si="61"/>
        <v>0</v>
      </c>
      <c r="AE253" s="438">
        <f t="shared" si="61"/>
        <v>0</v>
      </c>
      <c r="AF253" s="438">
        <f t="shared" si="61"/>
        <v>0</v>
      </c>
      <c r="AG253" s="438">
        <f t="shared" si="61"/>
        <v>0</v>
      </c>
      <c r="AH253" s="438">
        <f t="shared" si="61"/>
        <v>0</v>
      </c>
      <c r="AI253" s="438">
        <f t="shared" si="61"/>
        <v>0</v>
      </c>
      <c r="AJ253" s="438">
        <f t="shared" si="61"/>
        <v>0</v>
      </c>
      <c r="AK253" s="438">
        <f t="shared" si="61"/>
        <v>0</v>
      </c>
      <c r="AL253" s="438">
        <f t="shared" si="61"/>
        <v>0</v>
      </c>
      <c r="AM253" s="582"/>
    </row>
    <row r="254" spans="1:39" s="426" customFormat="1" ht="12.75" customHeight="1">
      <c r="A254" s="640">
        <v>32</v>
      </c>
      <c r="B254" s="672" t="s">
        <v>268</v>
      </c>
      <c r="C254" s="666" t="s">
        <v>269</v>
      </c>
      <c r="D254" s="669" t="s">
        <v>254</v>
      </c>
      <c r="E254" s="659">
        <v>2011</v>
      </c>
      <c r="F254" s="421" t="s">
        <v>113</v>
      </c>
      <c r="G254" s="422" t="s">
        <v>114</v>
      </c>
      <c r="H254" s="440">
        <v>58680</v>
      </c>
      <c r="I254" s="441">
        <v>58680</v>
      </c>
      <c r="J254" s="441"/>
      <c r="K254" s="441"/>
      <c r="L254" s="441"/>
      <c r="M254" s="441"/>
      <c r="N254" s="441"/>
      <c r="O254" s="441"/>
      <c r="P254" s="442"/>
      <c r="Q254" s="442"/>
      <c r="R254" s="442"/>
      <c r="S254" s="442"/>
      <c r="T254" s="442"/>
      <c r="U254" s="442"/>
      <c r="V254" s="442"/>
      <c r="W254" s="442"/>
      <c r="X254" s="442"/>
      <c r="Y254" s="442"/>
      <c r="Z254" s="442"/>
      <c r="AA254" s="442"/>
      <c r="AB254" s="442"/>
      <c r="AC254" s="442"/>
      <c r="AD254" s="442"/>
      <c r="AE254" s="442"/>
      <c r="AF254" s="442"/>
      <c r="AG254" s="442"/>
      <c r="AH254" s="442"/>
      <c r="AI254" s="442"/>
      <c r="AJ254" s="442"/>
      <c r="AK254" s="442"/>
      <c r="AL254" s="442"/>
      <c r="AM254" s="580">
        <f>SUM(J260:AL261)</f>
        <v>0</v>
      </c>
    </row>
    <row r="255" spans="1:39" s="426" customFormat="1" ht="12.75">
      <c r="A255" s="641"/>
      <c r="B255" s="673"/>
      <c r="C255" s="667"/>
      <c r="D255" s="670"/>
      <c r="E255" s="660"/>
      <c r="F255" s="662">
        <f>SUM(H260:AL260)</f>
        <v>117360</v>
      </c>
      <c r="G255" s="427" t="s">
        <v>115</v>
      </c>
      <c r="H255" s="428"/>
      <c r="I255" s="429"/>
      <c r="J255" s="429"/>
      <c r="K255" s="429"/>
      <c r="L255" s="429"/>
      <c r="M255" s="429"/>
      <c r="N255" s="429"/>
      <c r="O255" s="429"/>
      <c r="P255" s="430"/>
      <c r="Q255" s="430"/>
      <c r="R255" s="430"/>
      <c r="S255" s="430"/>
      <c r="T255" s="430"/>
      <c r="U255" s="430"/>
      <c r="V255" s="430"/>
      <c r="W255" s="430"/>
      <c r="X255" s="430"/>
      <c r="Y255" s="430"/>
      <c r="Z255" s="430"/>
      <c r="AA255" s="430"/>
      <c r="AB255" s="430"/>
      <c r="AC255" s="430"/>
      <c r="AD255" s="430"/>
      <c r="AE255" s="430"/>
      <c r="AF255" s="430"/>
      <c r="AG255" s="430"/>
      <c r="AH255" s="430"/>
      <c r="AI255" s="430"/>
      <c r="AJ255" s="430"/>
      <c r="AK255" s="430"/>
      <c r="AL255" s="430"/>
      <c r="AM255" s="581"/>
    </row>
    <row r="256" spans="1:39" s="426" customFormat="1" ht="12.75">
      <c r="A256" s="641"/>
      <c r="B256" s="673"/>
      <c r="C256" s="667"/>
      <c r="D256" s="670"/>
      <c r="E256" s="660"/>
      <c r="F256" s="663"/>
      <c r="G256" s="427" t="s">
        <v>116</v>
      </c>
      <c r="H256" s="428"/>
      <c r="I256" s="429"/>
      <c r="J256" s="429"/>
      <c r="K256" s="429"/>
      <c r="L256" s="429"/>
      <c r="M256" s="429"/>
      <c r="N256" s="429"/>
      <c r="O256" s="429"/>
      <c r="P256" s="430"/>
      <c r="Q256" s="430"/>
      <c r="R256" s="430"/>
      <c r="S256" s="430"/>
      <c r="T256" s="430"/>
      <c r="U256" s="430"/>
      <c r="V256" s="430"/>
      <c r="W256" s="430"/>
      <c r="X256" s="430"/>
      <c r="Y256" s="430"/>
      <c r="Z256" s="430"/>
      <c r="AA256" s="430"/>
      <c r="AB256" s="430"/>
      <c r="AC256" s="430"/>
      <c r="AD256" s="430"/>
      <c r="AE256" s="430"/>
      <c r="AF256" s="430"/>
      <c r="AG256" s="430"/>
      <c r="AH256" s="430"/>
      <c r="AI256" s="430"/>
      <c r="AJ256" s="430"/>
      <c r="AK256" s="430"/>
      <c r="AL256" s="430"/>
      <c r="AM256" s="581"/>
    </row>
    <row r="257" spans="1:39" s="426" customFormat="1" ht="12.75">
      <c r="A257" s="641"/>
      <c r="B257" s="673"/>
      <c r="C257" s="667"/>
      <c r="D257" s="670"/>
      <c r="E257" s="661"/>
      <c r="F257" s="431" t="s">
        <v>117</v>
      </c>
      <c r="G257" s="427" t="s">
        <v>118</v>
      </c>
      <c r="H257" s="428"/>
      <c r="I257" s="429"/>
      <c r="J257" s="429"/>
      <c r="K257" s="429"/>
      <c r="L257" s="429"/>
      <c r="M257" s="429"/>
      <c r="N257" s="429"/>
      <c r="O257" s="429"/>
      <c r="P257" s="430"/>
      <c r="Q257" s="430"/>
      <c r="R257" s="430"/>
      <c r="S257" s="430"/>
      <c r="T257" s="430"/>
      <c r="U257" s="430"/>
      <c r="V257" s="430"/>
      <c r="W257" s="430"/>
      <c r="X257" s="430"/>
      <c r="Y257" s="430"/>
      <c r="Z257" s="430"/>
      <c r="AA257" s="430"/>
      <c r="AB257" s="430"/>
      <c r="AC257" s="430"/>
      <c r="AD257" s="430"/>
      <c r="AE257" s="430"/>
      <c r="AF257" s="430"/>
      <c r="AG257" s="430"/>
      <c r="AH257" s="430"/>
      <c r="AI257" s="430"/>
      <c r="AJ257" s="430"/>
      <c r="AK257" s="430"/>
      <c r="AL257" s="430"/>
      <c r="AM257" s="581"/>
    </row>
    <row r="258" spans="1:39" s="426" customFormat="1" ht="12.75">
      <c r="A258" s="641"/>
      <c r="B258" s="673"/>
      <c r="C258" s="667"/>
      <c r="D258" s="670"/>
      <c r="E258" s="664">
        <v>2012</v>
      </c>
      <c r="F258" s="662">
        <f>SUM(H261:AL261)</f>
        <v>0</v>
      </c>
      <c r="G258" s="427" t="s">
        <v>122</v>
      </c>
      <c r="H258" s="428"/>
      <c r="I258" s="429"/>
      <c r="J258" s="429"/>
      <c r="K258" s="429"/>
      <c r="L258" s="429"/>
      <c r="M258" s="429"/>
      <c r="N258" s="429"/>
      <c r="O258" s="429"/>
      <c r="P258" s="430"/>
      <c r="Q258" s="430"/>
      <c r="R258" s="430"/>
      <c r="S258" s="430"/>
      <c r="T258" s="430"/>
      <c r="U258" s="430"/>
      <c r="V258" s="430"/>
      <c r="W258" s="430"/>
      <c r="X258" s="430"/>
      <c r="Y258" s="430"/>
      <c r="Z258" s="430"/>
      <c r="AA258" s="430"/>
      <c r="AB258" s="430"/>
      <c r="AC258" s="430"/>
      <c r="AD258" s="430"/>
      <c r="AE258" s="430"/>
      <c r="AF258" s="430"/>
      <c r="AG258" s="430"/>
      <c r="AH258" s="430"/>
      <c r="AI258" s="430"/>
      <c r="AJ258" s="430"/>
      <c r="AK258" s="430"/>
      <c r="AL258" s="430"/>
      <c r="AM258" s="581"/>
    </row>
    <row r="259" spans="1:39" s="426" customFormat="1" ht="12.75">
      <c r="A259" s="641"/>
      <c r="B259" s="673"/>
      <c r="C259" s="667"/>
      <c r="D259" s="670"/>
      <c r="E259" s="660"/>
      <c r="F259" s="663"/>
      <c r="G259" s="427" t="s">
        <v>123</v>
      </c>
      <c r="H259" s="428"/>
      <c r="I259" s="429"/>
      <c r="J259" s="429"/>
      <c r="K259" s="429"/>
      <c r="L259" s="429"/>
      <c r="M259" s="429"/>
      <c r="N259" s="429"/>
      <c r="O259" s="429"/>
      <c r="P259" s="430"/>
      <c r="Q259" s="430"/>
      <c r="R259" s="430"/>
      <c r="S259" s="430"/>
      <c r="T259" s="430"/>
      <c r="U259" s="430"/>
      <c r="V259" s="430"/>
      <c r="W259" s="430"/>
      <c r="X259" s="430"/>
      <c r="Y259" s="430"/>
      <c r="Z259" s="430"/>
      <c r="AA259" s="430"/>
      <c r="AB259" s="430"/>
      <c r="AC259" s="430"/>
      <c r="AD259" s="430"/>
      <c r="AE259" s="430"/>
      <c r="AF259" s="430"/>
      <c r="AG259" s="430"/>
      <c r="AH259" s="430"/>
      <c r="AI259" s="430"/>
      <c r="AJ259" s="430"/>
      <c r="AK259" s="430"/>
      <c r="AL259" s="430"/>
      <c r="AM259" s="581"/>
    </row>
    <row r="260" spans="1:39" s="426" customFormat="1" ht="12.75">
      <c r="A260" s="641"/>
      <c r="B260" s="673"/>
      <c r="C260" s="667"/>
      <c r="D260" s="670"/>
      <c r="E260" s="660"/>
      <c r="F260" s="431" t="s">
        <v>121</v>
      </c>
      <c r="G260" s="427" t="s">
        <v>124</v>
      </c>
      <c r="H260" s="432">
        <f aca="true" t="shared" si="62" ref="H260:AL260">H254+H256+H258</f>
        <v>58680</v>
      </c>
      <c r="I260" s="433">
        <f t="shared" si="62"/>
        <v>58680</v>
      </c>
      <c r="J260" s="433">
        <f t="shared" si="62"/>
        <v>0</v>
      </c>
      <c r="K260" s="433">
        <f t="shared" si="62"/>
        <v>0</v>
      </c>
      <c r="L260" s="433">
        <f t="shared" si="62"/>
        <v>0</v>
      </c>
      <c r="M260" s="433">
        <f t="shared" si="62"/>
        <v>0</v>
      </c>
      <c r="N260" s="433">
        <f t="shared" si="62"/>
        <v>0</v>
      </c>
      <c r="O260" s="433">
        <f t="shared" si="62"/>
        <v>0</v>
      </c>
      <c r="P260" s="433">
        <f t="shared" si="62"/>
        <v>0</v>
      </c>
      <c r="Q260" s="433">
        <f t="shared" si="62"/>
        <v>0</v>
      </c>
      <c r="R260" s="433">
        <f t="shared" si="62"/>
        <v>0</v>
      </c>
      <c r="S260" s="433">
        <f t="shared" si="62"/>
        <v>0</v>
      </c>
      <c r="T260" s="433">
        <f t="shared" si="62"/>
        <v>0</v>
      </c>
      <c r="U260" s="433">
        <f t="shared" si="62"/>
        <v>0</v>
      </c>
      <c r="V260" s="433">
        <f t="shared" si="62"/>
        <v>0</v>
      </c>
      <c r="W260" s="433">
        <f t="shared" si="62"/>
        <v>0</v>
      </c>
      <c r="X260" s="433">
        <f t="shared" si="62"/>
        <v>0</v>
      </c>
      <c r="Y260" s="433">
        <f t="shared" si="62"/>
        <v>0</v>
      </c>
      <c r="Z260" s="433">
        <f t="shared" si="62"/>
        <v>0</v>
      </c>
      <c r="AA260" s="433">
        <f t="shared" si="62"/>
        <v>0</v>
      </c>
      <c r="AB260" s="433">
        <f t="shared" si="62"/>
        <v>0</v>
      </c>
      <c r="AC260" s="433">
        <f t="shared" si="62"/>
        <v>0</v>
      </c>
      <c r="AD260" s="433">
        <f t="shared" si="62"/>
        <v>0</v>
      </c>
      <c r="AE260" s="433">
        <f t="shared" si="62"/>
        <v>0</v>
      </c>
      <c r="AF260" s="433">
        <f t="shared" si="62"/>
        <v>0</v>
      </c>
      <c r="AG260" s="433">
        <f t="shared" si="62"/>
        <v>0</v>
      </c>
      <c r="AH260" s="433">
        <f t="shared" si="62"/>
        <v>0</v>
      </c>
      <c r="AI260" s="433">
        <f t="shared" si="62"/>
        <v>0</v>
      </c>
      <c r="AJ260" s="433">
        <f t="shared" si="62"/>
        <v>0</v>
      </c>
      <c r="AK260" s="433">
        <f t="shared" si="62"/>
        <v>0</v>
      </c>
      <c r="AL260" s="433">
        <f t="shared" si="62"/>
        <v>0</v>
      </c>
      <c r="AM260" s="581"/>
    </row>
    <row r="261" spans="1:39" s="426" customFormat="1" ht="13.5" thickBot="1">
      <c r="A261" s="642"/>
      <c r="B261" s="673"/>
      <c r="C261" s="668"/>
      <c r="D261" s="670"/>
      <c r="E261" s="660"/>
      <c r="F261" s="435">
        <f>F255+F258</f>
        <v>117360</v>
      </c>
      <c r="G261" s="443" t="s">
        <v>125</v>
      </c>
      <c r="H261" s="437">
        <f aca="true" t="shared" si="63" ref="H261:AL261">H255+H257+H259</f>
        <v>0</v>
      </c>
      <c r="I261" s="444">
        <f t="shared" si="63"/>
        <v>0</v>
      </c>
      <c r="J261" s="444">
        <f t="shared" si="63"/>
        <v>0</v>
      </c>
      <c r="K261" s="444">
        <f t="shared" si="63"/>
        <v>0</v>
      </c>
      <c r="L261" s="444">
        <f t="shared" si="63"/>
        <v>0</v>
      </c>
      <c r="M261" s="444">
        <f t="shared" si="63"/>
        <v>0</v>
      </c>
      <c r="N261" s="444">
        <f t="shared" si="63"/>
        <v>0</v>
      </c>
      <c r="O261" s="444">
        <f t="shared" si="63"/>
        <v>0</v>
      </c>
      <c r="P261" s="444">
        <f t="shared" si="63"/>
        <v>0</v>
      </c>
      <c r="Q261" s="444">
        <f t="shared" si="63"/>
        <v>0</v>
      </c>
      <c r="R261" s="444">
        <f t="shared" si="63"/>
        <v>0</v>
      </c>
      <c r="S261" s="444">
        <f t="shared" si="63"/>
        <v>0</v>
      </c>
      <c r="T261" s="444">
        <f t="shared" si="63"/>
        <v>0</v>
      </c>
      <c r="U261" s="444">
        <f t="shared" si="63"/>
        <v>0</v>
      </c>
      <c r="V261" s="444">
        <f t="shared" si="63"/>
        <v>0</v>
      </c>
      <c r="W261" s="444">
        <f t="shared" si="63"/>
        <v>0</v>
      </c>
      <c r="X261" s="444">
        <f t="shared" si="63"/>
        <v>0</v>
      </c>
      <c r="Y261" s="444">
        <f t="shared" si="63"/>
        <v>0</v>
      </c>
      <c r="Z261" s="444">
        <f t="shared" si="63"/>
        <v>0</v>
      </c>
      <c r="AA261" s="444">
        <f t="shared" si="63"/>
        <v>0</v>
      </c>
      <c r="AB261" s="444">
        <f t="shared" si="63"/>
        <v>0</v>
      </c>
      <c r="AC261" s="444">
        <f t="shared" si="63"/>
        <v>0</v>
      </c>
      <c r="AD261" s="444">
        <f t="shared" si="63"/>
        <v>0</v>
      </c>
      <c r="AE261" s="444">
        <f t="shared" si="63"/>
        <v>0</v>
      </c>
      <c r="AF261" s="444">
        <f t="shared" si="63"/>
        <v>0</v>
      </c>
      <c r="AG261" s="444">
        <f t="shared" si="63"/>
        <v>0</v>
      </c>
      <c r="AH261" s="444">
        <f t="shared" si="63"/>
        <v>0</v>
      </c>
      <c r="AI261" s="444">
        <f t="shared" si="63"/>
        <v>0</v>
      </c>
      <c r="AJ261" s="444">
        <f t="shared" si="63"/>
        <v>0</v>
      </c>
      <c r="AK261" s="444">
        <f t="shared" si="63"/>
        <v>0</v>
      </c>
      <c r="AL261" s="444">
        <f t="shared" si="63"/>
        <v>0</v>
      </c>
      <c r="AM261" s="582"/>
    </row>
    <row r="262" spans="1:39" s="426" customFormat="1" ht="12.75" customHeight="1" hidden="1">
      <c r="A262" s="640">
        <v>33</v>
      </c>
      <c r="B262" s="672" t="s">
        <v>270</v>
      </c>
      <c r="C262" s="666">
        <v>85311</v>
      </c>
      <c r="D262" s="669" t="s">
        <v>254</v>
      </c>
      <c r="E262" s="659" t="s">
        <v>271</v>
      </c>
      <c r="F262" s="421" t="s">
        <v>113</v>
      </c>
      <c r="G262" s="422" t="s">
        <v>114</v>
      </c>
      <c r="H262" s="440"/>
      <c r="I262" s="441"/>
      <c r="J262" s="441"/>
      <c r="K262" s="441"/>
      <c r="L262" s="441"/>
      <c r="M262" s="441"/>
      <c r="N262" s="441"/>
      <c r="O262" s="441"/>
      <c r="P262" s="442"/>
      <c r="Q262" s="442"/>
      <c r="R262" s="442"/>
      <c r="S262" s="442"/>
      <c r="T262" s="442"/>
      <c r="U262" s="442"/>
      <c r="V262" s="442"/>
      <c r="W262" s="442"/>
      <c r="X262" s="442"/>
      <c r="Y262" s="442"/>
      <c r="Z262" s="442"/>
      <c r="AA262" s="442"/>
      <c r="AB262" s="442"/>
      <c r="AC262" s="442"/>
      <c r="AD262" s="442"/>
      <c r="AE262" s="442"/>
      <c r="AF262" s="442"/>
      <c r="AG262" s="442"/>
      <c r="AH262" s="442"/>
      <c r="AI262" s="442"/>
      <c r="AJ262" s="442"/>
      <c r="AK262" s="442"/>
      <c r="AL262" s="442"/>
      <c r="AM262" s="580">
        <f>SUM(J268:AL269)</f>
        <v>0</v>
      </c>
    </row>
    <row r="263" spans="1:39" s="426" customFormat="1" ht="12.75" hidden="1">
      <c r="A263" s="641"/>
      <c r="B263" s="673"/>
      <c r="C263" s="667"/>
      <c r="D263" s="670"/>
      <c r="E263" s="660"/>
      <c r="F263" s="662">
        <f>SUM(H268:AL268)</f>
        <v>0</v>
      </c>
      <c r="G263" s="427" t="s">
        <v>115</v>
      </c>
      <c r="H263" s="428"/>
      <c r="I263" s="429"/>
      <c r="J263" s="429"/>
      <c r="K263" s="429"/>
      <c r="L263" s="429"/>
      <c r="M263" s="429"/>
      <c r="N263" s="429"/>
      <c r="O263" s="429"/>
      <c r="P263" s="430"/>
      <c r="Q263" s="430"/>
      <c r="R263" s="430"/>
      <c r="S263" s="430"/>
      <c r="T263" s="430"/>
      <c r="U263" s="430"/>
      <c r="V263" s="430"/>
      <c r="W263" s="430"/>
      <c r="X263" s="430"/>
      <c r="Y263" s="430"/>
      <c r="Z263" s="430"/>
      <c r="AA263" s="430"/>
      <c r="AB263" s="430"/>
      <c r="AC263" s="430"/>
      <c r="AD263" s="430"/>
      <c r="AE263" s="430"/>
      <c r="AF263" s="430"/>
      <c r="AG263" s="430"/>
      <c r="AH263" s="430"/>
      <c r="AI263" s="430"/>
      <c r="AJ263" s="430"/>
      <c r="AK263" s="430"/>
      <c r="AL263" s="430"/>
      <c r="AM263" s="581"/>
    </row>
    <row r="264" spans="1:39" s="426" customFormat="1" ht="12.75" hidden="1">
      <c r="A264" s="641"/>
      <c r="B264" s="673"/>
      <c r="C264" s="667"/>
      <c r="D264" s="670"/>
      <c r="E264" s="660"/>
      <c r="F264" s="663"/>
      <c r="G264" s="427" t="s">
        <v>116</v>
      </c>
      <c r="H264" s="428"/>
      <c r="I264" s="429"/>
      <c r="J264" s="429"/>
      <c r="K264" s="429"/>
      <c r="L264" s="429"/>
      <c r="M264" s="429"/>
      <c r="N264" s="429"/>
      <c r="O264" s="429"/>
      <c r="P264" s="430"/>
      <c r="Q264" s="430"/>
      <c r="R264" s="430"/>
      <c r="S264" s="430"/>
      <c r="T264" s="430"/>
      <c r="U264" s="430"/>
      <c r="V264" s="430"/>
      <c r="W264" s="430"/>
      <c r="X264" s="430"/>
      <c r="Y264" s="430"/>
      <c r="Z264" s="430"/>
      <c r="AA264" s="430"/>
      <c r="AB264" s="430"/>
      <c r="AC264" s="430"/>
      <c r="AD264" s="430"/>
      <c r="AE264" s="430"/>
      <c r="AF264" s="430"/>
      <c r="AG264" s="430"/>
      <c r="AH264" s="430"/>
      <c r="AI264" s="430"/>
      <c r="AJ264" s="430"/>
      <c r="AK264" s="430"/>
      <c r="AL264" s="430"/>
      <c r="AM264" s="581"/>
    </row>
    <row r="265" spans="1:39" s="426" customFormat="1" ht="12.75" hidden="1">
      <c r="A265" s="641"/>
      <c r="B265" s="673"/>
      <c r="C265" s="667"/>
      <c r="D265" s="670"/>
      <c r="E265" s="661"/>
      <c r="F265" s="431" t="s">
        <v>117</v>
      </c>
      <c r="G265" s="427" t="s">
        <v>118</v>
      </c>
      <c r="H265" s="428"/>
      <c r="I265" s="429"/>
      <c r="J265" s="429"/>
      <c r="K265" s="429"/>
      <c r="L265" s="429"/>
      <c r="M265" s="429"/>
      <c r="N265" s="429"/>
      <c r="O265" s="429"/>
      <c r="P265" s="430"/>
      <c r="Q265" s="430"/>
      <c r="R265" s="430"/>
      <c r="S265" s="430"/>
      <c r="T265" s="430"/>
      <c r="U265" s="430"/>
      <c r="V265" s="430"/>
      <c r="W265" s="430"/>
      <c r="X265" s="430"/>
      <c r="Y265" s="430"/>
      <c r="Z265" s="430"/>
      <c r="AA265" s="430"/>
      <c r="AB265" s="430"/>
      <c r="AC265" s="430"/>
      <c r="AD265" s="430"/>
      <c r="AE265" s="430"/>
      <c r="AF265" s="430"/>
      <c r="AG265" s="430"/>
      <c r="AH265" s="430"/>
      <c r="AI265" s="430"/>
      <c r="AJ265" s="430"/>
      <c r="AK265" s="430"/>
      <c r="AL265" s="430"/>
      <c r="AM265" s="581"/>
    </row>
    <row r="266" spans="1:39" s="426" customFormat="1" ht="12.75" hidden="1">
      <c r="A266" s="641"/>
      <c r="B266" s="673"/>
      <c r="C266" s="667"/>
      <c r="D266" s="670"/>
      <c r="E266" s="664" t="s">
        <v>272</v>
      </c>
      <c r="F266" s="662">
        <f>SUM(H269:AL269)</f>
        <v>0</v>
      </c>
      <c r="G266" s="427" t="s">
        <v>122</v>
      </c>
      <c r="H266" s="428"/>
      <c r="I266" s="429"/>
      <c r="J266" s="429"/>
      <c r="K266" s="429"/>
      <c r="L266" s="429"/>
      <c r="M266" s="429"/>
      <c r="N266" s="429"/>
      <c r="O266" s="429"/>
      <c r="P266" s="430"/>
      <c r="Q266" s="430"/>
      <c r="R266" s="430"/>
      <c r="S266" s="430"/>
      <c r="T266" s="430"/>
      <c r="U266" s="430"/>
      <c r="V266" s="430"/>
      <c r="W266" s="430"/>
      <c r="X266" s="430"/>
      <c r="Y266" s="430"/>
      <c r="Z266" s="430"/>
      <c r="AA266" s="430"/>
      <c r="AB266" s="430"/>
      <c r="AC266" s="430"/>
      <c r="AD266" s="430"/>
      <c r="AE266" s="430"/>
      <c r="AF266" s="430"/>
      <c r="AG266" s="430"/>
      <c r="AH266" s="430"/>
      <c r="AI266" s="430"/>
      <c r="AJ266" s="430"/>
      <c r="AK266" s="430"/>
      <c r="AL266" s="430"/>
      <c r="AM266" s="581"/>
    </row>
    <row r="267" spans="1:39" s="426" customFormat="1" ht="12.75" hidden="1">
      <c r="A267" s="641"/>
      <c r="B267" s="673"/>
      <c r="C267" s="667"/>
      <c r="D267" s="670"/>
      <c r="E267" s="660"/>
      <c r="F267" s="663"/>
      <c r="G267" s="427" t="s">
        <v>123</v>
      </c>
      <c r="H267" s="428"/>
      <c r="I267" s="429"/>
      <c r="J267" s="429"/>
      <c r="K267" s="429"/>
      <c r="L267" s="429"/>
      <c r="M267" s="429"/>
      <c r="N267" s="429"/>
      <c r="O267" s="429"/>
      <c r="P267" s="430"/>
      <c r="Q267" s="430"/>
      <c r="R267" s="430"/>
      <c r="S267" s="430"/>
      <c r="T267" s="430"/>
      <c r="U267" s="430"/>
      <c r="V267" s="430"/>
      <c r="W267" s="430"/>
      <c r="X267" s="430"/>
      <c r="Y267" s="430"/>
      <c r="Z267" s="430"/>
      <c r="AA267" s="430"/>
      <c r="AB267" s="430"/>
      <c r="AC267" s="430"/>
      <c r="AD267" s="430"/>
      <c r="AE267" s="430"/>
      <c r="AF267" s="430"/>
      <c r="AG267" s="430"/>
      <c r="AH267" s="430"/>
      <c r="AI267" s="430"/>
      <c r="AJ267" s="430"/>
      <c r="AK267" s="430"/>
      <c r="AL267" s="430"/>
      <c r="AM267" s="581"/>
    </row>
    <row r="268" spans="1:39" s="426" customFormat="1" ht="12.75" hidden="1">
      <c r="A268" s="641"/>
      <c r="B268" s="673"/>
      <c r="C268" s="667"/>
      <c r="D268" s="670"/>
      <c r="E268" s="660"/>
      <c r="F268" s="431" t="s">
        <v>121</v>
      </c>
      <c r="G268" s="427" t="s">
        <v>124</v>
      </c>
      <c r="H268" s="432">
        <f aca="true" t="shared" si="64" ref="H268:AL268">H262+H264+H266</f>
        <v>0</v>
      </c>
      <c r="I268" s="433">
        <f t="shared" si="64"/>
        <v>0</v>
      </c>
      <c r="J268" s="433">
        <f t="shared" si="64"/>
        <v>0</v>
      </c>
      <c r="K268" s="433">
        <f t="shared" si="64"/>
        <v>0</v>
      </c>
      <c r="L268" s="433">
        <f t="shared" si="64"/>
        <v>0</v>
      </c>
      <c r="M268" s="433">
        <f t="shared" si="64"/>
        <v>0</v>
      </c>
      <c r="N268" s="433">
        <f t="shared" si="64"/>
        <v>0</v>
      </c>
      <c r="O268" s="433">
        <f t="shared" si="64"/>
        <v>0</v>
      </c>
      <c r="P268" s="433">
        <f t="shared" si="64"/>
        <v>0</v>
      </c>
      <c r="Q268" s="433">
        <f t="shared" si="64"/>
        <v>0</v>
      </c>
      <c r="R268" s="433">
        <f t="shared" si="64"/>
        <v>0</v>
      </c>
      <c r="S268" s="433">
        <f t="shared" si="64"/>
        <v>0</v>
      </c>
      <c r="T268" s="433">
        <f t="shared" si="64"/>
        <v>0</v>
      </c>
      <c r="U268" s="433">
        <f t="shared" si="64"/>
        <v>0</v>
      </c>
      <c r="V268" s="433">
        <f t="shared" si="64"/>
        <v>0</v>
      </c>
      <c r="W268" s="433">
        <f t="shared" si="64"/>
        <v>0</v>
      </c>
      <c r="X268" s="433">
        <f t="shared" si="64"/>
        <v>0</v>
      </c>
      <c r="Y268" s="433">
        <f t="shared" si="64"/>
        <v>0</v>
      </c>
      <c r="Z268" s="433">
        <f t="shared" si="64"/>
        <v>0</v>
      </c>
      <c r="AA268" s="433">
        <f t="shared" si="64"/>
        <v>0</v>
      </c>
      <c r="AB268" s="433">
        <f t="shared" si="64"/>
        <v>0</v>
      </c>
      <c r="AC268" s="433">
        <f t="shared" si="64"/>
        <v>0</v>
      </c>
      <c r="AD268" s="433">
        <f t="shared" si="64"/>
        <v>0</v>
      </c>
      <c r="AE268" s="433">
        <f t="shared" si="64"/>
        <v>0</v>
      </c>
      <c r="AF268" s="433">
        <f t="shared" si="64"/>
        <v>0</v>
      </c>
      <c r="AG268" s="433">
        <f t="shared" si="64"/>
        <v>0</v>
      </c>
      <c r="AH268" s="433">
        <f t="shared" si="64"/>
        <v>0</v>
      </c>
      <c r="AI268" s="433">
        <f t="shared" si="64"/>
        <v>0</v>
      </c>
      <c r="AJ268" s="433">
        <f t="shared" si="64"/>
        <v>0</v>
      </c>
      <c r="AK268" s="433">
        <f t="shared" si="64"/>
        <v>0</v>
      </c>
      <c r="AL268" s="433">
        <f t="shared" si="64"/>
        <v>0</v>
      </c>
      <c r="AM268" s="581"/>
    </row>
    <row r="269" spans="1:39" s="426" customFormat="1" ht="19.5" customHeight="1" hidden="1" thickBot="1">
      <c r="A269" s="642"/>
      <c r="B269" s="674"/>
      <c r="C269" s="668"/>
      <c r="D269" s="670"/>
      <c r="E269" s="665"/>
      <c r="F269" s="435">
        <f>F263+F266</f>
        <v>0</v>
      </c>
      <c r="G269" s="443" t="s">
        <v>125</v>
      </c>
      <c r="H269" s="437">
        <f aca="true" t="shared" si="65" ref="H269:AL269">H263+H265+H267</f>
        <v>0</v>
      </c>
      <c r="I269" s="444">
        <f t="shared" si="65"/>
        <v>0</v>
      </c>
      <c r="J269" s="444">
        <f t="shared" si="65"/>
        <v>0</v>
      </c>
      <c r="K269" s="444">
        <f t="shared" si="65"/>
        <v>0</v>
      </c>
      <c r="L269" s="444">
        <f t="shared" si="65"/>
        <v>0</v>
      </c>
      <c r="M269" s="444">
        <f t="shared" si="65"/>
        <v>0</v>
      </c>
      <c r="N269" s="444">
        <f t="shared" si="65"/>
        <v>0</v>
      </c>
      <c r="O269" s="444">
        <f t="shared" si="65"/>
        <v>0</v>
      </c>
      <c r="P269" s="444">
        <f t="shared" si="65"/>
        <v>0</v>
      </c>
      <c r="Q269" s="444">
        <f t="shared" si="65"/>
        <v>0</v>
      </c>
      <c r="R269" s="444">
        <f t="shared" si="65"/>
        <v>0</v>
      </c>
      <c r="S269" s="444">
        <f t="shared" si="65"/>
        <v>0</v>
      </c>
      <c r="T269" s="444">
        <f t="shared" si="65"/>
        <v>0</v>
      </c>
      <c r="U269" s="444">
        <f t="shared" si="65"/>
        <v>0</v>
      </c>
      <c r="V269" s="444">
        <f t="shared" si="65"/>
        <v>0</v>
      </c>
      <c r="W269" s="444">
        <f t="shared" si="65"/>
        <v>0</v>
      </c>
      <c r="X269" s="444">
        <f t="shared" si="65"/>
        <v>0</v>
      </c>
      <c r="Y269" s="444">
        <f t="shared" si="65"/>
        <v>0</v>
      </c>
      <c r="Z269" s="444">
        <f t="shared" si="65"/>
        <v>0</v>
      </c>
      <c r="AA269" s="444">
        <f t="shared" si="65"/>
        <v>0</v>
      </c>
      <c r="AB269" s="444">
        <f t="shared" si="65"/>
        <v>0</v>
      </c>
      <c r="AC269" s="444">
        <f t="shared" si="65"/>
        <v>0</v>
      </c>
      <c r="AD269" s="444">
        <f t="shared" si="65"/>
        <v>0</v>
      </c>
      <c r="AE269" s="444">
        <f t="shared" si="65"/>
        <v>0</v>
      </c>
      <c r="AF269" s="444">
        <f t="shared" si="65"/>
        <v>0</v>
      </c>
      <c r="AG269" s="444">
        <f t="shared" si="65"/>
        <v>0</v>
      </c>
      <c r="AH269" s="444">
        <f t="shared" si="65"/>
        <v>0</v>
      </c>
      <c r="AI269" s="444">
        <f t="shared" si="65"/>
        <v>0</v>
      </c>
      <c r="AJ269" s="444">
        <f t="shared" si="65"/>
        <v>0</v>
      </c>
      <c r="AK269" s="444">
        <f t="shared" si="65"/>
        <v>0</v>
      </c>
      <c r="AL269" s="444">
        <f t="shared" si="65"/>
        <v>0</v>
      </c>
      <c r="AM269" s="582"/>
    </row>
    <row r="270" spans="1:39" s="426" customFormat="1" ht="12.75" customHeight="1">
      <c r="A270" s="640">
        <v>33</v>
      </c>
      <c r="B270" s="672" t="s">
        <v>273</v>
      </c>
      <c r="C270" s="666">
        <v>85395</v>
      </c>
      <c r="D270" s="669" t="s">
        <v>254</v>
      </c>
      <c r="E270" s="659">
        <v>2010</v>
      </c>
      <c r="F270" s="421" t="s">
        <v>113</v>
      </c>
      <c r="G270" s="422" t="s">
        <v>114</v>
      </c>
      <c r="H270" s="440">
        <f>32999+29670</f>
        <v>62669</v>
      </c>
      <c r="I270" s="441">
        <v>36870</v>
      </c>
      <c r="J270" s="441"/>
      <c r="K270" s="441"/>
      <c r="L270" s="441"/>
      <c r="M270" s="441"/>
      <c r="N270" s="441"/>
      <c r="O270" s="441"/>
      <c r="P270" s="442"/>
      <c r="Q270" s="442"/>
      <c r="R270" s="442"/>
      <c r="S270" s="442"/>
      <c r="T270" s="442"/>
      <c r="U270" s="442"/>
      <c r="V270" s="442"/>
      <c r="W270" s="442"/>
      <c r="X270" s="442"/>
      <c r="Y270" s="442"/>
      <c r="Z270" s="442"/>
      <c r="AA270" s="442"/>
      <c r="AB270" s="442"/>
      <c r="AC270" s="442"/>
      <c r="AD270" s="442"/>
      <c r="AE270" s="442"/>
      <c r="AF270" s="442"/>
      <c r="AG270" s="442"/>
      <c r="AH270" s="442"/>
      <c r="AI270" s="442"/>
      <c r="AJ270" s="442"/>
      <c r="AK270" s="442"/>
      <c r="AL270" s="442"/>
      <c r="AM270" s="580">
        <f>SUM(J276:AL277)</f>
        <v>0</v>
      </c>
    </row>
    <row r="271" spans="1:39" s="426" customFormat="1" ht="10.5" customHeight="1">
      <c r="A271" s="641"/>
      <c r="B271" s="673"/>
      <c r="C271" s="667"/>
      <c r="D271" s="670"/>
      <c r="E271" s="660"/>
      <c r="F271" s="662">
        <f>SUM(H276:AL276)</f>
        <v>99539</v>
      </c>
      <c r="G271" s="427" t="s">
        <v>115</v>
      </c>
      <c r="H271" s="428"/>
      <c r="I271" s="429"/>
      <c r="J271" s="429"/>
      <c r="K271" s="429"/>
      <c r="L271" s="429"/>
      <c r="M271" s="429"/>
      <c r="N271" s="429"/>
      <c r="O271" s="429"/>
      <c r="P271" s="430"/>
      <c r="Q271" s="430"/>
      <c r="R271" s="430"/>
      <c r="S271" s="430"/>
      <c r="T271" s="430"/>
      <c r="U271" s="430"/>
      <c r="V271" s="430"/>
      <c r="W271" s="430"/>
      <c r="X271" s="430"/>
      <c r="Y271" s="430"/>
      <c r="Z271" s="430"/>
      <c r="AA271" s="430"/>
      <c r="AB271" s="430"/>
      <c r="AC271" s="430"/>
      <c r="AD271" s="430"/>
      <c r="AE271" s="430"/>
      <c r="AF271" s="430"/>
      <c r="AG271" s="430"/>
      <c r="AH271" s="430"/>
      <c r="AI271" s="430"/>
      <c r="AJ271" s="430"/>
      <c r="AK271" s="430"/>
      <c r="AL271" s="430"/>
      <c r="AM271" s="581"/>
    </row>
    <row r="272" spans="1:39" s="426" customFormat="1" ht="10.5" customHeight="1">
      <c r="A272" s="641"/>
      <c r="B272" s="673"/>
      <c r="C272" s="667"/>
      <c r="D272" s="670"/>
      <c r="E272" s="660"/>
      <c r="F272" s="663"/>
      <c r="G272" s="427" t="s">
        <v>116</v>
      </c>
      <c r="H272" s="428"/>
      <c r="I272" s="429"/>
      <c r="J272" s="429"/>
      <c r="K272" s="429"/>
      <c r="L272" s="429"/>
      <c r="M272" s="429"/>
      <c r="N272" s="429"/>
      <c r="O272" s="429"/>
      <c r="P272" s="430"/>
      <c r="Q272" s="430"/>
      <c r="R272" s="430"/>
      <c r="S272" s="430"/>
      <c r="T272" s="430"/>
      <c r="U272" s="430"/>
      <c r="V272" s="430"/>
      <c r="W272" s="430"/>
      <c r="X272" s="430"/>
      <c r="Y272" s="430"/>
      <c r="Z272" s="430"/>
      <c r="AA272" s="430"/>
      <c r="AB272" s="430"/>
      <c r="AC272" s="430"/>
      <c r="AD272" s="430"/>
      <c r="AE272" s="430"/>
      <c r="AF272" s="430"/>
      <c r="AG272" s="430"/>
      <c r="AH272" s="430"/>
      <c r="AI272" s="430"/>
      <c r="AJ272" s="430"/>
      <c r="AK272" s="430"/>
      <c r="AL272" s="430"/>
      <c r="AM272" s="581"/>
    </row>
    <row r="273" spans="1:39" s="426" customFormat="1" ht="12.75">
      <c r="A273" s="641"/>
      <c r="B273" s="673"/>
      <c r="C273" s="667"/>
      <c r="D273" s="670"/>
      <c r="E273" s="661"/>
      <c r="F273" s="431" t="s">
        <v>117</v>
      </c>
      <c r="G273" s="427" t="s">
        <v>118</v>
      </c>
      <c r="H273" s="428"/>
      <c r="I273" s="429"/>
      <c r="J273" s="429"/>
      <c r="K273" s="429"/>
      <c r="L273" s="429"/>
      <c r="M273" s="429"/>
      <c r="N273" s="429"/>
      <c r="O273" s="429"/>
      <c r="P273" s="430"/>
      <c r="Q273" s="430"/>
      <c r="R273" s="430"/>
      <c r="S273" s="430"/>
      <c r="T273" s="430"/>
      <c r="U273" s="430"/>
      <c r="V273" s="430"/>
      <c r="W273" s="430"/>
      <c r="X273" s="430"/>
      <c r="Y273" s="430"/>
      <c r="Z273" s="430"/>
      <c r="AA273" s="430"/>
      <c r="AB273" s="430"/>
      <c r="AC273" s="430"/>
      <c r="AD273" s="430"/>
      <c r="AE273" s="430"/>
      <c r="AF273" s="430"/>
      <c r="AG273" s="430"/>
      <c r="AH273" s="430"/>
      <c r="AI273" s="430"/>
      <c r="AJ273" s="430"/>
      <c r="AK273" s="430"/>
      <c r="AL273" s="430"/>
      <c r="AM273" s="581"/>
    </row>
    <row r="274" spans="1:39" s="426" customFormat="1" ht="12.75">
      <c r="A274" s="641"/>
      <c r="B274" s="673"/>
      <c r="C274" s="667"/>
      <c r="D274" s="670"/>
      <c r="E274" s="664">
        <v>2012</v>
      </c>
      <c r="F274" s="662">
        <f>SUM(H277:AL277)</f>
        <v>0</v>
      </c>
      <c r="G274" s="427" t="s">
        <v>122</v>
      </c>
      <c r="H274" s="428"/>
      <c r="I274" s="429"/>
      <c r="J274" s="429"/>
      <c r="K274" s="429"/>
      <c r="L274" s="429"/>
      <c r="M274" s="429"/>
      <c r="N274" s="429"/>
      <c r="O274" s="429"/>
      <c r="P274" s="430"/>
      <c r="Q274" s="430"/>
      <c r="R274" s="430"/>
      <c r="S274" s="430"/>
      <c r="T274" s="430"/>
      <c r="U274" s="430"/>
      <c r="V274" s="430"/>
      <c r="W274" s="430"/>
      <c r="X274" s="430"/>
      <c r="Y274" s="430"/>
      <c r="Z274" s="430"/>
      <c r="AA274" s="430"/>
      <c r="AB274" s="430"/>
      <c r="AC274" s="430"/>
      <c r="AD274" s="430"/>
      <c r="AE274" s="430"/>
      <c r="AF274" s="430"/>
      <c r="AG274" s="430"/>
      <c r="AH274" s="430"/>
      <c r="AI274" s="430"/>
      <c r="AJ274" s="430"/>
      <c r="AK274" s="430"/>
      <c r="AL274" s="430"/>
      <c r="AM274" s="581"/>
    </row>
    <row r="275" spans="1:39" s="426" customFormat="1" ht="12.75">
      <c r="A275" s="641"/>
      <c r="B275" s="673"/>
      <c r="C275" s="667"/>
      <c r="D275" s="670"/>
      <c r="E275" s="660"/>
      <c r="F275" s="663"/>
      <c r="G275" s="427" t="s">
        <v>123</v>
      </c>
      <c r="H275" s="428"/>
      <c r="I275" s="429"/>
      <c r="J275" s="429"/>
      <c r="K275" s="429"/>
      <c r="L275" s="429"/>
      <c r="M275" s="429"/>
      <c r="N275" s="429"/>
      <c r="O275" s="429"/>
      <c r="P275" s="430"/>
      <c r="Q275" s="430"/>
      <c r="R275" s="430"/>
      <c r="S275" s="430"/>
      <c r="T275" s="430"/>
      <c r="U275" s="430"/>
      <c r="V275" s="430"/>
      <c r="W275" s="430"/>
      <c r="X275" s="430"/>
      <c r="Y275" s="430"/>
      <c r="Z275" s="430"/>
      <c r="AA275" s="430"/>
      <c r="AB275" s="430"/>
      <c r="AC275" s="430"/>
      <c r="AD275" s="430"/>
      <c r="AE275" s="430"/>
      <c r="AF275" s="430"/>
      <c r="AG275" s="430"/>
      <c r="AH275" s="430"/>
      <c r="AI275" s="430"/>
      <c r="AJ275" s="430"/>
      <c r="AK275" s="430"/>
      <c r="AL275" s="430"/>
      <c r="AM275" s="581"/>
    </row>
    <row r="276" spans="1:39" s="426" customFormat="1" ht="12.75">
      <c r="A276" s="641"/>
      <c r="B276" s="673"/>
      <c r="C276" s="667"/>
      <c r="D276" s="670"/>
      <c r="E276" s="660"/>
      <c r="F276" s="431" t="s">
        <v>121</v>
      </c>
      <c r="G276" s="427" t="s">
        <v>124</v>
      </c>
      <c r="H276" s="432">
        <f aca="true" t="shared" si="66" ref="H276:AL276">H270+H272+H274</f>
        <v>62669</v>
      </c>
      <c r="I276" s="433">
        <f t="shared" si="66"/>
        <v>36870</v>
      </c>
      <c r="J276" s="433">
        <f t="shared" si="66"/>
        <v>0</v>
      </c>
      <c r="K276" s="433">
        <f t="shared" si="66"/>
        <v>0</v>
      </c>
      <c r="L276" s="433">
        <f t="shared" si="66"/>
        <v>0</v>
      </c>
      <c r="M276" s="433">
        <f t="shared" si="66"/>
        <v>0</v>
      </c>
      <c r="N276" s="433">
        <f t="shared" si="66"/>
        <v>0</v>
      </c>
      <c r="O276" s="433">
        <f t="shared" si="66"/>
        <v>0</v>
      </c>
      <c r="P276" s="433">
        <f t="shared" si="66"/>
        <v>0</v>
      </c>
      <c r="Q276" s="433">
        <f t="shared" si="66"/>
        <v>0</v>
      </c>
      <c r="R276" s="433">
        <f t="shared" si="66"/>
        <v>0</v>
      </c>
      <c r="S276" s="433">
        <f t="shared" si="66"/>
        <v>0</v>
      </c>
      <c r="T276" s="433">
        <f t="shared" si="66"/>
        <v>0</v>
      </c>
      <c r="U276" s="433">
        <f t="shared" si="66"/>
        <v>0</v>
      </c>
      <c r="V276" s="433">
        <f t="shared" si="66"/>
        <v>0</v>
      </c>
      <c r="W276" s="433">
        <f t="shared" si="66"/>
        <v>0</v>
      </c>
      <c r="X276" s="433">
        <f t="shared" si="66"/>
        <v>0</v>
      </c>
      <c r="Y276" s="433">
        <f t="shared" si="66"/>
        <v>0</v>
      </c>
      <c r="Z276" s="433">
        <f t="shared" si="66"/>
        <v>0</v>
      </c>
      <c r="AA276" s="433">
        <f t="shared" si="66"/>
        <v>0</v>
      </c>
      <c r="AB276" s="433">
        <f t="shared" si="66"/>
        <v>0</v>
      </c>
      <c r="AC276" s="433">
        <f t="shared" si="66"/>
        <v>0</v>
      </c>
      <c r="AD276" s="433">
        <f t="shared" si="66"/>
        <v>0</v>
      </c>
      <c r="AE276" s="433">
        <f t="shared" si="66"/>
        <v>0</v>
      </c>
      <c r="AF276" s="433">
        <f t="shared" si="66"/>
        <v>0</v>
      </c>
      <c r="AG276" s="433">
        <f t="shared" si="66"/>
        <v>0</v>
      </c>
      <c r="AH276" s="433">
        <f t="shared" si="66"/>
        <v>0</v>
      </c>
      <c r="AI276" s="433">
        <f t="shared" si="66"/>
        <v>0</v>
      </c>
      <c r="AJ276" s="433">
        <f t="shared" si="66"/>
        <v>0</v>
      </c>
      <c r="AK276" s="433">
        <f t="shared" si="66"/>
        <v>0</v>
      </c>
      <c r="AL276" s="433">
        <f t="shared" si="66"/>
        <v>0</v>
      </c>
      <c r="AM276" s="581"/>
    </row>
    <row r="277" spans="1:39" s="426" customFormat="1" ht="13.5" thickBot="1">
      <c r="A277" s="642"/>
      <c r="B277" s="674"/>
      <c r="C277" s="668"/>
      <c r="D277" s="670"/>
      <c r="E277" s="665"/>
      <c r="F277" s="435">
        <f>F271+F274</f>
        <v>99539</v>
      </c>
      <c r="G277" s="443" t="s">
        <v>125</v>
      </c>
      <c r="H277" s="437">
        <f aca="true" t="shared" si="67" ref="H277:AL277">H271+H273+H275</f>
        <v>0</v>
      </c>
      <c r="I277" s="444">
        <f t="shared" si="67"/>
        <v>0</v>
      </c>
      <c r="J277" s="444">
        <f t="shared" si="67"/>
        <v>0</v>
      </c>
      <c r="K277" s="444">
        <f t="shared" si="67"/>
        <v>0</v>
      </c>
      <c r="L277" s="444">
        <f t="shared" si="67"/>
        <v>0</v>
      </c>
      <c r="M277" s="444">
        <f t="shared" si="67"/>
        <v>0</v>
      </c>
      <c r="N277" s="444">
        <f t="shared" si="67"/>
        <v>0</v>
      </c>
      <c r="O277" s="444">
        <f t="shared" si="67"/>
        <v>0</v>
      </c>
      <c r="P277" s="444">
        <f t="shared" si="67"/>
        <v>0</v>
      </c>
      <c r="Q277" s="444">
        <f t="shared" si="67"/>
        <v>0</v>
      </c>
      <c r="R277" s="444">
        <f t="shared" si="67"/>
        <v>0</v>
      </c>
      <c r="S277" s="444">
        <f t="shared" si="67"/>
        <v>0</v>
      </c>
      <c r="T277" s="444">
        <f t="shared" si="67"/>
        <v>0</v>
      </c>
      <c r="U277" s="444">
        <f t="shared" si="67"/>
        <v>0</v>
      </c>
      <c r="V277" s="444">
        <f t="shared" si="67"/>
        <v>0</v>
      </c>
      <c r="W277" s="444">
        <f t="shared" si="67"/>
        <v>0</v>
      </c>
      <c r="X277" s="444">
        <f t="shared" si="67"/>
        <v>0</v>
      </c>
      <c r="Y277" s="444">
        <f t="shared" si="67"/>
        <v>0</v>
      </c>
      <c r="Z277" s="444">
        <f t="shared" si="67"/>
        <v>0</v>
      </c>
      <c r="AA277" s="444">
        <f t="shared" si="67"/>
        <v>0</v>
      </c>
      <c r="AB277" s="444">
        <f t="shared" si="67"/>
        <v>0</v>
      </c>
      <c r="AC277" s="444">
        <f t="shared" si="67"/>
        <v>0</v>
      </c>
      <c r="AD277" s="444">
        <f t="shared" si="67"/>
        <v>0</v>
      </c>
      <c r="AE277" s="444">
        <f t="shared" si="67"/>
        <v>0</v>
      </c>
      <c r="AF277" s="444">
        <f t="shared" si="67"/>
        <v>0</v>
      </c>
      <c r="AG277" s="444">
        <f t="shared" si="67"/>
        <v>0</v>
      </c>
      <c r="AH277" s="444">
        <f t="shared" si="67"/>
        <v>0</v>
      </c>
      <c r="AI277" s="444">
        <f t="shared" si="67"/>
        <v>0</v>
      </c>
      <c r="AJ277" s="444">
        <f t="shared" si="67"/>
        <v>0</v>
      </c>
      <c r="AK277" s="444">
        <f t="shared" si="67"/>
        <v>0</v>
      </c>
      <c r="AL277" s="444">
        <f t="shared" si="67"/>
        <v>0</v>
      </c>
      <c r="AM277" s="582"/>
    </row>
    <row r="278" spans="1:39" s="426" customFormat="1" ht="12.75" customHeight="1">
      <c r="A278" s="640">
        <v>34</v>
      </c>
      <c r="B278" s="672" t="s">
        <v>274</v>
      </c>
      <c r="C278" s="666">
        <v>85395</v>
      </c>
      <c r="D278" s="669" t="s">
        <v>254</v>
      </c>
      <c r="E278" s="659">
        <v>2010</v>
      </c>
      <c r="F278" s="421" t="s">
        <v>113</v>
      </c>
      <c r="G278" s="422" t="s">
        <v>114</v>
      </c>
      <c r="H278" s="440">
        <f>24682+23000</f>
        <v>47682</v>
      </c>
      <c r="I278" s="441">
        <v>15500</v>
      </c>
      <c r="J278" s="441"/>
      <c r="K278" s="441"/>
      <c r="L278" s="441"/>
      <c r="M278" s="441"/>
      <c r="N278" s="441"/>
      <c r="O278" s="441"/>
      <c r="P278" s="442"/>
      <c r="Q278" s="442"/>
      <c r="R278" s="442"/>
      <c r="S278" s="442"/>
      <c r="T278" s="442"/>
      <c r="U278" s="442"/>
      <c r="V278" s="442"/>
      <c r="W278" s="442"/>
      <c r="X278" s="442"/>
      <c r="Y278" s="442"/>
      <c r="Z278" s="442"/>
      <c r="AA278" s="442"/>
      <c r="AB278" s="442"/>
      <c r="AC278" s="442"/>
      <c r="AD278" s="442"/>
      <c r="AE278" s="442"/>
      <c r="AF278" s="442"/>
      <c r="AG278" s="442"/>
      <c r="AH278" s="442"/>
      <c r="AI278" s="442"/>
      <c r="AJ278" s="442"/>
      <c r="AK278" s="442"/>
      <c r="AL278" s="442"/>
      <c r="AM278" s="580">
        <f>SUM(J284:AL285)</f>
        <v>0</v>
      </c>
    </row>
    <row r="279" spans="1:39" s="426" customFormat="1" ht="11.25" customHeight="1">
      <c r="A279" s="641"/>
      <c r="B279" s="673"/>
      <c r="C279" s="667"/>
      <c r="D279" s="670"/>
      <c r="E279" s="660"/>
      <c r="F279" s="662">
        <f>SUM(H284:AL284)</f>
        <v>63182</v>
      </c>
      <c r="G279" s="427" t="s">
        <v>115</v>
      </c>
      <c r="H279" s="428"/>
      <c r="I279" s="429"/>
      <c r="J279" s="429"/>
      <c r="K279" s="429"/>
      <c r="L279" s="429"/>
      <c r="M279" s="429"/>
      <c r="N279" s="429"/>
      <c r="O279" s="429"/>
      <c r="P279" s="430"/>
      <c r="Q279" s="430"/>
      <c r="R279" s="430"/>
      <c r="S279" s="430"/>
      <c r="T279" s="430"/>
      <c r="U279" s="430"/>
      <c r="V279" s="430"/>
      <c r="W279" s="430"/>
      <c r="X279" s="430"/>
      <c r="Y279" s="430"/>
      <c r="Z279" s="430"/>
      <c r="AA279" s="430"/>
      <c r="AB279" s="430"/>
      <c r="AC279" s="430"/>
      <c r="AD279" s="430"/>
      <c r="AE279" s="430"/>
      <c r="AF279" s="430"/>
      <c r="AG279" s="430"/>
      <c r="AH279" s="430"/>
      <c r="AI279" s="430"/>
      <c r="AJ279" s="430"/>
      <c r="AK279" s="430"/>
      <c r="AL279" s="430"/>
      <c r="AM279" s="581"/>
    </row>
    <row r="280" spans="1:39" s="426" customFormat="1" ht="11.25" customHeight="1">
      <c r="A280" s="641"/>
      <c r="B280" s="673"/>
      <c r="C280" s="667"/>
      <c r="D280" s="670"/>
      <c r="E280" s="660"/>
      <c r="F280" s="663"/>
      <c r="G280" s="427" t="s">
        <v>116</v>
      </c>
      <c r="H280" s="428"/>
      <c r="I280" s="429"/>
      <c r="J280" s="429"/>
      <c r="K280" s="429"/>
      <c r="L280" s="429"/>
      <c r="M280" s="429"/>
      <c r="N280" s="429"/>
      <c r="O280" s="429"/>
      <c r="P280" s="430"/>
      <c r="Q280" s="430"/>
      <c r="R280" s="430"/>
      <c r="S280" s="430"/>
      <c r="T280" s="430"/>
      <c r="U280" s="430"/>
      <c r="V280" s="430"/>
      <c r="W280" s="430"/>
      <c r="X280" s="430"/>
      <c r="Y280" s="430"/>
      <c r="Z280" s="430"/>
      <c r="AA280" s="430"/>
      <c r="AB280" s="430"/>
      <c r="AC280" s="430"/>
      <c r="AD280" s="430"/>
      <c r="AE280" s="430"/>
      <c r="AF280" s="430"/>
      <c r="AG280" s="430"/>
      <c r="AH280" s="430"/>
      <c r="AI280" s="430"/>
      <c r="AJ280" s="430"/>
      <c r="AK280" s="430"/>
      <c r="AL280" s="430"/>
      <c r="AM280" s="581"/>
    </row>
    <row r="281" spans="1:39" s="426" customFormat="1" ht="12.75">
      <c r="A281" s="641"/>
      <c r="B281" s="673"/>
      <c r="C281" s="667"/>
      <c r="D281" s="670"/>
      <c r="E281" s="661"/>
      <c r="F281" s="431" t="s">
        <v>117</v>
      </c>
      <c r="G281" s="427" t="s">
        <v>118</v>
      </c>
      <c r="H281" s="428"/>
      <c r="I281" s="429"/>
      <c r="J281" s="429"/>
      <c r="K281" s="429"/>
      <c r="L281" s="429"/>
      <c r="M281" s="429"/>
      <c r="N281" s="429"/>
      <c r="O281" s="429"/>
      <c r="P281" s="430"/>
      <c r="Q281" s="430"/>
      <c r="R281" s="430"/>
      <c r="S281" s="430"/>
      <c r="T281" s="430"/>
      <c r="U281" s="430"/>
      <c r="V281" s="430"/>
      <c r="W281" s="430"/>
      <c r="X281" s="430"/>
      <c r="Y281" s="430"/>
      <c r="Z281" s="430"/>
      <c r="AA281" s="430"/>
      <c r="AB281" s="430"/>
      <c r="AC281" s="430"/>
      <c r="AD281" s="430"/>
      <c r="AE281" s="430"/>
      <c r="AF281" s="430"/>
      <c r="AG281" s="430"/>
      <c r="AH281" s="430"/>
      <c r="AI281" s="430"/>
      <c r="AJ281" s="430"/>
      <c r="AK281" s="430"/>
      <c r="AL281" s="430"/>
      <c r="AM281" s="581"/>
    </row>
    <row r="282" spans="1:39" s="426" customFormat="1" ht="12.75">
      <c r="A282" s="641"/>
      <c r="B282" s="673"/>
      <c r="C282" s="667"/>
      <c r="D282" s="670"/>
      <c r="E282" s="664">
        <v>2012</v>
      </c>
      <c r="F282" s="662">
        <f>SUM(H285:AL285)</f>
        <v>0</v>
      </c>
      <c r="G282" s="427" t="s">
        <v>122</v>
      </c>
      <c r="H282" s="428"/>
      <c r="I282" s="429"/>
      <c r="J282" s="429"/>
      <c r="K282" s="429"/>
      <c r="L282" s="429"/>
      <c r="M282" s="429"/>
      <c r="N282" s="429"/>
      <c r="O282" s="429"/>
      <c r="P282" s="430"/>
      <c r="Q282" s="430"/>
      <c r="R282" s="430"/>
      <c r="S282" s="430"/>
      <c r="T282" s="430"/>
      <c r="U282" s="430"/>
      <c r="V282" s="430"/>
      <c r="W282" s="430"/>
      <c r="X282" s="430"/>
      <c r="Y282" s="430"/>
      <c r="Z282" s="430"/>
      <c r="AA282" s="430"/>
      <c r="AB282" s="430"/>
      <c r="AC282" s="430"/>
      <c r="AD282" s="430"/>
      <c r="AE282" s="430"/>
      <c r="AF282" s="430"/>
      <c r="AG282" s="430"/>
      <c r="AH282" s="430"/>
      <c r="AI282" s="430"/>
      <c r="AJ282" s="430"/>
      <c r="AK282" s="430"/>
      <c r="AL282" s="430"/>
      <c r="AM282" s="581"/>
    </row>
    <row r="283" spans="1:39" s="426" customFormat="1" ht="12.75">
      <c r="A283" s="641"/>
      <c r="B283" s="673"/>
      <c r="C283" s="667"/>
      <c r="D283" s="670"/>
      <c r="E283" s="660"/>
      <c r="F283" s="663"/>
      <c r="G283" s="427" t="s">
        <v>123</v>
      </c>
      <c r="H283" s="428"/>
      <c r="I283" s="429"/>
      <c r="J283" s="429"/>
      <c r="K283" s="429"/>
      <c r="L283" s="429"/>
      <c r="M283" s="429"/>
      <c r="N283" s="429"/>
      <c r="O283" s="429"/>
      <c r="P283" s="430"/>
      <c r="Q283" s="430"/>
      <c r="R283" s="430"/>
      <c r="S283" s="430"/>
      <c r="T283" s="430"/>
      <c r="U283" s="430"/>
      <c r="V283" s="430"/>
      <c r="W283" s="430"/>
      <c r="X283" s="430"/>
      <c r="Y283" s="430"/>
      <c r="Z283" s="430"/>
      <c r="AA283" s="430"/>
      <c r="AB283" s="430"/>
      <c r="AC283" s="430"/>
      <c r="AD283" s="430"/>
      <c r="AE283" s="430"/>
      <c r="AF283" s="430"/>
      <c r="AG283" s="430"/>
      <c r="AH283" s="430"/>
      <c r="AI283" s="430"/>
      <c r="AJ283" s="430"/>
      <c r="AK283" s="430"/>
      <c r="AL283" s="430"/>
      <c r="AM283" s="581"/>
    </row>
    <row r="284" spans="1:39" s="426" customFormat="1" ht="12.75">
      <c r="A284" s="641"/>
      <c r="B284" s="673"/>
      <c r="C284" s="667"/>
      <c r="D284" s="670"/>
      <c r="E284" s="660"/>
      <c r="F284" s="431" t="s">
        <v>121</v>
      </c>
      <c r="G284" s="427" t="s">
        <v>124</v>
      </c>
      <c r="H284" s="432">
        <f aca="true" t="shared" si="68" ref="H284:AL284">H278+H280+H282</f>
        <v>47682</v>
      </c>
      <c r="I284" s="433">
        <f t="shared" si="68"/>
        <v>15500</v>
      </c>
      <c r="J284" s="433">
        <f t="shared" si="68"/>
        <v>0</v>
      </c>
      <c r="K284" s="433">
        <f t="shared" si="68"/>
        <v>0</v>
      </c>
      <c r="L284" s="433">
        <f t="shared" si="68"/>
        <v>0</v>
      </c>
      <c r="M284" s="433">
        <f t="shared" si="68"/>
        <v>0</v>
      </c>
      <c r="N284" s="433">
        <f t="shared" si="68"/>
        <v>0</v>
      </c>
      <c r="O284" s="433">
        <f t="shared" si="68"/>
        <v>0</v>
      </c>
      <c r="P284" s="433">
        <f t="shared" si="68"/>
        <v>0</v>
      </c>
      <c r="Q284" s="433">
        <f t="shared" si="68"/>
        <v>0</v>
      </c>
      <c r="R284" s="433">
        <f t="shared" si="68"/>
        <v>0</v>
      </c>
      <c r="S284" s="433">
        <f t="shared" si="68"/>
        <v>0</v>
      </c>
      <c r="T284" s="433">
        <f t="shared" si="68"/>
        <v>0</v>
      </c>
      <c r="U284" s="433">
        <f t="shared" si="68"/>
        <v>0</v>
      </c>
      <c r="V284" s="433">
        <f t="shared" si="68"/>
        <v>0</v>
      </c>
      <c r="W284" s="433">
        <f t="shared" si="68"/>
        <v>0</v>
      </c>
      <c r="X284" s="433">
        <f t="shared" si="68"/>
        <v>0</v>
      </c>
      <c r="Y284" s="433">
        <f t="shared" si="68"/>
        <v>0</v>
      </c>
      <c r="Z284" s="433">
        <f t="shared" si="68"/>
        <v>0</v>
      </c>
      <c r="AA284" s="433">
        <f t="shared" si="68"/>
        <v>0</v>
      </c>
      <c r="AB284" s="433">
        <f t="shared" si="68"/>
        <v>0</v>
      </c>
      <c r="AC284" s="433">
        <f t="shared" si="68"/>
        <v>0</v>
      </c>
      <c r="AD284" s="433">
        <f t="shared" si="68"/>
        <v>0</v>
      </c>
      <c r="AE284" s="433">
        <f t="shared" si="68"/>
        <v>0</v>
      </c>
      <c r="AF284" s="433">
        <f t="shared" si="68"/>
        <v>0</v>
      </c>
      <c r="AG284" s="433">
        <f t="shared" si="68"/>
        <v>0</v>
      </c>
      <c r="AH284" s="433">
        <f t="shared" si="68"/>
        <v>0</v>
      </c>
      <c r="AI284" s="433">
        <f t="shared" si="68"/>
        <v>0</v>
      </c>
      <c r="AJ284" s="433">
        <f t="shared" si="68"/>
        <v>0</v>
      </c>
      <c r="AK284" s="433">
        <f t="shared" si="68"/>
        <v>0</v>
      </c>
      <c r="AL284" s="433">
        <f t="shared" si="68"/>
        <v>0</v>
      </c>
      <c r="AM284" s="581"/>
    </row>
    <row r="285" spans="1:39" s="426" customFormat="1" ht="13.5" thickBot="1">
      <c r="A285" s="642"/>
      <c r="B285" s="674"/>
      <c r="C285" s="668"/>
      <c r="D285" s="671"/>
      <c r="E285" s="665"/>
      <c r="F285" s="435">
        <f>F279+F282</f>
        <v>63182</v>
      </c>
      <c r="G285" s="443" t="s">
        <v>125</v>
      </c>
      <c r="H285" s="437">
        <f aca="true" t="shared" si="69" ref="H285:AL285">H279+H281+H283</f>
        <v>0</v>
      </c>
      <c r="I285" s="444">
        <f t="shared" si="69"/>
        <v>0</v>
      </c>
      <c r="J285" s="444">
        <f t="shared" si="69"/>
        <v>0</v>
      </c>
      <c r="K285" s="444">
        <f t="shared" si="69"/>
        <v>0</v>
      </c>
      <c r="L285" s="444">
        <f t="shared" si="69"/>
        <v>0</v>
      </c>
      <c r="M285" s="444">
        <f t="shared" si="69"/>
        <v>0</v>
      </c>
      <c r="N285" s="444">
        <f t="shared" si="69"/>
        <v>0</v>
      </c>
      <c r="O285" s="444">
        <f t="shared" si="69"/>
        <v>0</v>
      </c>
      <c r="P285" s="444">
        <f t="shared" si="69"/>
        <v>0</v>
      </c>
      <c r="Q285" s="444">
        <f t="shared" si="69"/>
        <v>0</v>
      </c>
      <c r="R285" s="444">
        <f t="shared" si="69"/>
        <v>0</v>
      </c>
      <c r="S285" s="444">
        <f t="shared" si="69"/>
        <v>0</v>
      </c>
      <c r="T285" s="444">
        <f t="shared" si="69"/>
        <v>0</v>
      </c>
      <c r="U285" s="444">
        <f t="shared" si="69"/>
        <v>0</v>
      </c>
      <c r="V285" s="444">
        <f t="shared" si="69"/>
        <v>0</v>
      </c>
      <c r="W285" s="444">
        <f t="shared" si="69"/>
        <v>0</v>
      </c>
      <c r="X285" s="444">
        <f t="shared" si="69"/>
        <v>0</v>
      </c>
      <c r="Y285" s="444">
        <f t="shared" si="69"/>
        <v>0</v>
      </c>
      <c r="Z285" s="444">
        <f t="shared" si="69"/>
        <v>0</v>
      </c>
      <c r="AA285" s="444">
        <f t="shared" si="69"/>
        <v>0</v>
      </c>
      <c r="AB285" s="444">
        <f t="shared" si="69"/>
        <v>0</v>
      </c>
      <c r="AC285" s="444">
        <f t="shared" si="69"/>
        <v>0</v>
      </c>
      <c r="AD285" s="444">
        <f t="shared" si="69"/>
        <v>0</v>
      </c>
      <c r="AE285" s="444">
        <f t="shared" si="69"/>
        <v>0</v>
      </c>
      <c r="AF285" s="444">
        <f t="shared" si="69"/>
        <v>0</v>
      </c>
      <c r="AG285" s="444">
        <f t="shared" si="69"/>
        <v>0</v>
      </c>
      <c r="AH285" s="444">
        <f t="shared" si="69"/>
        <v>0</v>
      </c>
      <c r="AI285" s="444">
        <f t="shared" si="69"/>
        <v>0</v>
      </c>
      <c r="AJ285" s="444">
        <f t="shared" si="69"/>
        <v>0</v>
      </c>
      <c r="AK285" s="444">
        <f t="shared" si="69"/>
        <v>0</v>
      </c>
      <c r="AL285" s="444">
        <f t="shared" si="69"/>
        <v>0</v>
      </c>
      <c r="AM285" s="582"/>
    </row>
    <row r="286" spans="1:39" s="426" customFormat="1" ht="12.75" customHeight="1">
      <c r="A286" s="640">
        <v>35</v>
      </c>
      <c r="B286" s="673" t="s">
        <v>275</v>
      </c>
      <c r="C286" s="667">
        <v>85395</v>
      </c>
      <c r="D286" s="669" t="s">
        <v>254</v>
      </c>
      <c r="E286" s="660">
        <v>2011</v>
      </c>
      <c r="F286" s="421" t="s">
        <v>113</v>
      </c>
      <c r="G286" s="446" t="s">
        <v>114</v>
      </c>
      <c r="H286" s="440">
        <f>7200</f>
        <v>7200</v>
      </c>
      <c r="I286" s="424">
        <v>7200</v>
      </c>
      <c r="J286" s="424">
        <v>7200</v>
      </c>
      <c r="K286" s="424"/>
      <c r="L286" s="424"/>
      <c r="M286" s="424"/>
      <c r="N286" s="424"/>
      <c r="O286" s="424"/>
      <c r="P286" s="425"/>
      <c r="Q286" s="425"/>
      <c r="R286" s="425"/>
      <c r="S286" s="425"/>
      <c r="T286" s="425"/>
      <c r="U286" s="425"/>
      <c r="V286" s="425"/>
      <c r="W286" s="425"/>
      <c r="X286" s="425"/>
      <c r="Y286" s="425"/>
      <c r="Z286" s="425"/>
      <c r="AA286" s="425"/>
      <c r="AB286" s="425"/>
      <c r="AC286" s="425"/>
      <c r="AD286" s="425"/>
      <c r="AE286" s="425"/>
      <c r="AF286" s="425"/>
      <c r="AG286" s="425"/>
      <c r="AH286" s="425"/>
      <c r="AI286" s="425"/>
      <c r="AJ286" s="425"/>
      <c r="AK286" s="425"/>
      <c r="AL286" s="425"/>
      <c r="AM286" s="580">
        <f>SUM(J292:AL293)</f>
        <v>7200</v>
      </c>
    </row>
    <row r="287" spans="1:39" s="426" customFormat="1" ht="12.75">
      <c r="A287" s="641"/>
      <c r="B287" s="673"/>
      <c r="C287" s="667"/>
      <c r="D287" s="670"/>
      <c r="E287" s="660"/>
      <c r="F287" s="662">
        <f>SUM(H292:AL292)</f>
        <v>21600</v>
      </c>
      <c r="G287" s="427" t="s">
        <v>115</v>
      </c>
      <c r="H287" s="428"/>
      <c r="I287" s="429"/>
      <c r="J287" s="429"/>
      <c r="K287" s="429"/>
      <c r="L287" s="429"/>
      <c r="M287" s="429"/>
      <c r="N287" s="429"/>
      <c r="O287" s="429"/>
      <c r="P287" s="430"/>
      <c r="Q287" s="430"/>
      <c r="R287" s="430"/>
      <c r="S287" s="430"/>
      <c r="T287" s="430"/>
      <c r="U287" s="430"/>
      <c r="V287" s="430"/>
      <c r="W287" s="430"/>
      <c r="X287" s="430"/>
      <c r="Y287" s="430"/>
      <c r="Z287" s="430"/>
      <c r="AA287" s="430"/>
      <c r="AB287" s="430"/>
      <c r="AC287" s="430"/>
      <c r="AD287" s="430"/>
      <c r="AE287" s="430"/>
      <c r="AF287" s="430"/>
      <c r="AG287" s="430"/>
      <c r="AH287" s="430"/>
      <c r="AI287" s="430"/>
      <c r="AJ287" s="430"/>
      <c r="AK287" s="430"/>
      <c r="AL287" s="430"/>
      <c r="AM287" s="581"/>
    </row>
    <row r="288" spans="1:39" s="426" customFormat="1" ht="12.75">
      <c r="A288" s="641"/>
      <c r="B288" s="673"/>
      <c r="C288" s="667"/>
      <c r="D288" s="670"/>
      <c r="E288" s="660"/>
      <c r="F288" s="663"/>
      <c r="G288" s="427" t="s">
        <v>116</v>
      </c>
      <c r="H288" s="428"/>
      <c r="I288" s="429"/>
      <c r="J288" s="429"/>
      <c r="K288" s="429"/>
      <c r="L288" s="429"/>
      <c r="M288" s="429"/>
      <c r="N288" s="429"/>
      <c r="O288" s="429"/>
      <c r="P288" s="430"/>
      <c r="Q288" s="430"/>
      <c r="R288" s="430"/>
      <c r="S288" s="430"/>
      <c r="T288" s="430"/>
      <c r="U288" s="430"/>
      <c r="V288" s="430"/>
      <c r="W288" s="430"/>
      <c r="X288" s="430"/>
      <c r="Y288" s="430"/>
      <c r="Z288" s="430"/>
      <c r="AA288" s="430"/>
      <c r="AB288" s="430"/>
      <c r="AC288" s="430"/>
      <c r="AD288" s="430"/>
      <c r="AE288" s="430"/>
      <c r="AF288" s="430"/>
      <c r="AG288" s="430"/>
      <c r="AH288" s="430"/>
      <c r="AI288" s="430"/>
      <c r="AJ288" s="430"/>
      <c r="AK288" s="430"/>
      <c r="AL288" s="430"/>
      <c r="AM288" s="581"/>
    </row>
    <row r="289" spans="1:39" s="426" customFormat="1" ht="12.75">
      <c r="A289" s="641"/>
      <c r="B289" s="673"/>
      <c r="C289" s="667"/>
      <c r="D289" s="670"/>
      <c r="E289" s="661"/>
      <c r="F289" s="431" t="s">
        <v>117</v>
      </c>
      <c r="G289" s="427" t="s">
        <v>118</v>
      </c>
      <c r="H289" s="428"/>
      <c r="I289" s="429"/>
      <c r="J289" s="429"/>
      <c r="K289" s="429"/>
      <c r="L289" s="429"/>
      <c r="M289" s="429"/>
      <c r="N289" s="429"/>
      <c r="O289" s="429"/>
      <c r="P289" s="430"/>
      <c r="Q289" s="430"/>
      <c r="R289" s="430"/>
      <c r="S289" s="430"/>
      <c r="T289" s="430"/>
      <c r="U289" s="430"/>
      <c r="V289" s="430"/>
      <c r="W289" s="430"/>
      <c r="X289" s="430"/>
      <c r="Y289" s="430"/>
      <c r="Z289" s="430"/>
      <c r="AA289" s="430"/>
      <c r="AB289" s="430"/>
      <c r="AC289" s="430"/>
      <c r="AD289" s="430"/>
      <c r="AE289" s="430"/>
      <c r="AF289" s="430"/>
      <c r="AG289" s="430"/>
      <c r="AH289" s="430"/>
      <c r="AI289" s="430"/>
      <c r="AJ289" s="430"/>
      <c r="AK289" s="430"/>
      <c r="AL289" s="430"/>
      <c r="AM289" s="581"/>
    </row>
    <row r="290" spans="1:39" s="426" customFormat="1" ht="12.75">
      <c r="A290" s="641"/>
      <c r="B290" s="673"/>
      <c r="C290" s="667"/>
      <c r="D290" s="670"/>
      <c r="E290" s="664">
        <v>2013</v>
      </c>
      <c r="F290" s="662">
        <f>SUM(H293:AL293)</f>
        <v>0</v>
      </c>
      <c r="G290" s="427" t="s">
        <v>122</v>
      </c>
      <c r="H290" s="428"/>
      <c r="I290" s="429"/>
      <c r="J290" s="429"/>
      <c r="K290" s="429"/>
      <c r="L290" s="429"/>
      <c r="M290" s="429"/>
      <c r="N290" s="429"/>
      <c r="O290" s="429"/>
      <c r="P290" s="430"/>
      <c r="Q290" s="430"/>
      <c r="R290" s="430"/>
      <c r="S290" s="430"/>
      <c r="T290" s="430"/>
      <c r="U290" s="430"/>
      <c r="V290" s="430"/>
      <c r="W290" s="430"/>
      <c r="X290" s="430"/>
      <c r="Y290" s="430"/>
      <c r="Z290" s="430"/>
      <c r="AA290" s="430"/>
      <c r="AB290" s="430"/>
      <c r="AC290" s="430"/>
      <c r="AD290" s="430"/>
      <c r="AE290" s="430"/>
      <c r="AF290" s="430"/>
      <c r="AG290" s="430"/>
      <c r="AH290" s="430"/>
      <c r="AI290" s="430"/>
      <c r="AJ290" s="430"/>
      <c r="AK290" s="430"/>
      <c r="AL290" s="430"/>
      <c r="AM290" s="581"/>
    </row>
    <row r="291" spans="1:39" s="426" customFormat="1" ht="12.75">
      <c r="A291" s="641"/>
      <c r="B291" s="673"/>
      <c r="C291" s="667"/>
      <c r="D291" s="670"/>
      <c r="E291" s="660"/>
      <c r="F291" s="663"/>
      <c r="G291" s="427" t="s">
        <v>123</v>
      </c>
      <c r="H291" s="428"/>
      <c r="I291" s="429"/>
      <c r="J291" s="429"/>
      <c r="K291" s="429"/>
      <c r="L291" s="429"/>
      <c r="M291" s="429"/>
      <c r="N291" s="429"/>
      <c r="O291" s="429"/>
      <c r="P291" s="430"/>
      <c r="Q291" s="430"/>
      <c r="R291" s="430"/>
      <c r="S291" s="430"/>
      <c r="T291" s="430"/>
      <c r="U291" s="430"/>
      <c r="V291" s="430"/>
      <c r="W291" s="430"/>
      <c r="X291" s="430"/>
      <c r="Y291" s="430"/>
      <c r="Z291" s="430"/>
      <c r="AA291" s="430"/>
      <c r="AB291" s="430"/>
      <c r="AC291" s="430"/>
      <c r="AD291" s="430"/>
      <c r="AE291" s="430"/>
      <c r="AF291" s="430"/>
      <c r="AG291" s="430"/>
      <c r="AH291" s="430"/>
      <c r="AI291" s="430"/>
      <c r="AJ291" s="430"/>
      <c r="AK291" s="430"/>
      <c r="AL291" s="430"/>
      <c r="AM291" s="581"/>
    </row>
    <row r="292" spans="1:39" s="426" customFormat="1" ht="12.75">
      <c r="A292" s="641"/>
      <c r="B292" s="673"/>
      <c r="C292" s="667"/>
      <c r="D292" s="670"/>
      <c r="E292" s="660"/>
      <c r="F292" s="431" t="s">
        <v>121</v>
      </c>
      <c r="G292" s="427" t="s">
        <v>124</v>
      </c>
      <c r="H292" s="432">
        <f aca="true" t="shared" si="70" ref="H292:AL292">H286+H288+H290</f>
        <v>7200</v>
      </c>
      <c r="I292" s="433">
        <f t="shared" si="70"/>
        <v>7200</v>
      </c>
      <c r="J292" s="433">
        <f t="shared" si="70"/>
        <v>7200</v>
      </c>
      <c r="K292" s="433">
        <f t="shared" si="70"/>
        <v>0</v>
      </c>
      <c r="L292" s="433">
        <f t="shared" si="70"/>
        <v>0</v>
      </c>
      <c r="M292" s="433">
        <f t="shared" si="70"/>
        <v>0</v>
      </c>
      <c r="N292" s="433">
        <f t="shared" si="70"/>
        <v>0</v>
      </c>
      <c r="O292" s="433">
        <f t="shared" si="70"/>
        <v>0</v>
      </c>
      <c r="P292" s="433">
        <f t="shared" si="70"/>
        <v>0</v>
      </c>
      <c r="Q292" s="433">
        <f t="shared" si="70"/>
        <v>0</v>
      </c>
      <c r="R292" s="433">
        <f t="shared" si="70"/>
        <v>0</v>
      </c>
      <c r="S292" s="433">
        <f t="shared" si="70"/>
        <v>0</v>
      </c>
      <c r="T292" s="433">
        <f t="shared" si="70"/>
        <v>0</v>
      </c>
      <c r="U292" s="433">
        <f t="shared" si="70"/>
        <v>0</v>
      </c>
      <c r="V292" s="433">
        <f t="shared" si="70"/>
        <v>0</v>
      </c>
      <c r="W292" s="433">
        <f t="shared" si="70"/>
        <v>0</v>
      </c>
      <c r="X292" s="433">
        <f t="shared" si="70"/>
        <v>0</v>
      </c>
      <c r="Y292" s="433">
        <f t="shared" si="70"/>
        <v>0</v>
      </c>
      <c r="Z292" s="433">
        <f t="shared" si="70"/>
        <v>0</v>
      </c>
      <c r="AA292" s="433">
        <f t="shared" si="70"/>
        <v>0</v>
      </c>
      <c r="AB292" s="433">
        <f t="shared" si="70"/>
        <v>0</v>
      </c>
      <c r="AC292" s="433">
        <f t="shared" si="70"/>
        <v>0</v>
      </c>
      <c r="AD292" s="433">
        <f t="shared" si="70"/>
        <v>0</v>
      </c>
      <c r="AE292" s="433">
        <f t="shared" si="70"/>
        <v>0</v>
      </c>
      <c r="AF292" s="433">
        <f t="shared" si="70"/>
        <v>0</v>
      </c>
      <c r="AG292" s="433">
        <f t="shared" si="70"/>
        <v>0</v>
      </c>
      <c r="AH292" s="433">
        <f t="shared" si="70"/>
        <v>0</v>
      </c>
      <c r="AI292" s="433">
        <f t="shared" si="70"/>
        <v>0</v>
      </c>
      <c r="AJ292" s="433">
        <f t="shared" si="70"/>
        <v>0</v>
      </c>
      <c r="AK292" s="433">
        <f t="shared" si="70"/>
        <v>0</v>
      </c>
      <c r="AL292" s="433">
        <f t="shared" si="70"/>
        <v>0</v>
      </c>
      <c r="AM292" s="581"/>
    </row>
    <row r="293" spans="1:39" s="426" customFormat="1" ht="13.5" thickBot="1">
      <c r="A293" s="642"/>
      <c r="B293" s="673"/>
      <c r="C293" s="667"/>
      <c r="D293" s="670"/>
      <c r="E293" s="660"/>
      <c r="F293" s="435">
        <f>F287+F290</f>
        <v>21600</v>
      </c>
      <c r="G293" s="436" t="s">
        <v>125</v>
      </c>
      <c r="H293" s="437">
        <f aca="true" t="shared" si="71" ref="H293:AL293">H287+H289+H291</f>
        <v>0</v>
      </c>
      <c r="I293" s="438">
        <f t="shared" si="71"/>
        <v>0</v>
      </c>
      <c r="J293" s="438">
        <f t="shared" si="71"/>
        <v>0</v>
      </c>
      <c r="K293" s="438">
        <f t="shared" si="71"/>
        <v>0</v>
      </c>
      <c r="L293" s="438">
        <f t="shared" si="71"/>
        <v>0</v>
      </c>
      <c r="M293" s="438">
        <f t="shared" si="71"/>
        <v>0</v>
      </c>
      <c r="N293" s="438">
        <f t="shared" si="71"/>
        <v>0</v>
      </c>
      <c r="O293" s="438">
        <f t="shared" si="71"/>
        <v>0</v>
      </c>
      <c r="P293" s="438">
        <f t="shared" si="71"/>
        <v>0</v>
      </c>
      <c r="Q293" s="438">
        <f t="shared" si="71"/>
        <v>0</v>
      </c>
      <c r="R293" s="438">
        <f t="shared" si="71"/>
        <v>0</v>
      </c>
      <c r="S293" s="438">
        <f t="shared" si="71"/>
        <v>0</v>
      </c>
      <c r="T293" s="438">
        <f t="shared" si="71"/>
        <v>0</v>
      </c>
      <c r="U293" s="438">
        <f t="shared" si="71"/>
        <v>0</v>
      </c>
      <c r="V293" s="438">
        <f t="shared" si="71"/>
        <v>0</v>
      </c>
      <c r="W293" s="438">
        <f t="shared" si="71"/>
        <v>0</v>
      </c>
      <c r="X293" s="438">
        <f t="shared" si="71"/>
        <v>0</v>
      </c>
      <c r="Y293" s="438">
        <f t="shared" si="71"/>
        <v>0</v>
      </c>
      <c r="Z293" s="438">
        <f t="shared" si="71"/>
        <v>0</v>
      </c>
      <c r="AA293" s="438">
        <f t="shared" si="71"/>
        <v>0</v>
      </c>
      <c r="AB293" s="438">
        <f t="shared" si="71"/>
        <v>0</v>
      </c>
      <c r="AC293" s="438">
        <f t="shared" si="71"/>
        <v>0</v>
      </c>
      <c r="AD293" s="438">
        <f t="shared" si="71"/>
        <v>0</v>
      </c>
      <c r="AE293" s="438">
        <f t="shared" si="71"/>
        <v>0</v>
      </c>
      <c r="AF293" s="438">
        <f t="shared" si="71"/>
        <v>0</v>
      </c>
      <c r="AG293" s="438">
        <f t="shared" si="71"/>
        <v>0</v>
      </c>
      <c r="AH293" s="438">
        <f t="shared" si="71"/>
        <v>0</v>
      </c>
      <c r="AI293" s="438">
        <f t="shared" si="71"/>
        <v>0</v>
      </c>
      <c r="AJ293" s="438">
        <f t="shared" si="71"/>
        <v>0</v>
      </c>
      <c r="AK293" s="438">
        <f t="shared" si="71"/>
        <v>0</v>
      </c>
      <c r="AL293" s="438">
        <f t="shared" si="71"/>
        <v>0</v>
      </c>
      <c r="AM293" s="582"/>
    </row>
    <row r="294" spans="1:39" s="426" customFormat="1" ht="12.75" customHeight="1">
      <c r="A294" s="640">
        <v>36</v>
      </c>
      <c r="B294" s="672" t="s">
        <v>276</v>
      </c>
      <c r="C294" s="666">
        <v>85395</v>
      </c>
      <c r="D294" s="669" t="s">
        <v>254</v>
      </c>
      <c r="E294" s="659">
        <v>2011</v>
      </c>
      <c r="F294" s="421" t="s">
        <v>113</v>
      </c>
      <c r="G294" s="422" t="s">
        <v>114</v>
      </c>
      <c r="H294" s="440">
        <f>30000</f>
        <v>30000</v>
      </c>
      <c r="I294" s="441">
        <v>60000</v>
      </c>
      <c r="J294" s="441">
        <v>60000</v>
      </c>
      <c r="K294" s="441"/>
      <c r="L294" s="441"/>
      <c r="M294" s="441"/>
      <c r="N294" s="441"/>
      <c r="O294" s="441"/>
      <c r="P294" s="442"/>
      <c r="Q294" s="442"/>
      <c r="R294" s="442"/>
      <c r="S294" s="442"/>
      <c r="T294" s="442"/>
      <c r="U294" s="442"/>
      <c r="V294" s="442"/>
      <c r="W294" s="442"/>
      <c r="X294" s="442"/>
      <c r="Y294" s="442"/>
      <c r="Z294" s="442"/>
      <c r="AA294" s="442"/>
      <c r="AB294" s="442"/>
      <c r="AC294" s="442"/>
      <c r="AD294" s="442"/>
      <c r="AE294" s="442"/>
      <c r="AF294" s="442"/>
      <c r="AG294" s="442"/>
      <c r="AH294" s="442"/>
      <c r="AI294" s="442"/>
      <c r="AJ294" s="442"/>
      <c r="AK294" s="442"/>
      <c r="AL294" s="442"/>
      <c r="AM294" s="580">
        <f>SUM(J300:AL301)</f>
        <v>60000</v>
      </c>
    </row>
    <row r="295" spans="1:39" s="426" customFormat="1" ht="12.75">
      <c r="A295" s="641"/>
      <c r="B295" s="673"/>
      <c r="C295" s="667"/>
      <c r="D295" s="670"/>
      <c r="E295" s="660"/>
      <c r="F295" s="662">
        <f>SUM(H300:AL300)</f>
        <v>150000</v>
      </c>
      <c r="G295" s="427" t="s">
        <v>115</v>
      </c>
      <c r="H295" s="428"/>
      <c r="I295" s="429"/>
      <c r="J295" s="429"/>
      <c r="K295" s="429"/>
      <c r="L295" s="429"/>
      <c r="M295" s="429"/>
      <c r="N295" s="429"/>
      <c r="O295" s="429"/>
      <c r="P295" s="430"/>
      <c r="Q295" s="430"/>
      <c r="R295" s="430"/>
      <c r="S295" s="430"/>
      <c r="T295" s="430"/>
      <c r="U295" s="430"/>
      <c r="V295" s="430"/>
      <c r="W295" s="430"/>
      <c r="X295" s="430"/>
      <c r="Y295" s="430"/>
      <c r="Z295" s="430"/>
      <c r="AA295" s="430"/>
      <c r="AB295" s="430"/>
      <c r="AC295" s="430"/>
      <c r="AD295" s="430"/>
      <c r="AE295" s="430"/>
      <c r="AF295" s="430"/>
      <c r="AG295" s="430"/>
      <c r="AH295" s="430"/>
      <c r="AI295" s="430"/>
      <c r="AJ295" s="430"/>
      <c r="AK295" s="430"/>
      <c r="AL295" s="430"/>
      <c r="AM295" s="581"/>
    </row>
    <row r="296" spans="1:39" s="426" customFormat="1" ht="12.75">
      <c r="A296" s="641"/>
      <c r="B296" s="673"/>
      <c r="C296" s="667"/>
      <c r="D296" s="670"/>
      <c r="E296" s="660"/>
      <c r="F296" s="663"/>
      <c r="G296" s="427" t="s">
        <v>116</v>
      </c>
      <c r="H296" s="428"/>
      <c r="I296" s="429"/>
      <c r="J296" s="429"/>
      <c r="K296" s="429"/>
      <c r="L296" s="429"/>
      <c r="M296" s="429"/>
      <c r="N296" s="429"/>
      <c r="O296" s="429"/>
      <c r="P296" s="430"/>
      <c r="Q296" s="430"/>
      <c r="R296" s="430"/>
      <c r="S296" s="430"/>
      <c r="T296" s="430"/>
      <c r="U296" s="430"/>
      <c r="V296" s="430"/>
      <c r="W296" s="430"/>
      <c r="X296" s="430"/>
      <c r="Y296" s="430"/>
      <c r="Z296" s="430"/>
      <c r="AA296" s="430"/>
      <c r="AB296" s="430"/>
      <c r="AC296" s="430"/>
      <c r="AD296" s="430"/>
      <c r="AE296" s="430"/>
      <c r="AF296" s="430"/>
      <c r="AG296" s="430"/>
      <c r="AH296" s="430"/>
      <c r="AI296" s="430"/>
      <c r="AJ296" s="430"/>
      <c r="AK296" s="430"/>
      <c r="AL296" s="430"/>
      <c r="AM296" s="581"/>
    </row>
    <row r="297" spans="1:39" s="426" customFormat="1" ht="12.75">
      <c r="A297" s="641"/>
      <c r="B297" s="673"/>
      <c r="C297" s="667"/>
      <c r="D297" s="670"/>
      <c r="E297" s="661"/>
      <c r="F297" s="431" t="s">
        <v>117</v>
      </c>
      <c r="G297" s="427" t="s">
        <v>118</v>
      </c>
      <c r="H297" s="428"/>
      <c r="I297" s="429"/>
      <c r="J297" s="429"/>
      <c r="K297" s="429"/>
      <c r="L297" s="429"/>
      <c r="M297" s="429"/>
      <c r="N297" s="429"/>
      <c r="O297" s="429"/>
      <c r="P297" s="430"/>
      <c r="Q297" s="430"/>
      <c r="R297" s="430"/>
      <c r="S297" s="430"/>
      <c r="T297" s="430"/>
      <c r="U297" s="430"/>
      <c r="V297" s="430"/>
      <c r="W297" s="430"/>
      <c r="X297" s="430"/>
      <c r="Y297" s="430"/>
      <c r="Z297" s="430"/>
      <c r="AA297" s="430"/>
      <c r="AB297" s="430"/>
      <c r="AC297" s="430"/>
      <c r="AD297" s="430"/>
      <c r="AE297" s="430"/>
      <c r="AF297" s="430"/>
      <c r="AG297" s="430"/>
      <c r="AH297" s="430"/>
      <c r="AI297" s="430"/>
      <c r="AJ297" s="430"/>
      <c r="AK297" s="430"/>
      <c r="AL297" s="430"/>
      <c r="AM297" s="581"/>
    </row>
    <row r="298" spans="1:39" s="426" customFormat="1" ht="12.75">
      <c r="A298" s="641"/>
      <c r="B298" s="673"/>
      <c r="C298" s="667"/>
      <c r="D298" s="670"/>
      <c r="E298" s="664">
        <v>2013</v>
      </c>
      <c r="F298" s="662">
        <f>SUM(H301:AL301)</f>
        <v>0</v>
      </c>
      <c r="G298" s="427" t="s">
        <v>122</v>
      </c>
      <c r="H298" s="428"/>
      <c r="I298" s="429"/>
      <c r="J298" s="429"/>
      <c r="K298" s="429"/>
      <c r="L298" s="429"/>
      <c r="M298" s="429"/>
      <c r="N298" s="429"/>
      <c r="O298" s="429"/>
      <c r="P298" s="430"/>
      <c r="Q298" s="430"/>
      <c r="R298" s="430"/>
      <c r="S298" s="430"/>
      <c r="T298" s="430"/>
      <c r="U298" s="430"/>
      <c r="V298" s="430"/>
      <c r="W298" s="430"/>
      <c r="X298" s="430"/>
      <c r="Y298" s="430"/>
      <c r="Z298" s="430"/>
      <c r="AA298" s="430"/>
      <c r="AB298" s="430"/>
      <c r="AC298" s="430"/>
      <c r="AD298" s="430"/>
      <c r="AE298" s="430"/>
      <c r="AF298" s="430"/>
      <c r="AG298" s="430"/>
      <c r="AH298" s="430"/>
      <c r="AI298" s="430"/>
      <c r="AJ298" s="430"/>
      <c r="AK298" s="430"/>
      <c r="AL298" s="430"/>
      <c r="AM298" s="581"/>
    </row>
    <row r="299" spans="1:39" s="426" customFormat="1" ht="12.75">
      <c r="A299" s="641"/>
      <c r="B299" s="673"/>
      <c r="C299" s="667"/>
      <c r="D299" s="670"/>
      <c r="E299" s="660"/>
      <c r="F299" s="663"/>
      <c r="G299" s="427" t="s">
        <v>123</v>
      </c>
      <c r="H299" s="428"/>
      <c r="I299" s="429"/>
      <c r="J299" s="429"/>
      <c r="K299" s="429"/>
      <c r="L299" s="429"/>
      <c r="M299" s="429"/>
      <c r="N299" s="429"/>
      <c r="O299" s="429"/>
      <c r="P299" s="430"/>
      <c r="Q299" s="430"/>
      <c r="R299" s="430"/>
      <c r="S299" s="430"/>
      <c r="T299" s="430"/>
      <c r="U299" s="430"/>
      <c r="V299" s="430"/>
      <c r="W299" s="430"/>
      <c r="X299" s="430"/>
      <c r="Y299" s="430"/>
      <c r="Z299" s="430"/>
      <c r="AA299" s="430"/>
      <c r="AB299" s="430"/>
      <c r="AC299" s="430"/>
      <c r="AD299" s="430"/>
      <c r="AE299" s="430"/>
      <c r="AF299" s="430"/>
      <c r="AG299" s="430"/>
      <c r="AH299" s="430"/>
      <c r="AI299" s="430"/>
      <c r="AJ299" s="430"/>
      <c r="AK299" s="430"/>
      <c r="AL299" s="430"/>
      <c r="AM299" s="581"/>
    </row>
    <row r="300" spans="1:39" s="426" customFormat="1" ht="12.75">
      <c r="A300" s="641"/>
      <c r="B300" s="673"/>
      <c r="C300" s="667"/>
      <c r="D300" s="670"/>
      <c r="E300" s="660"/>
      <c r="F300" s="431" t="s">
        <v>121</v>
      </c>
      <c r="G300" s="427" t="s">
        <v>124</v>
      </c>
      <c r="H300" s="432">
        <f aca="true" t="shared" si="72" ref="H300:AL300">H294+H296+H298</f>
        <v>30000</v>
      </c>
      <c r="I300" s="433">
        <f t="shared" si="72"/>
        <v>60000</v>
      </c>
      <c r="J300" s="433">
        <f t="shared" si="72"/>
        <v>60000</v>
      </c>
      <c r="K300" s="433">
        <f t="shared" si="72"/>
        <v>0</v>
      </c>
      <c r="L300" s="433">
        <f t="shared" si="72"/>
        <v>0</v>
      </c>
      <c r="M300" s="433">
        <f t="shared" si="72"/>
        <v>0</v>
      </c>
      <c r="N300" s="433">
        <f t="shared" si="72"/>
        <v>0</v>
      </c>
      <c r="O300" s="433">
        <f t="shared" si="72"/>
        <v>0</v>
      </c>
      <c r="P300" s="433">
        <f t="shared" si="72"/>
        <v>0</v>
      </c>
      <c r="Q300" s="433">
        <f t="shared" si="72"/>
        <v>0</v>
      </c>
      <c r="R300" s="433">
        <f t="shared" si="72"/>
        <v>0</v>
      </c>
      <c r="S300" s="433">
        <f t="shared" si="72"/>
        <v>0</v>
      </c>
      <c r="T300" s="433">
        <f t="shared" si="72"/>
        <v>0</v>
      </c>
      <c r="U300" s="433">
        <f t="shared" si="72"/>
        <v>0</v>
      </c>
      <c r="V300" s="433">
        <f t="shared" si="72"/>
        <v>0</v>
      </c>
      <c r="W300" s="433">
        <f t="shared" si="72"/>
        <v>0</v>
      </c>
      <c r="X300" s="433">
        <f t="shared" si="72"/>
        <v>0</v>
      </c>
      <c r="Y300" s="433">
        <f t="shared" si="72"/>
        <v>0</v>
      </c>
      <c r="Z300" s="433">
        <f t="shared" si="72"/>
        <v>0</v>
      </c>
      <c r="AA300" s="433">
        <f t="shared" si="72"/>
        <v>0</v>
      </c>
      <c r="AB300" s="433">
        <f t="shared" si="72"/>
        <v>0</v>
      </c>
      <c r="AC300" s="433">
        <f t="shared" si="72"/>
        <v>0</v>
      </c>
      <c r="AD300" s="433">
        <f t="shared" si="72"/>
        <v>0</v>
      </c>
      <c r="AE300" s="433">
        <f t="shared" si="72"/>
        <v>0</v>
      </c>
      <c r="AF300" s="433">
        <f t="shared" si="72"/>
        <v>0</v>
      </c>
      <c r="AG300" s="433">
        <f t="shared" si="72"/>
        <v>0</v>
      </c>
      <c r="AH300" s="433">
        <f t="shared" si="72"/>
        <v>0</v>
      </c>
      <c r="AI300" s="433">
        <f t="shared" si="72"/>
        <v>0</v>
      </c>
      <c r="AJ300" s="433">
        <f t="shared" si="72"/>
        <v>0</v>
      </c>
      <c r="AK300" s="433">
        <f t="shared" si="72"/>
        <v>0</v>
      </c>
      <c r="AL300" s="433">
        <f t="shared" si="72"/>
        <v>0</v>
      </c>
      <c r="AM300" s="581"/>
    </row>
    <row r="301" spans="1:39" s="426" customFormat="1" ht="13.5" thickBot="1">
      <c r="A301" s="642"/>
      <c r="B301" s="674"/>
      <c r="C301" s="668"/>
      <c r="D301" s="670"/>
      <c r="E301" s="665"/>
      <c r="F301" s="435">
        <f>F295+F298</f>
        <v>150000</v>
      </c>
      <c r="G301" s="443" t="s">
        <v>125</v>
      </c>
      <c r="H301" s="437">
        <f aca="true" t="shared" si="73" ref="H301:AL301">H295+H297+H299</f>
        <v>0</v>
      </c>
      <c r="I301" s="444">
        <f t="shared" si="73"/>
        <v>0</v>
      </c>
      <c r="J301" s="444">
        <f t="shared" si="73"/>
        <v>0</v>
      </c>
      <c r="K301" s="444">
        <f t="shared" si="73"/>
        <v>0</v>
      </c>
      <c r="L301" s="444">
        <f t="shared" si="73"/>
        <v>0</v>
      </c>
      <c r="M301" s="444">
        <f t="shared" si="73"/>
        <v>0</v>
      </c>
      <c r="N301" s="444">
        <f t="shared" si="73"/>
        <v>0</v>
      </c>
      <c r="O301" s="444">
        <f t="shared" si="73"/>
        <v>0</v>
      </c>
      <c r="P301" s="444">
        <f t="shared" si="73"/>
        <v>0</v>
      </c>
      <c r="Q301" s="444">
        <f t="shared" si="73"/>
        <v>0</v>
      </c>
      <c r="R301" s="444">
        <f t="shared" si="73"/>
        <v>0</v>
      </c>
      <c r="S301" s="444">
        <f t="shared" si="73"/>
        <v>0</v>
      </c>
      <c r="T301" s="444">
        <f t="shared" si="73"/>
        <v>0</v>
      </c>
      <c r="U301" s="444">
        <f t="shared" si="73"/>
        <v>0</v>
      </c>
      <c r="V301" s="444">
        <f t="shared" si="73"/>
        <v>0</v>
      </c>
      <c r="W301" s="444">
        <f t="shared" si="73"/>
        <v>0</v>
      </c>
      <c r="X301" s="444">
        <f t="shared" si="73"/>
        <v>0</v>
      </c>
      <c r="Y301" s="444">
        <f t="shared" si="73"/>
        <v>0</v>
      </c>
      <c r="Z301" s="444">
        <f t="shared" si="73"/>
        <v>0</v>
      </c>
      <c r="AA301" s="444">
        <f t="shared" si="73"/>
        <v>0</v>
      </c>
      <c r="AB301" s="444">
        <f t="shared" si="73"/>
        <v>0</v>
      </c>
      <c r="AC301" s="444">
        <f t="shared" si="73"/>
        <v>0</v>
      </c>
      <c r="AD301" s="444">
        <f t="shared" si="73"/>
        <v>0</v>
      </c>
      <c r="AE301" s="444">
        <f t="shared" si="73"/>
        <v>0</v>
      </c>
      <c r="AF301" s="444">
        <f t="shared" si="73"/>
        <v>0</v>
      </c>
      <c r="AG301" s="444">
        <f t="shared" si="73"/>
        <v>0</v>
      </c>
      <c r="AH301" s="444">
        <f t="shared" si="73"/>
        <v>0</v>
      </c>
      <c r="AI301" s="444">
        <f t="shared" si="73"/>
        <v>0</v>
      </c>
      <c r="AJ301" s="444">
        <f t="shared" si="73"/>
        <v>0</v>
      </c>
      <c r="AK301" s="444">
        <f t="shared" si="73"/>
        <v>0</v>
      </c>
      <c r="AL301" s="444">
        <f t="shared" si="73"/>
        <v>0</v>
      </c>
      <c r="AM301" s="582"/>
    </row>
    <row r="302" spans="1:39" ht="12.75" customHeight="1">
      <c r="A302" s="640">
        <v>37</v>
      </c>
      <c r="B302" s="643" t="s">
        <v>277</v>
      </c>
      <c r="C302" s="646">
        <v>85311</v>
      </c>
      <c r="D302" s="649" t="s">
        <v>235</v>
      </c>
      <c r="E302" s="634">
        <v>2012</v>
      </c>
      <c r="F302" s="350" t="s">
        <v>113</v>
      </c>
      <c r="G302" s="416" t="s">
        <v>114</v>
      </c>
      <c r="H302" s="352"/>
      <c r="I302" s="353">
        <v>18000</v>
      </c>
      <c r="J302" s="353">
        <v>16500</v>
      </c>
      <c r="K302" s="353">
        <v>14600</v>
      </c>
      <c r="L302" s="353"/>
      <c r="M302" s="353"/>
      <c r="N302" s="353"/>
      <c r="O302" s="353"/>
      <c r="P302" s="354"/>
      <c r="Q302" s="354"/>
      <c r="R302" s="354"/>
      <c r="S302" s="354"/>
      <c r="T302" s="354"/>
      <c r="U302" s="354"/>
      <c r="V302" s="354"/>
      <c r="W302" s="354"/>
      <c r="X302" s="354"/>
      <c r="Y302" s="354"/>
      <c r="Z302" s="354"/>
      <c r="AA302" s="354"/>
      <c r="AB302" s="354"/>
      <c r="AC302" s="354"/>
      <c r="AD302" s="354"/>
      <c r="AE302" s="354"/>
      <c r="AF302" s="354"/>
      <c r="AG302" s="354"/>
      <c r="AH302" s="354"/>
      <c r="AI302" s="354"/>
      <c r="AJ302" s="354"/>
      <c r="AK302" s="354"/>
      <c r="AL302" s="354"/>
      <c r="AM302" s="580">
        <f>SUM(J308:AL309)</f>
        <v>31100</v>
      </c>
    </row>
    <row r="303" spans="1:39" ht="12.75">
      <c r="A303" s="641"/>
      <c r="B303" s="644"/>
      <c r="C303" s="647"/>
      <c r="D303" s="650"/>
      <c r="E303" s="635"/>
      <c r="F303" s="583">
        <f>SUM(H308:AL308)</f>
        <v>49100</v>
      </c>
      <c r="G303" s="417" t="s">
        <v>115</v>
      </c>
      <c r="H303" s="356"/>
      <c r="I303" s="357"/>
      <c r="J303" s="357"/>
      <c r="K303" s="357"/>
      <c r="L303" s="357"/>
      <c r="M303" s="357"/>
      <c r="N303" s="357"/>
      <c r="O303" s="357"/>
      <c r="P303" s="358"/>
      <c r="Q303" s="358"/>
      <c r="R303" s="358"/>
      <c r="S303" s="358"/>
      <c r="T303" s="358"/>
      <c r="U303" s="358"/>
      <c r="V303" s="358"/>
      <c r="W303" s="358"/>
      <c r="X303" s="358"/>
      <c r="Y303" s="358"/>
      <c r="Z303" s="358"/>
      <c r="AA303" s="358"/>
      <c r="AB303" s="358"/>
      <c r="AC303" s="358"/>
      <c r="AD303" s="358"/>
      <c r="AE303" s="358"/>
      <c r="AF303" s="358"/>
      <c r="AG303" s="358"/>
      <c r="AH303" s="358"/>
      <c r="AI303" s="358"/>
      <c r="AJ303" s="358"/>
      <c r="AK303" s="358"/>
      <c r="AL303" s="358"/>
      <c r="AM303" s="581"/>
    </row>
    <row r="304" spans="1:39" ht="12.75">
      <c r="A304" s="641"/>
      <c r="B304" s="644"/>
      <c r="C304" s="647"/>
      <c r="D304" s="650"/>
      <c r="E304" s="635"/>
      <c r="F304" s="637"/>
      <c r="G304" s="417" t="s">
        <v>116</v>
      </c>
      <c r="H304" s="356"/>
      <c r="I304" s="357"/>
      <c r="J304" s="357"/>
      <c r="K304" s="357"/>
      <c r="L304" s="357"/>
      <c r="M304" s="357"/>
      <c r="N304" s="357"/>
      <c r="O304" s="357"/>
      <c r="P304" s="358"/>
      <c r="Q304" s="358"/>
      <c r="R304" s="358"/>
      <c r="S304" s="358"/>
      <c r="T304" s="358"/>
      <c r="U304" s="358"/>
      <c r="V304" s="358"/>
      <c r="W304" s="358"/>
      <c r="X304" s="358"/>
      <c r="Y304" s="358"/>
      <c r="Z304" s="358"/>
      <c r="AA304" s="358"/>
      <c r="AB304" s="358"/>
      <c r="AC304" s="358"/>
      <c r="AD304" s="358"/>
      <c r="AE304" s="358"/>
      <c r="AF304" s="358"/>
      <c r="AG304" s="358"/>
      <c r="AH304" s="358"/>
      <c r="AI304" s="358"/>
      <c r="AJ304" s="358"/>
      <c r="AK304" s="358"/>
      <c r="AL304" s="358"/>
      <c r="AM304" s="581"/>
    </row>
    <row r="305" spans="1:39" ht="12.75">
      <c r="A305" s="641"/>
      <c r="B305" s="644"/>
      <c r="C305" s="647"/>
      <c r="D305" s="650"/>
      <c r="E305" s="636"/>
      <c r="F305" s="359" t="s">
        <v>117</v>
      </c>
      <c r="G305" s="417" t="s">
        <v>118</v>
      </c>
      <c r="H305" s="356"/>
      <c r="I305" s="357"/>
      <c r="J305" s="357"/>
      <c r="K305" s="357"/>
      <c r="L305" s="357"/>
      <c r="M305" s="357"/>
      <c r="N305" s="357"/>
      <c r="O305" s="357"/>
      <c r="P305" s="358"/>
      <c r="Q305" s="358"/>
      <c r="R305" s="358"/>
      <c r="S305" s="358"/>
      <c r="T305" s="358"/>
      <c r="U305" s="358"/>
      <c r="V305" s="358"/>
      <c r="W305" s="358"/>
      <c r="X305" s="358"/>
      <c r="Y305" s="358"/>
      <c r="Z305" s="358"/>
      <c r="AA305" s="358"/>
      <c r="AB305" s="358"/>
      <c r="AC305" s="358"/>
      <c r="AD305" s="358"/>
      <c r="AE305" s="358"/>
      <c r="AF305" s="358"/>
      <c r="AG305" s="358"/>
      <c r="AH305" s="358"/>
      <c r="AI305" s="358"/>
      <c r="AJ305" s="358"/>
      <c r="AK305" s="358"/>
      <c r="AL305" s="358"/>
      <c r="AM305" s="581"/>
    </row>
    <row r="306" spans="1:39" ht="12.75">
      <c r="A306" s="641"/>
      <c r="B306" s="644"/>
      <c r="C306" s="647"/>
      <c r="D306" s="650"/>
      <c r="E306" s="638">
        <v>2014</v>
      </c>
      <c r="F306" s="583">
        <f>SUM(H309:AL309)</f>
        <v>0</v>
      </c>
      <c r="G306" s="417" t="s">
        <v>122</v>
      </c>
      <c r="H306" s="356"/>
      <c r="I306" s="357"/>
      <c r="J306" s="357"/>
      <c r="K306" s="357"/>
      <c r="L306" s="357"/>
      <c r="M306" s="357"/>
      <c r="N306" s="357"/>
      <c r="O306" s="357"/>
      <c r="P306" s="358"/>
      <c r="Q306" s="358"/>
      <c r="R306" s="358"/>
      <c r="S306" s="358"/>
      <c r="T306" s="358"/>
      <c r="U306" s="358"/>
      <c r="V306" s="358"/>
      <c r="W306" s="358"/>
      <c r="X306" s="358"/>
      <c r="Y306" s="358"/>
      <c r="Z306" s="358"/>
      <c r="AA306" s="358"/>
      <c r="AB306" s="358"/>
      <c r="AC306" s="358"/>
      <c r="AD306" s="358"/>
      <c r="AE306" s="358"/>
      <c r="AF306" s="358"/>
      <c r="AG306" s="358"/>
      <c r="AH306" s="358"/>
      <c r="AI306" s="358"/>
      <c r="AJ306" s="358"/>
      <c r="AK306" s="358"/>
      <c r="AL306" s="358"/>
      <c r="AM306" s="581"/>
    </row>
    <row r="307" spans="1:39" ht="12.75">
      <c r="A307" s="641"/>
      <c r="B307" s="644"/>
      <c r="C307" s="647"/>
      <c r="D307" s="650"/>
      <c r="E307" s="635"/>
      <c r="F307" s="637"/>
      <c r="G307" s="417" t="s">
        <v>123</v>
      </c>
      <c r="H307" s="356"/>
      <c r="I307" s="357"/>
      <c r="J307" s="357"/>
      <c r="K307" s="357"/>
      <c r="L307" s="357"/>
      <c r="M307" s="357"/>
      <c r="N307" s="357"/>
      <c r="O307" s="357"/>
      <c r="P307" s="358"/>
      <c r="Q307" s="358"/>
      <c r="R307" s="358"/>
      <c r="S307" s="358"/>
      <c r="T307" s="358"/>
      <c r="U307" s="358"/>
      <c r="V307" s="358"/>
      <c r="W307" s="358"/>
      <c r="X307" s="358"/>
      <c r="Y307" s="358"/>
      <c r="Z307" s="358"/>
      <c r="AA307" s="358"/>
      <c r="AB307" s="358"/>
      <c r="AC307" s="358"/>
      <c r="AD307" s="358"/>
      <c r="AE307" s="358"/>
      <c r="AF307" s="358"/>
      <c r="AG307" s="358"/>
      <c r="AH307" s="358"/>
      <c r="AI307" s="358"/>
      <c r="AJ307" s="358"/>
      <c r="AK307" s="358"/>
      <c r="AL307" s="358"/>
      <c r="AM307" s="581"/>
    </row>
    <row r="308" spans="1:39" ht="12.75">
      <c r="A308" s="641"/>
      <c r="B308" s="644"/>
      <c r="C308" s="647"/>
      <c r="D308" s="650"/>
      <c r="E308" s="635"/>
      <c r="F308" s="359" t="s">
        <v>121</v>
      </c>
      <c r="G308" s="417" t="s">
        <v>124</v>
      </c>
      <c r="H308" s="360">
        <f aca="true" t="shared" si="74" ref="H308:AL308">H302+H304+H306</f>
        <v>0</v>
      </c>
      <c r="I308" s="361">
        <f t="shared" si="74"/>
        <v>18000</v>
      </c>
      <c r="J308" s="361">
        <f t="shared" si="74"/>
        <v>16500</v>
      </c>
      <c r="K308" s="361">
        <f t="shared" si="74"/>
        <v>14600</v>
      </c>
      <c r="L308" s="361">
        <f t="shared" si="74"/>
        <v>0</v>
      </c>
      <c r="M308" s="361">
        <f t="shared" si="74"/>
        <v>0</v>
      </c>
      <c r="N308" s="361">
        <f t="shared" si="74"/>
        <v>0</v>
      </c>
      <c r="O308" s="361">
        <f t="shared" si="74"/>
        <v>0</v>
      </c>
      <c r="P308" s="361">
        <f t="shared" si="74"/>
        <v>0</v>
      </c>
      <c r="Q308" s="361">
        <f t="shared" si="74"/>
        <v>0</v>
      </c>
      <c r="R308" s="361">
        <f t="shared" si="74"/>
        <v>0</v>
      </c>
      <c r="S308" s="361">
        <f t="shared" si="74"/>
        <v>0</v>
      </c>
      <c r="T308" s="361">
        <f t="shared" si="74"/>
        <v>0</v>
      </c>
      <c r="U308" s="361">
        <f t="shared" si="74"/>
        <v>0</v>
      </c>
      <c r="V308" s="361">
        <f t="shared" si="74"/>
        <v>0</v>
      </c>
      <c r="W308" s="361">
        <f t="shared" si="74"/>
        <v>0</v>
      </c>
      <c r="X308" s="361">
        <f t="shared" si="74"/>
        <v>0</v>
      </c>
      <c r="Y308" s="361">
        <f t="shared" si="74"/>
        <v>0</v>
      </c>
      <c r="Z308" s="361">
        <f t="shared" si="74"/>
        <v>0</v>
      </c>
      <c r="AA308" s="361">
        <f t="shared" si="74"/>
        <v>0</v>
      </c>
      <c r="AB308" s="361">
        <f t="shared" si="74"/>
        <v>0</v>
      </c>
      <c r="AC308" s="361">
        <f t="shared" si="74"/>
        <v>0</v>
      </c>
      <c r="AD308" s="361">
        <f t="shared" si="74"/>
        <v>0</v>
      </c>
      <c r="AE308" s="361">
        <f t="shared" si="74"/>
        <v>0</v>
      </c>
      <c r="AF308" s="361">
        <f t="shared" si="74"/>
        <v>0</v>
      </c>
      <c r="AG308" s="361">
        <f t="shared" si="74"/>
        <v>0</v>
      </c>
      <c r="AH308" s="361">
        <f t="shared" si="74"/>
        <v>0</v>
      </c>
      <c r="AI308" s="361">
        <f t="shared" si="74"/>
        <v>0</v>
      </c>
      <c r="AJ308" s="361">
        <f t="shared" si="74"/>
        <v>0</v>
      </c>
      <c r="AK308" s="361">
        <f t="shared" si="74"/>
        <v>0</v>
      </c>
      <c r="AL308" s="361">
        <f t="shared" si="74"/>
        <v>0</v>
      </c>
      <c r="AM308" s="581"/>
    </row>
    <row r="309" spans="1:39" ht="13.5" thickBot="1">
      <c r="A309" s="642"/>
      <c r="B309" s="645"/>
      <c r="C309" s="648"/>
      <c r="D309" s="651"/>
      <c r="E309" s="639"/>
      <c r="F309" s="363">
        <f>F303+F306</f>
        <v>49100</v>
      </c>
      <c r="G309" s="418" t="s">
        <v>125</v>
      </c>
      <c r="H309" s="365">
        <f aca="true" t="shared" si="75" ref="H309:AL309">H303+H305+H307</f>
        <v>0</v>
      </c>
      <c r="I309" s="366">
        <f t="shared" si="75"/>
        <v>0</v>
      </c>
      <c r="J309" s="366">
        <f t="shared" si="75"/>
        <v>0</v>
      </c>
      <c r="K309" s="366">
        <f t="shared" si="75"/>
        <v>0</v>
      </c>
      <c r="L309" s="366">
        <f t="shared" si="75"/>
        <v>0</v>
      </c>
      <c r="M309" s="366">
        <f t="shared" si="75"/>
        <v>0</v>
      </c>
      <c r="N309" s="366">
        <f t="shared" si="75"/>
        <v>0</v>
      </c>
      <c r="O309" s="366">
        <f t="shared" si="75"/>
        <v>0</v>
      </c>
      <c r="P309" s="366">
        <f t="shared" si="75"/>
        <v>0</v>
      </c>
      <c r="Q309" s="366">
        <f t="shared" si="75"/>
        <v>0</v>
      </c>
      <c r="R309" s="366">
        <f t="shared" si="75"/>
        <v>0</v>
      </c>
      <c r="S309" s="366">
        <f t="shared" si="75"/>
        <v>0</v>
      </c>
      <c r="T309" s="366">
        <f t="shared" si="75"/>
        <v>0</v>
      </c>
      <c r="U309" s="366">
        <f t="shared" si="75"/>
        <v>0</v>
      </c>
      <c r="V309" s="366">
        <f t="shared" si="75"/>
        <v>0</v>
      </c>
      <c r="W309" s="366">
        <f t="shared" si="75"/>
        <v>0</v>
      </c>
      <c r="X309" s="366">
        <f t="shared" si="75"/>
        <v>0</v>
      </c>
      <c r="Y309" s="366">
        <f t="shared" si="75"/>
        <v>0</v>
      </c>
      <c r="Z309" s="366">
        <f t="shared" si="75"/>
        <v>0</v>
      </c>
      <c r="AA309" s="366">
        <f t="shared" si="75"/>
        <v>0</v>
      </c>
      <c r="AB309" s="366">
        <f t="shared" si="75"/>
        <v>0</v>
      </c>
      <c r="AC309" s="366">
        <f t="shared" si="75"/>
        <v>0</v>
      </c>
      <c r="AD309" s="366">
        <f t="shared" si="75"/>
        <v>0</v>
      </c>
      <c r="AE309" s="366">
        <f t="shared" si="75"/>
        <v>0</v>
      </c>
      <c r="AF309" s="366">
        <f t="shared" si="75"/>
        <v>0</v>
      </c>
      <c r="AG309" s="366">
        <f t="shared" si="75"/>
        <v>0</v>
      </c>
      <c r="AH309" s="366">
        <f t="shared" si="75"/>
        <v>0</v>
      </c>
      <c r="AI309" s="366">
        <f t="shared" si="75"/>
        <v>0</v>
      </c>
      <c r="AJ309" s="366">
        <f t="shared" si="75"/>
        <v>0</v>
      </c>
      <c r="AK309" s="366">
        <f t="shared" si="75"/>
        <v>0</v>
      </c>
      <c r="AL309" s="366">
        <f t="shared" si="75"/>
        <v>0</v>
      </c>
      <c r="AM309" s="582"/>
    </row>
    <row r="310" spans="1:39" ht="12.75" customHeight="1">
      <c r="A310" s="640">
        <v>38</v>
      </c>
      <c r="B310" s="643" t="s">
        <v>278</v>
      </c>
      <c r="C310" s="646">
        <v>85311</v>
      </c>
      <c r="D310" s="649" t="s">
        <v>235</v>
      </c>
      <c r="E310" s="634">
        <v>2012</v>
      </c>
      <c r="F310" s="350" t="s">
        <v>113</v>
      </c>
      <c r="G310" s="416" t="s">
        <v>114</v>
      </c>
      <c r="H310" s="352"/>
      <c r="I310" s="353">
        <v>117600</v>
      </c>
      <c r="J310" s="353">
        <v>117600</v>
      </c>
      <c r="K310" s="353">
        <v>117600</v>
      </c>
      <c r="L310" s="353"/>
      <c r="M310" s="353"/>
      <c r="N310" s="353"/>
      <c r="O310" s="353"/>
      <c r="P310" s="354"/>
      <c r="Q310" s="354"/>
      <c r="R310" s="354"/>
      <c r="S310" s="354"/>
      <c r="T310" s="354"/>
      <c r="U310" s="354"/>
      <c r="V310" s="354"/>
      <c r="W310" s="354"/>
      <c r="X310" s="354"/>
      <c r="Y310" s="354"/>
      <c r="Z310" s="354"/>
      <c r="AA310" s="354"/>
      <c r="AB310" s="354"/>
      <c r="AC310" s="354"/>
      <c r="AD310" s="354"/>
      <c r="AE310" s="354"/>
      <c r="AF310" s="354"/>
      <c r="AG310" s="354"/>
      <c r="AH310" s="354"/>
      <c r="AI310" s="354"/>
      <c r="AJ310" s="354"/>
      <c r="AK310" s="354"/>
      <c r="AL310" s="354"/>
      <c r="AM310" s="580">
        <f>SUM(J316:AL317)</f>
        <v>235200</v>
      </c>
    </row>
    <row r="311" spans="1:39" ht="12.75">
      <c r="A311" s="641"/>
      <c r="B311" s="644"/>
      <c r="C311" s="647"/>
      <c r="D311" s="650"/>
      <c r="E311" s="635"/>
      <c r="F311" s="583">
        <f>SUM(H316:AL316)</f>
        <v>352800</v>
      </c>
      <c r="G311" s="417" t="s">
        <v>115</v>
      </c>
      <c r="H311" s="356"/>
      <c r="I311" s="357"/>
      <c r="J311" s="357"/>
      <c r="K311" s="357"/>
      <c r="L311" s="357"/>
      <c r="M311" s="357"/>
      <c r="N311" s="357"/>
      <c r="O311" s="357"/>
      <c r="P311" s="358"/>
      <c r="Q311" s="358"/>
      <c r="R311" s="358"/>
      <c r="S311" s="358"/>
      <c r="T311" s="358"/>
      <c r="U311" s="358"/>
      <c r="V311" s="358"/>
      <c r="W311" s="358"/>
      <c r="X311" s="358"/>
      <c r="Y311" s="358"/>
      <c r="Z311" s="358"/>
      <c r="AA311" s="358"/>
      <c r="AB311" s="358"/>
      <c r="AC311" s="358"/>
      <c r="AD311" s="358"/>
      <c r="AE311" s="358"/>
      <c r="AF311" s="358"/>
      <c r="AG311" s="358"/>
      <c r="AH311" s="358"/>
      <c r="AI311" s="358"/>
      <c r="AJ311" s="358"/>
      <c r="AK311" s="358"/>
      <c r="AL311" s="358"/>
      <c r="AM311" s="581"/>
    </row>
    <row r="312" spans="1:39" ht="9.75" customHeight="1">
      <c r="A312" s="641"/>
      <c r="B312" s="644"/>
      <c r="C312" s="647"/>
      <c r="D312" s="650"/>
      <c r="E312" s="635"/>
      <c r="F312" s="637"/>
      <c r="G312" s="417" t="s">
        <v>116</v>
      </c>
      <c r="H312" s="356"/>
      <c r="I312" s="357"/>
      <c r="J312" s="357"/>
      <c r="K312" s="357"/>
      <c r="L312" s="357"/>
      <c r="M312" s="357"/>
      <c r="N312" s="357"/>
      <c r="O312" s="357"/>
      <c r="P312" s="358"/>
      <c r="Q312" s="358"/>
      <c r="R312" s="358"/>
      <c r="S312" s="358"/>
      <c r="T312" s="358"/>
      <c r="U312" s="358"/>
      <c r="V312" s="358"/>
      <c r="W312" s="358"/>
      <c r="X312" s="358"/>
      <c r="Y312" s="358"/>
      <c r="Z312" s="358"/>
      <c r="AA312" s="358"/>
      <c r="AB312" s="358"/>
      <c r="AC312" s="358"/>
      <c r="AD312" s="358"/>
      <c r="AE312" s="358"/>
      <c r="AF312" s="358"/>
      <c r="AG312" s="358"/>
      <c r="AH312" s="358"/>
      <c r="AI312" s="358"/>
      <c r="AJ312" s="358"/>
      <c r="AK312" s="358"/>
      <c r="AL312" s="358"/>
      <c r="AM312" s="581"/>
    </row>
    <row r="313" spans="1:39" ht="12.75">
      <c r="A313" s="641"/>
      <c r="B313" s="644"/>
      <c r="C313" s="647"/>
      <c r="D313" s="650"/>
      <c r="E313" s="636"/>
      <c r="F313" s="359" t="s">
        <v>117</v>
      </c>
      <c r="G313" s="417" t="s">
        <v>118</v>
      </c>
      <c r="H313" s="356"/>
      <c r="I313" s="357"/>
      <c r="J313" s="357"/>
      <c r="K313" s="357"/>
      <c r="L313" s="357"/>
      <c r="M313" s="357"/>
      <c r="N313" s="357"/>
      <c r="O313" s="357"/>
      <c r="P313" s="358"/>
      <c r="Q313" s="358"/>
      <c r="R313" s="358"/>
      <c r="S313" s="358"/>
      <c r="T313" s="358"/>
      <c r="U313" s="358"/>
      <c r="V313" s="358"/>
      <c r="W313" s="358"/>
      <c r="X313" s="358"/>
      <c r="Y313" s="358"/>
      <c r="Z313" s="358"/>
      <c r="AA313" s="358"/>
      <c r="AB313" s="358"/>
      <c r="AC313" s="358"/>
      <c r="AD313" s="358"/>
      <c r="AE313" s="358"/>
      <c r="AF313" s="358"/>
      <c r="AG313" s="358"/>
      <c r="AH313" s="358"/>
      <c r="AI313" s="358"/>
      <c r="AJ313" s="358"/>
      <c r="AK313" s="358"/>
      <c r="AL313" s="358"/>
      <c r="AM313" s="581"/>
    </row>
    <row r="314" spans="1:39" ht="12.75">
      <c r="A314" s="641"/>
      <c r="B314" s="644"/>
      <c r="C314" s="647"/>
      <c r="D314" s="650"/>
      <c r="E314" s="638">
        <v>2014</v>
      </c>
      <c r="F314" s="583">
        <f>SUM(H317:AL317)</f>
        <v>0</v>
      </c>
      <c r="G314" s="417" t="s">
        <v>122</v>
      </c>
      <c r="H314" s="356"/>
      <c r="I314" s="357"/>
      <c r="J314" s="357"/>
      <c r="K314" s="357"/>
      <c r="L314" s="357"/>
      <c r="M314" s="357"/>
      <c r="N314" s="357"/>
      <c r="O314" s="357"/>
      <c r="P314" s="358"/>
      <c r="Q314" s="358"/>
      <c r="R314" s="358"/>
      <c r="S314" s="358"/>
      <c r="T314" s="358"/>
      <c r="U314" s="358"/>
      <c r="V314" s="358"/>
      <c r="W314" s="358"/>
      <c r="X314" s="358"/>
      <c r="Y314" s="358"/>
      <c r="Z314" s="358"/>
      <c r="AA314" s="358"/>
      <c r="AB314" s="358"/>
      <c r="AC314" s="358"/>
      <c r="AD314" s="358"/>
      <c r="AE314" s="358"/>
      <c r="AF314" s="358"/>
      <c r="AG314" s="358"/>
      <c r="AH314" s="358"/>
      <c r="AI314" s="358"/>
      <c r="AJ314" s="358"/>
      <c r="AK314" s="358"/>
      <c r="AL314" s="358"/>
      <c r="AM314" s="581"/>
    </row>
    <row r="315" spans="1:39" ht="12.75">
      <c r="A315" s="641"/>
      <c r="B315" s="644"/>
      <c r="C315" s="647"/>
      <c r="D315" s="650"/>
      <c r="E315" s="635"/>
      <c r="F315" s="637"/>
      <c r="G315" s="417" t="s">
        <v>123</v>
      </c>
      <c r="H315" s="356"/>
      <c r="I315" s="357"/>
      <c r="J315" s="357"/>
      <c r="K315" s="357"/>
      <c r="L315" s="357"/>
      <c r="M315" s="357"/>
      <c r="N315" s="357"/>
      <c r="O315" s="357"/>
      <c r="P315" s="358"/>
      <c r="Q315" s="358"/>
      <c r="R315" s="358"/>
      <c r="S315" s="358"/>
      <c r="T315" s="358"/>
      <c r="U315" s="358"/>
      <c r="V315" s="358"/>
      <c r="W315" s="358"/>
      <c r="X315" s="358"/>
      <c r="Y315" s="358"/>
      <c r="Z315" s="358"/>
      <c r="AA315" s="358"/>
      <c r="AB315" s="358"/>
      <c r="AC315" s="358"/>
      <c r="AD315" s="358"/>
      <c r="AE315" s="358"/>
      <c r="AF315" s="358"/>
      <c r="AG315" s="358"/>
      <c r="AH315" s="358"/>
      <c r="AI315" s="358"/>
      <c r="AJ315" s="358"/>
      <c r="AK315" s="358"/>
      <c r="AL315" s="358"/>
      <c r="AM315" s="581"/>
    </row>
    <row r="316" spans="1:39" ht="12.75">
      <c r="A316" s="641"/>
      <c r="B316" s="644"/>
      <c r="C316" s="647"/>
      <c r="D316" s="650"/>
      <c r="E316" s="635"/>
      <c r="F316" s="359" t="s">
        <v>121</v>
      </c>
      <c r="G316" s="417" t="s">
        <v>124</v>
      </c>
      <c r="H316" s="360">
        <f aca="true" t="shared" si="76" ref="H316:AL316">H310+H312+H314</f>
        <v>0</v>
      </c>
      <c r="I316" s="361">
        <f t="shared" si="76"/>
        <v>117600</v>
      </c>
      <c r="J316" s="361">
        <f t="shared" si="76"/>
        <v>117600</v>
      </c>
      <c r="K316" s="361">
        <f t="shared" si="76"/>
        <v>117600</v>
      </c>
      <c r="L316" s="361">
        <f t="shared" si="76"/>
        <v>0</v>
      </c>
      <c r="M316" s="361">
        <f t="shared" si="76"/>
        <v>0</v>
      </c>
      <c r="N316" s="361">
        <f t="shared" si="76"/>
        <v>0</v>
      </c>
      <c r="O316" s="361">
        <f t="shared" si="76"/>
        <v>0</v>
      </c>
      <c r="P316" s="361">
        <f t="shared" si="76"/>
        <v>0</v>
      </c>
      <c r="Q316" s="361">
        <f t="shared" si="76"/>
        <v>0</v>
      </c>
      <c r="R316" s="361">
        <f t="shared" si="76"/>
        <v>0</v>
      </c>
      <c r="S316" s="361">
        <f t="shared" si="76"/>
        <v>0</v>
      </c>
      <c r="T316" s="361">
        <f t="shared" si="76"/>
        <v>0</v>
      </c>
      <c r="U316" s="361">
        <f t="shared" si="76"/>
        <v>0</v>
      </c>
      <c r="V316" s="361">
        <f t="shared" si="76"/>
        <v>0</v>
      </c>
      <c r="W316" s="361">
        <f t="shared" si="76"/>
        <v>0</v>
      </c>
      <c r="X316" s="361">
        <f t="shared" si="76"/>
        <v>0</v>
      </c>
      <c r="Y316" s="361">
        <f t="shared" si="76"/>
        <v>0</v>
      </c>
      <c r="Z316" s="361">
        <f t="shared" si="76"/>
        <v>0</v>
      </c>
      <c r="AA316" s="361">
        <f t="shared" si="76"/>
        <v>0</v>
      </c>
      <c r="AB316" s="361">
        <f t="shared" si="76"/>
        <v>0</v>
      </c>
      <c r="AC316" s="361">
        <f t="shared" si="76"/>
        <v>0</v>
      </c>
      <c r="AD316" s="361">
        <f t="shared" si="76"/>
        <v>0</v>
      </c>
      <c r="AE316" s="361">
        <f t="shared" si="76"/>
        <v>0</v>
      </c>
      <c r="AF316" s="361">
        <f t="shared" si="76"/>
        <v>0</v>
      </c>
      <c r="AG316" s="361">
        <f t="shared" si="76"/>
        <v>0</v>
      </c>
      <c r="AH316" s="361">
        <f t="shared" si="76"/>
        <v>0</v>
      </c>
      <c r="AI316" s="361">
        <f t="shared" si="76"/>
        <v>0</v>
      </c>
      <c r="AJ316" s="361">
        <f t="shared" si="76"/>
        <v>0</v>
      </c>
      <c r="AK316" s="361">
        <f t="shared" si="76"/>
        <v>0</v>
      </c>
      <c r="AL316" s="361">
        <f t="shared" si="76"/>
        <v>0</v>
      </c>
      <c r="AM316" s="581"/>
    </row>
    <row r="317" spans="1:39" ht="13.5" thickBot="1">
      <c r="A317" s="642"/>
      <c r="B317" s="645"/>
      <c r="C317" s="648"/>
      <c r="D317" s="651"/>
      <c r="E317" s="639"/>
      <c r="F317" s="363">
        <f>F311+F314</f>
        <v>352800</v>
      </c>
      <c r="G317" s="418" t="s">
        <v>125</v>
      </c>
      <c r="H317" s="365">
        <f aca="true" t="shared" si="77" ref="H317:AL317">H311+H313+H315</f>
        <v>0</v>
      </c>
      <c r="I317" s="366">
        <f t="shared" si="77"/>
        <v>0</v>
      </c>
      <c r="J317" s="366">
        <f t="shared" si="77"/>
        <v>0</v>
      </c>
      <c r="K317" s="366">
        <f t="shared" si="77"/>
        <v>0</v>
      </c>
      <c r="L317" s="366">
        <f t="shared" si="77"/>
        <v>0</v>
      </c>
      <c r="M317" s="366">
        <f t="shared" si="77"/>
        <v>0</v>
      </c>
      <c r="N317" s="366">
        <f t="shared" si="77"/>
        <v>0</v>
      </c>
      <c r="O317" s="366">
        <f t="shared" si="77"/>
        <v>0</v>
      </c>
      <c r="P317" s="366">
        <f t="shared" si="77"/>
        <v>0</v>
      </c>
      <c r="Q317" s="366">
        <f t="shared" si="77"/>
        <v>0</v>
      </c>
      <c r="R317" s="366">
        <f t="shared" si="77"/>
        <v>0</v>
      </c>
      <c r="S317" s="366">
        <f t="shared" si="77"/>
        <v>0</v>
      </c>
      <c r="T317" s="366">
        <f t="shared" si="77"/>
        <v>0</v>
      </c>
      <c r="U317" s="366">
        <f t="shared" si="77"/>
        <v>0</v>
      </c>
      <c r="V317" s="366">
        <f t="shared" si="77"/>
        <v>0</v>
      </c>
      <c r="W317" s="366">
        <f t="shared" si="77"/>
        <v>0</v>
      </c>
      <c r="X317" s="366">
        <f t="shared" si="77"/>
        <v>0</v>
      </c>
      <c r="Y317" s="366">
        <f t="shared" si="77"/>
        <v>0</v>
      </c>
      <c r="Z317" s="366">
        <f t="shared" si="77"/>
        <v>0</v>
      </c>
      <c r="AA317" s="366">
        <f t="shared" si="77"/>
        <v>0</v>
      </c>
      <c r="AB317" s="366">
        <f t="shared" si="77"/>
        <v>0</v>
      </c>
      <c r="AC317" s="366">
        <f t="shared" si="77"/>
        <v>0</v>
      </c>
      <c r="AD317" s="366">
        <f t="shared" si="77"/>
        <v>0</v>
      </c>
      <c r="AE317" s="366">
        <f t="shared" si="77"/>
        <v>0</v>
      </c>
      <c r="AF317" s="366">
        <f t="shared" si="77"/>
        <v>0</v>
      </c>
      <c r="AG317" s="366">
        <f t="shared" si="77"/>
        <v>0</v>
      </c>
      <c r="AH317" s="366">
        <f t="shared" si="77"/>
        <v>0</v>
      </c>
      <c r="AI317" s="366">
        <f t="shared" si="77"/>
        <v>0</v>
      </c>
      <c r="AJ317" s="366">
        <f t="shared" si="77"/>
        <v>0</v>
      </c>
      <c r="AK317" s="366">
        <f t="shared" si="77"/>
        <v>0</v>
      </c>
      <c r="AL317" s="366">
        <f t="shared" si="77"/>
        <v>0</v>
      </c>
      <c r="AM317" s="582"/>
    </row>
    <row r="318" spans="1:39" ht="12.75" customHeight="1">
      <c r="A318" s="640">
        <v>39</v>
      </c>
      <c r="B318" s="643" t="s">
        <v>279</v>
      </c>
      <c r="C318" s="646">
        <v>85311</v>
      </c>
      <c r="D318" s="649" t="s">
        <v>235</v>
      </c>
      <c r="E318" s="634">
        <v>2012</v>
      </c>
      <c r="F318" s="350" t="s">
        <v>113</v>
      </c>
      <c r="G318" s="416" t="s">
        <v>114</v>
      </c>
      <c r="H318" s="352"/>
      <c r="I318" s="353">
        <v>145000</v>
      </c>
      <c r="J318" s="353">
        <v>145000</v>
      </c>
      <c r="K318" s="353">
        <v>145000</v>
      </c>
      <c r="L318" s="353"/>
      <c r="M318" s="353"/>
      <c r="N318" s="353"/>
      <c r="O318" s="353"/>
      <c r="P318" s="354"/>
      <c r="Q318" s="354"/>
      <c r="R318" s="354"/>
      <c r="S318" s="354"/>
      <c r="T318" s="354"/>
      <c r="U318" s="354"/>
      <c r="V318" s="354"/>
      <c r="W318" s="354"/>
      <c r="X318" s="354"/>
      <c r="Y318" s="354"/>
      <c r="Z318" s="354"/>
      <c r="AA318" s="354"/>
      <c r="AB318" s="354"/>
      <c r="AC318" s="354"/>
      <c r="AD318" s="354"/>
      <c r="AE318" s="354"/>
      <c r="AF318" s="354"/>
      <c r="AG318" s="354"/>
      <c r="AH318" s="354"/>
      <c r="AI318" s="354"/>
      <c r="AJ318" s="354"/>
      <c r="AK318" s="354"/>
      <c r="AL318" s="354"/>
      <c r="AM318" s="580">
        <f>SUM(J324:AL325)</f>
        <v>290000</v>
      </c>
    </row>
    <row r="319" spans="1:39" ht="12.75">
      <c r="A319" s="641"/>
      <c r="B319" s="644"/>
      <c r="C319" s="647"/>
      <c r="D319" s="650"/>
      <c r="E319" s="635"/>
      <c r="F319" s="583">
        <f>SUM(H324:AL324)</f>
        <v>435000</v>
      </c>
      <c r="G319" s="417" t="s">
        <v>115</v>
      </c>
      <c r="H319" s="356"/>
      <c r="I319" s="357"/>
      <c r="J319" s="357"/>
      <c r="K319" s="357"/>
      <c r="L319" s="357"/>
      <c r="M319" s="357"/>
      <c r="N319" s="357"/>
      <c r="O319" s="357"/>
      <c r="P319" s="358"/>
      <c r="Q319" s="358"/>
      <c r="R319" s="358"/>
      <c r="S319" s="358"/>
      <c r="T319" s="358"/>
      <c r="U319" s="358"/>
      <c r="V319" s="358"/>
      <c r="W319" s="358"/>
      <c r="X319" s="358"/>
      <c r="Y319" s="358"/>
      <c r="Z319" s="358"/>
      <c r="AA319" s="358"/>
      <c r="AB319" s="358"/>
      <c r="AC319" s="358"/>
      <c r="AD319" s="358"/>
      <c r="AE319" s="358"/>
      <c r="AF319" s="358"/>
      <c r="AG319" s="358"/>
      <c r="AH319" s="358"/>
      <c r="AI319" s="358"/>
      <c r="AJ319" s="358"/>
      <c r="AK319" s="358"/>
      <c r="AL319" s="358"/>
      <c r="AM319" s="581"/>
    </row>
    <row r="320" spans="1:39" ht="12.75">
      <c r="A320" s="641"/>
      <c r="B320" s="644"/>
      <c r="C320" s="647"/>
      <c r="D320" s="650"/>
      <c r="E320" s="635"/>
      <c r="F320" s="637"/>
      <c r="G320" s="417" t="s">
        <v>116</v>
      </c>
      <c r="H320" s="356"/>
      <c r="I320" s="357"/>
      <c r="J320" s="357"/>
      <c r="K320" s="357"/>
      <c r="L320" s="357"/>
      <c r="M320" s="357"/>
      <c r="N320" s="357"/>
      <c r="O320" s="357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  <c r="AA320" s="358"/>
      <c r="AB320" s="358"/>
      <c r="AC320" s="358"/>
      <c r="AD320" s="358"/>
      <c r="AE320" s="358"/>
      <c r="AF320" s="358"/>
      <c r="AG320" s="358"/>
      <c r="AH320" s="358"/>
      <c r="AI320" s="358"/>
      <c r="AJ320" s="358"/>
      <c r="AK320" s="358"/>
      <c r="AL320" s="358"/>
      <c r="AM320" s="581"/>
    </row>
    <row r="321" spans="1:39" ht="12.75">
      <c r="A321" s="641"/>
      <c r="B321" s="644"/>
      <c r="C321" s="647"/>
      <c r="D321" s="650"/>
      <c r="E321" s="636"/>
      <c r="F321" s="359" t="s">
        <v>117</v>
      </c>
      <c r="G321" s="417" t="s">
        <v>118</v>
      </c>
      <c r="H321" s="356"/>
      <c r="I321" s="357"/>
      <c r="J321" s="357"/>
      <c r="K321" s="357"/>
      <c r="L321" s="357"/>
      <c r="M321" s="357"/>
      <c r="N321" s="357"/>
      <c r="O321" s="357"/>
      <c r="P321" s="358"/>
      <c r="Q321" s="358"/>
      <c r="R321" s="358"/>
      <c r="S321" s="358"/>
      <c r="T321" s="358"/>
      <c r="U321" s="358"/>
      <c r="V321" s="358"/>
      <c r="W321" s="358"/>
      <c r="X321" s="358"/>
      <c r="Y321" s="358"/>
      <c r="Z321" s="358"/>
      <c r="AA321" s="358"/>
      <c r="AB321" s="358"/>
      <c r="AC321" s="358"/>
      <c r="AD321" s="358"/>
      <c r="AE321" s="358"/>
      <c r="AF321" s="358"/>
      <c r="AG321" s="358"/>
      <c r="AH321" s="358"/>
      <c r="AI321" s="358"/>
      <c r="AJ321" s="358"/>
      <c r="AK321" s="358"/>
      <c r="AL321" s="358"/>
      <c r="AM321" s="581"/>
    </row>
    <row r="322" spans="1:39" ht="12.75">
      <c r="A322" s="641"/>
      <c r="B322" s="644"/>
      <c r="C322" s="647"/>
      <c r="D322" s="650"/>
      <c r="E322" s="638">
        <v>2014</v>
      </c>
      <c r="F322" s="583">
        <f>SUM(H325:AL325)</f>
        <v>0</v>
      </c>
      <c r="G322" s="417" t="s">
        <v>122</v>
      </c>
      <c r="H322" s="356"/>
      <c r="I322" s="357"/>
      <c r="J322" s="357"/>
      <c r="K322" s="357"/>
      <c r="L322" s="357"/>
      <c r="M322" s="357"/>
      <c r="N322" s="357"/>
      <c r="O322" s="357"/>
      <c r="P322" s="358"/>
      <c r="Q322" s="358"/>
      <c r="R322" s="358"/>
      <c r="S322" s="358"/>
      <c r="T322" s="358"/>
      <c r="U322" s="358"/>
      <c r="V322" s="358"/>
      <c r="W322" s="358"/>
      <c r="X322" s="358"/>
      <c r="Y322" s="358"/>
      <c r="Z322" s="358"/>
      <c r="AA322" s="358"/>
      <c r="AB322" s="358"/>
      <c r="AC322" s="358"/>
      <c r="AD322" s="358"/>
      <c r="AE322" s="358"/>
      <c r="AF322" s="358"/>
      <c r="AG322" s="358"/>
      <c r="AH322" s="358"/>
      <c r="AI322" s="358"/>
      <c r="AJ322" s="358"/>
      <c r="AK322" s="358"/>
      <c r="AL322" s="358"/>
      <c r="AM322" s="581"/>
    </row>
    <row r="323" spans="1:39" ht="12.75">
      <c r="A323" s="641"/>
      <c r="B323" s="644"/>
      <c r="C323" s="647"/>
      <c r="D323" s="650"/>
      <c r="E323" s="635"/>
      <c r="F323" s="637"/>
      <c r="G323" s="417" t="s">
        <v>123</v>
      </c>
      <c r="H323" s="356"/>
      <c r="I323" s="357"/>
      <c r="J323" s="357"/>
      <c r="K323" s="357"/>
      <c r="L323" s="357"/>
      <c r="M323" s="357"/>
      <c r="N323" s="357"/>
      <c r="O323" s="357"/>
      <c r="P323" s="358"/>
      <c r="Q323" s="358"/>
      <c r="R323" s="358"/>
      <c r="S323" s="358"/>
      <c r="T323" s="358"/>
      <c r="U323" s="358"/>
      <c r="V323" s="358"/>
      <c r="W323" s="358"/>
      <c r="X323" s="358"/>
      <c r="Y323" s="358"/>
      <c r="Z323" s="358"/>
      <c r="AA323" s="358"/>
      <c r="AB323" s="358"/>
      <c r="AC323" s="358"/>
      <c r="AD323" s="358"/>
      <c r="AE323" s="358"/>
      <c r="AF323" s="358"/>
      <c r="AG323" s="358"/>
      <c r="AH323" s="358"/>
      <c r="AI323" s="358"/>
      <c r="AJ323" s="358"/>
      <c r="AK323" s="358"/>
      <c r="AL323" s="358"/>
      <c r="AM323" s="581"/>
    </row>
    <row r="324" spans="1:39" ht="12.75">
      <c r="A324" s="641"/>
      <c r="B324" s="644"/>
      <c r="C324" s="647"/>
      <c r="D324" s="650"/>
      <c r="E324" s="635"/>
      <c r="F324" s="359" t="s">
        <v>121</v>
      </c>
      <c r="G324" s="417" t="s">
        <v>124</v>
      </c>
      <c r="H324" s="360">
        <f aca="true" t="shared" si="78" ref="H324:AL324">H318+H320+H322</f>
        <v>0</v>
      </c>
      <c r="I324" s="361">
        <f t="shared" si="78"/>
        <v>145000</v>
      </c>
      <c r="J324" s="361">
        <f t="shared" si="78"/>
        <v>145000</v>
      </c>
      <c r="K324" s="361">
        <f t="shared" si="78"/>
        <v>145000</v>
      </c>
      <c r="L324" s="361">
        <f t="shared" si="78"/>
        <v>0</v>
      </c>
      <c r="M324" s="361">
        <f t="shared" si="78"/>
        <v>0</v>
      </c>
      <c r="N324" s="361">
        <f t="shared" si="78"/>
        <v>0</v>
      </c>
      <c r="O324" s="361">
        <f t="shared" si="78"/>
        <v>0</v>
      </c>
      <c r="P324" s="361">
        <f t="shared" si="78"/>
        <v>0</v>
      </c>
      <c r="Q324" s="361">
        <f t="shared" si="78"/>
        <v>0</v>
      </c>
      <c r="R324" s="361">
        <f t="shared" si="78"/>
        <v>0</v>
      </c>
      <c r="S324" s="361">
        <f t="shared" si="78"/>
        <v>0</v>
      </c>
      <c r="T324" s="361">
        <f t="shared" si="78"/>
        <v>0</v>
      </c>
      <c r="U324" s="361">
        <f t="shared" si="78"/>
        <v>0</v>
      </c>
      <c r="V324" s="361">
        <f t="shared" si="78"/>
        <v>0</v>
      </c>
      <c r="W324" s="361">
        <f t="shared" si="78"/>
        <v>0</v>
      </c>
      <c r="X324" s="361">
        <f t="shared" si="78"/>
        <v>0</v>
      </c>
      <c r="Y324" s="361">
        <f t="shared" si="78"/>
        <v>0</v>
      </c>
      <c r="Z324" s="361">
        <f t="shared" si="78"/>
        <v>0</v>
      </c>
      <c r="AA324" s="361">
        <f t="shared" si="78"/>
        <v>0</v>
      </c>
      <c r="AB324" s="361">
        <f t="shared" si="78"/>
        <v>0</v>
      </c>
      <c r="AC324" s="361">
        <f t="shared" si="78"/>
        <v>0</v>
      </c>
      <c r="AD324" s="361">
        <f t="shared" si="78"/>
        <v>0</v>
      </c>
      <c r="AE324" s="361">
        <f t="shared" si="78"/>
        <v>0</v>
      </c>
      <c r="AF324" s="361">
        <f t="shared" si="78"/>
        <v>0</v>
      </c>
      <c r="AG324" s="361">
        <f t="shared" si="78"/>
        <v>0</v>
      </c>
      <c r="AH324" s="361">
        <f t="shared" si="78"/>
        <v>0</v>
      </c>
      <c r="AI324" s="361">
        <f t="shared" si="78"/>
        <v>0</v>
      </c>
      <c r="AJ324" s="361">
        <f t="shared" si="78"/>
        <v>0</v>
      </c>
      <c r="AK324" s="361">
        <f t="shared" si="78"/>
        <v>0</v>
      </c>
      <c r="AL324" s="361">
        <f t="shared" si="78"/>
        <v>0</v>
      </c>
      <c r="AM324" s="581"/>
    </row>
    <row r="325" spans="1:39" ht="13.5" thickBot="1">
      <c r="A325" s="642"/>
      <c r="B325" s="645"/>
      <c r="C325" s="648"/>
      <c r="D325" s="651"/>
      <c r="E325" s="639"/>
      <c r="F325" s="363">
        <f>F319+F322</f>
        <v>435000</v>
      </c>
      <c r="G325" s="418" t="s">
        <v>125</v>
      </c>
      <c r="H325" s="365">
        <f aca="true" t="shared" si="79" ref="H325:AL325">H319+H321+H323</f>
        <v>0</v>
      </c>
      <c r="I325" s="366">
        <f t="shared" si="79"/>
        <v>0</v>
      </c>
      <c r="J325" s="366">
        <f t="shared" si="79"/>
        <v>0</v>
      </c>
      <c r="K325" s="366">
        <f t="shared" si="79"/>
        <v>0</v>
      </c>
      <c r="L325" s="366">
        <f t="shared" si="79"/>
        <v>0</v>
      </c>
      <c r="M325" s="366">
        <f t="shared" si="79"/>
        <v>0</v>
      </c>
      <c r="N325" s="366">
        <f t="shared" si="79"/>
        <v>0</v>
      </c>
      <c r="O325" s="366">
        <f t="shared" si="79"/>
        <v>0</v>
      </c>
      <c r="P325" s="366">
        <f t="shared" si="79"/>
        <v>0</v>
      </c>
      <c r="Q325" s="366">
        <f t="shared" si="79"/>
        <v>0</v>
      </c>
      <c r="R325" s="366">
        <f t="shared" si="79"/>
        <v>0</v>
      </c>
      <c r="S325" s="366">
        <f t="shared" si="79"/>
        <v>0</v>
      </c>
      <c r="T325" s="366">
        <f t="shared" si="79"/>
        <v>0</v>
      </c>
      <c r="U325" s="366">
        <f t="shared" si="79"/>
        <v>0</v>
      </c>
      <c r="V325" s="366">
        <f t="shared" si="79"/>
        <v>0</v>
      </c>
      <c r="W325" s="366">
        <f t="shared" si="79"/>
        <v>0</v>
      </c>
      <c r="X325" s="366">
        <f t="shared" si="79"/>
        <v>0</v>
      </c>
      <c r="Y325" s="366">
        <f t="shared" si="79"/>
        <v>0</v>
      </c>
      <c r="Z325" s="366">
        <f t="shared" si="79"/>
        <v>0</v>
      </c>
      <c r="AA325" s="366">
        <f t="shared" si="79"/>
        <v>0</v>
      </c>
      <c r="AB325" s="366">
        <f t="shared" si="79"/>
        <v>0</v>
      </c>
      <c r="AC325" s="366">
        <f t="shared" si="79"/>
        <v>0</v>
      </c>
      <c r="AD325" s="366">
        <f t="shared" si="79"/>
        <v>0</v>
      </c>
      <c r="AE325" s="366">
        <f t="shared" si="79"/>
        <v>0</v>
      </c>
      <c r="AF325" s="366">
        <f t="shared" si="79"/>
        <v>0</v>
      </c>
      <c r="AG325" s="366">
        <f t="shared" si="79"/>
        <v>0</v>
      </c>
      <c r="AH325" s="366">
        <f t="shared" si="79"/>
        <v>0</v>
      </c>
      <c r="AI325" s="366">
        <f t="shared" si="79"/>
        <v>0</v>
      </c>
      <c r="AJ325" s="366">
        <f t="shared" si="79"/>
        <v>0</v>
      </c>
      <c r="AK325" s="366">
        <f t="shared" si="79"/>
        <v>0</v>
      </c>
      <c r="AL325" s="366">
        <f t="shared" si="79"/>
        <v>0</v>
      </c>
      <c r="AM325" s="582"/>
    </row>
    <row r="326" spans="1:39" ht="12.75" customHeight="1">
      <c r="A326" s="640">
        <v>40</v>
      </c>
      <c r="B326" s="643" t="s">
        <v>280</v>
      </c>
      <c r="C326" s="646">
        <v>85311</v>
      </c>
      <c r="D326" s="649" t="s">
        <v>235</v>
      </c>
      <c r="E326" s="634">
        <v>2012</v>
      </c>
      <c r="F326" s="350" t="s">
        <v>113</v>
      </c>
      <c r="G326" s="419" t="s">
        <v>114</v>
      </c>
      <c r="H326" s="352"/>
      <c r="I326" s="369">
        <v>145000</v>
      </c>
      <c r="J326" s="369">
        <v>145000</v>
      </c>
      <c r="K326" s="369">
        <v>145000</v>
      </c>
      <c r="L326" s="369"/>
      <c r="M326" s="369"/>
      <c r="N326" s="369"/>
      <c r="O326" s="369"/>
      <c r="P326" s="370"/>
      <c r="Q326" s="370"/>
      <c r="R326" s="370"/>
      <c r="S326" s="370"/>
      <c r="T326" s="370"/>
      <c r="U326" s="370"/>
      <c r="V326" s="370"/>
      <c r="W326" s="370"/>
      <c r="X326" s="370"/>
      <c r="Y326" s="370"/>
      <c r="Z326" s="370"/>
      <c r="AA326" s="370"/>
      <c r="AB326" s="370"/>
      <c r="AC326" s="370"/>
      <c r="AD326" s="370"/>
      <c r="AE326" s="370"/>
      <c r="AF326" s="370"/>
      <c r="AG326" s="370"/>
      <c r="AH326" s="370"/>
      <c r="AI326" s="370"/>
      <c r="AJ326" s="370"/>
      <c r="AK326" s="370"/>
      <c r="AL326" s="370"/>
      <c r="AM326" s="580">
        <f>SUM(J332:AL333)</f>
        <v>290000</v>
      </c>
    </row>
    <row r="327" spans="1:39" ht="12.75">
      <c r="A327" s="641"/>
      <c r="B327" s="644"/>
      <c r="C327" s="647"/>
      <c r="D327" s="650"/>
      <c r="E327" s="635"/>
      <c r="F327" s="583">
        <f>SUM(H332:AL332)</f>
        <v>435000</v>
      </c>
      <c r="G327" s="417" t="s">
        <v>115</v>
      </c>
      <c r="H327" s="356"/>
      <c r="I327" s="357"/>
      <c r="J327" s="357"/>
      <c r="K327" s="357"/>
      <c r="L327" s="357"/>
      <c r="M327" s="357"/>
      <c r="N327" s="357"/>
      <c r="O327" s="357"/>
      <c r="P327" s="358"/>
      <c r="Q327" s="358"/>
      <c r="R327" s="358"/>
      <c r="S327" s="358"/>
      <c r="T327" s="358"/>
      <c r="U327" s="358"/>
      <c r="V327" s="358"/>
      <c r="W327" s="358"/>
      <c r="X327" s="358"/>
      <c r="Y327" s="358"/>
      <c r="Z327" s="358"/>
      <c r="AA327" s="358"/>
      <c r="AB327" s="358"/>
      <c r="AC327" s="358"/>
      <c r="AD327" s="358"/>
      <c r="AE327" s="358"/>
      <c r="AF327" s="358"/>
      <c r="AG327" s="358"/>
      <c r="AH327" s="358"/>
      <c r="AI327" s="358"/>
      <c r="AJ327" s="358"/>
      <c r="AK327" s="358"/>
      <c r="AL327" s="358"/>
      <c r="AM327" s="581"/>
    </row>
    <row r="328" spans="1:39" ht="12.75">
      <c r="A328" s="641"/>
      <c r="B328" s="644"/>
      <c r="C328" s="647"/>
      <c r="D328" s="650"/>
      <c r="E328" s="635"/>
      <c r="F328" s="637"/>
      <c r="G328" s="417" t="s">
        <v>116</v>
      </c>
      <c r="H328" s="356"/>
      <c r="I328" s="357"/>
      <c r="J328" s="357"/>
      <c r="K328" s="357"/>
      <c r="L328" s="357"/>
      <c r="M328" s="357"/>
      <c r="N328" s="357"/>
      <c r="O328" s="357"/>
      <c r="P328" s="358"/>
      <c r="Q328" s="358"/>
      <c r="R328" s="358"/>
      <c r="S328" s="358"/>
      <c r="T328" s="358"/>
      <c r="U328" s="358"/>
      <c r="V328" s="358"/>
      <c r="W328" s="358"/>
      <c r="X328" s="358"/>
      <c r="Y328" s="358"/>
      <c r="Z328" s="358"/>
      <c r="AA328" s="358"/>
      <c r="AB328" s="358"/>
      <c r="AC328" s="358"/>
      <c r="AD328" s="358"/>
      <c r="AE328" s="358"/>
      <c r="AF328" s="358"/>
      <c r="AG328" s="358"/>
      <c r="AH328" s="358"/>
      <c r="AI328" s="358"/>
      <c r="AJ328" s="358"/>
      <c r="AK328" s="358"/>
      <c r="AL328" s="358"/>
      <c r="AM328" s="581"/>
    </row>
    <row r="329" spans="1:39" ht="12.75">
      <c r="A329" s="641"/>
      <c r="B329" s="644"/>
      <c r="C329" s="647"/>
      <c r="D329" s="650"/>
      <c r="E329" s="636"/>
      <c r="F329" s="359" t="s">
        <v>117</v>
      </c>
      <c r="G329" s="417" t="s">
        <v>118</v>
      </c>
      <c r="H329" s="356"/>
      <c r="I329" s="357"/>
      <c r="J329" s="357"/>
      <c r="K329" s="357"/>
      <c r="L329" s="357"/>
      <c r="M329" s="357"/>
      <c r="N329" s="357"/>
      <c r="O329" s="357"/>
      <c r="P329" s="358"/>
      <c r="Q329" s="358"/>
      <c r="R329" s="358"/>
      <c r="S329" s="358"/>
      <c r="T329" s="358"/>
      <c r="U329" s="358"/>
      <c r="V329" s="358"/>
      <c r="W329" s="358"/>
      <c r="X329" s="358"/>
      <c r="Y329" s="358"/>
      <c r="Z329" s="358"/>
      <c r="AA329" s="358"/>
      <c r="AB329" s="358"/>
      <c r="AC329" s="358"/>
      <c r="AD329" s="358"/>
      <c r="AE329" s="358"/>
      <c r="AF329" s="358"/>
      <c r="AG329" s="358"/>
      <c r="AH329" s="358"/>
      <c r="AI329" s="358"/>
      <c r="AJ329" s="358"/>
      <c r="AK329" s="358"/>
      <c r="AL329" s="358"/>
      <c r="AM329" s="581"/>
    </row>
    <row r="330" spans="1:39" ht="12.75">
      <c r="A330" s="641"/>
      <c r="B330" s="644"/>
      <c r="C330" s="647"/>
      <c r="D330" s="650"/>
      <c r="E330" s="638">
        <v>2014</v>
      </c>
      <c r="F330" s="583">
        <f>SUM(H333:AL333)</f>
        <v>0</v>
      </c>
      <c r="G330" s="417" t="s">
        <v>122</v>
      </c>
      <c r="H330" s="356"/>
      <c r="I330" s="357"/>
      <c r="J330" s="357"/>
      <c r="K330" s="357"/>
      <c r="L330" s="357"/>
      <c r="M330" s="357"/>
      <c r="N330" s="357"/>
      <c r="O330" s="357"/>
      <c r="P330" s="358"/>
      <c r="Q330" s="358"/>
      <c r="R330" s="358"/>
      <c r="S330" s="358"/>
      <c r="T330" s="358"/>
      <c r="U330" s="358"/>
      <c r="V330" s="358"/>
      <c r="W330" s="358"/>
      <c r="X330" s="358"/>
      <c r="Y330" s="358"/>
      <c r="Z330" s="358"/>
      <c r="AA330" s="358"/>
      <c r="AB330" s="358"/>
      <c r="AC330" s="358"/>
      <c r="AD330" s="358"/>
      <c r="AE330" s="358"/>
      <c r="AF330" s="358"/>
      <c r="AG330" s="358"/>
      <c r="AH330" s="358"/>
      <c r="AI330" s="358"/>
      <c r="AJ330" s="358"/>
      <c r="AK330" s="358"/>
      <c r="AL330" s="358"/>
      <c r="AM330" s="581"/>
    </row>
    <row r="331" spans="1:39" ht="12.75">
      <c r="A331" s="641"/>
      <c r="B331" s="644"/>
      <c r="C331" s="647"/>
      <c r="D331" s="650"/>
      <c r="E331" s="635"/>
      <c r="F331" s="637"/>
      <c r="G331" s="417" t="s">
        <v>123</v>
      </c>
      <c r="H331" s="356"/>
      <c r="I331" s="357"/>
      <c r="J331" s="357"/>
      <c r="K331" s="357"/>
      <c r="L331" s="357"/>
      <c r="M331" s="357"/>
      <c r="N331" s="357"/>
      <c r="O331" s="357"/>
      <c r="P331" s="358"/>
      <c r="Q331" s="358"/>
      <c r="R331" s="358"/>
      <c r="S331" s="358"/>
      <c r="T331" s="358"/>
      <c r="U331" s="358"/>
      <c r="V331" s="358"/>
      <c r="W331" s="358"/>
      <c r="X331" s="358"/>
      <c r="Y331" s="358"/>
      <c r="Z331" s="358"/>
      <c r="AA331" s="358"/>
      <c r="AB331" s="358"/>
      <c r="AC331" s="358"/>
      <c r="AD331" s="358"/>
      <c r="AE331" s="358"/>
      <c r="AF331" s="358"/>
      <c r="AG331" s="358"/>
      <c r="AH331" s="358"/>
      <c r="AI331" s="358"/>
      <c r="AJ331" s="358"/>
      <c r="AK331" s="358"/>
      <c r="AL331" s="358"/>
      <c r="AM331" s="581"/>
    </row>
    <row r="332" spans="1:39" ht="12.75">
      <c r="A332" s="641"/>
      <c r="B332" s="644"/>
      <c r="C332" s="647"/>
      <c r="D332" s="650"/>
      <c r="E332" s="635"/>
      <c r="F332" s="359" t="s">
        <v>121</v>
      </c>
      <c r="G332" s="417" t="s">
        <v>124</v>
      </c>
      <c r="H332" s="360">
        <f aca="true" t="shared" si="80" ref="H332:AL332">H326+H328+H330</f>
        <v>0</v>
      </c>
      <c r="I332" s="361">
        <f t="shared" si="80"/>
        <v>145000</v>
      </c>
      <c r="J332" s="361">
        <f t="shared" si="80"/>
        <v>145000</v>
      </c>
      <c r="K332" s="361">
        <f t="shared" si="80"/>
        <v>145000</v>
      </c>
      <c r="L332" s="361">
        <f t="shared" si="80"/>
        <v>0</v>
      </c>
      <c r="M332" s="361">
        <f t="shared" si="80"/>
        <v>0</v>
      </c>
      <c r="N332" s="361">
        <f t="shared" si="80"/>
        <v>0</v>
      </c>
      <c r="O332" s="361">
        <f t="shared" si="80"/>
        <v>0</v>
      </c>
      <c r="P332" s="361">
        <f t="shared" si="80"/>
        <v>0</v>
      </c>
      <c r="Q332" s="361">
        <f t="shared" si="80"/>
        <v>0</v>
      </c>
      <c r="R332" s="361">
        <f t="shared" si="80"/>
        <v>0</v>
      </c>
      <c r="S332" s="361">
        <f t="shared" si="80"/>
        <v>0</v>
      </c>
      <c r="T332" s="361">
        <f t="shared" si="80"/>
        <v>0</v>
      </c>
      <c r="U332" s="361">
        <f t="shared" si="80"/>
        <v>0</v>
      </c>
      <c r="V332" s="361">
        <f t="shared" si="80"/>
        <v>0</v>
      </c>
      <c r="W332" s="361">
        <f t="shared" si="80"/>
        <v>0</v>
      </c>
      <c r="X332" s="361">
        <f t="shared" si="80"/>
        <v>0</v>
      </c>
      <c r="Y332" s="361">
        <f t="shared" si="80"/>
        <v>0</v>
      </c>
      <c r="Z332" s="361">
        <f t="shared" si="80"/>
        <v>0</v>
      </c>
      <c r="AA332" s="361">
        <f t="shared" si="80"/>
        <v>0</v>
      </c>
      <c r="AB332" s="361">
        <f t="shared" si="80"/>
        <v>0</v>
      </c>
      <c r="AC332" s="361">
        <f t="shared" si="80"/>
        <v>0</v>
      </c>
      <c r="AD332" s="361">
        <f t="shared" si="80"/>
        <v>0</v>
      </c>
      <c r="AE332" s="361">
        <f t="shared" si="80"/>
        <v>0</v>
      </c>
      <c r="AF332" s="361">
        <f t="shared" si="80"/>
        <v>0</v>
      </c>
      <c r="AG332" s="361">
        <f t="shared" si="80"/>
        <v>0</v>
      </c>
      <c r="AH332" s="361">
        <f t="shared" si="80"/>
        <v>0</v>
      </c>
      <c r="AI332" s="361">
        <f t="shared" si="80"/>
        <v>0</v>
      </c>
      <c r="AJ332" s="361">
        <f t="shared" si="80"/>
        <v>0</v>
      </c>
      <c r="AK332" s="361">
        <f t="shared" si="80"/>
        <v>0</v>
      </c>
      <c r="AL332" s="361">
        <f t="shared" si="80"/>
        <v>0</v>
      </c>
      <c r="AM332" s="581"/>
    </row>
    <row r="333" spans="1:39" ht="13.5" thickBot="1">
      <c r="A333" s="642"/>
      <c r="B333" s="645"/>
      <c r="C333" s="648"/>
      <c r="D333" s="651"/>
      <c r="E333" s="639"/>
      <c r="F333" s="363">
        <f>F327+F330</f>
        <v>435000</v>
      </c>
      <c r="G333" s="418" t="s">
        <v>125</v>
      </c>
      <c r="H333" s="365">
        <f aca="true" t="shared" si="81" ref="H333:AL333">H327+H329+H331</f>
        <v>0</v>
      </c>
      <c r="I333" s="366">
        <f t="shared" si="81"/>
        <v>0</v>
      </c>
      <c r="J333" s="366">
        <f t="shared" si="81"/>
        <v>0</v>
      </c>
      <c r="K333" s="366">
        <f t="shared" si="81"/>
        <v>0</v>
      </c>
      <c r="L333" s="366">
        <f t="shared" si="81"/>
        <v>0</v>
      </c>
      <c r="M333" s="366">
        <f t="shared" si="81"/>
        <v>0</v>
      </c>
      <c r="N333" s="371">
        <f t="shared" si="81"/>
        <v>0</v>
      </c>
      <c r="O333" s="371">
        <f t="shared" si="81"/>
        <v>0</v>
      </c>
      <c r="P333" s="371">
        <f t="shared" si="81"/>
        <v>0</v>
      </c>
      <c r="Q333" s="371">
        <f t="shared" si="81"/>
        <v>0</v>
      </c>
      <c r="R333" s="371">
        <f t="shared" si="81"/>
        <v>0</v>
      </c>
      <c r="S333" s="371">
        <f t="shared" si="81"/>
        <v>0</v>
      </c>
      <c r="T333" s="371">
        <f t="shared" si="81"/>
        <v>0</v>
      </c>
      <c r="U333" s="371">
        <f t="shared" si="81"/>
        <v>0</v>
      </c>
      <c r="V333" s="371">
        <f t="shared" si="81"/>
        <v>0</v>
      </c>
      <c r="W333" s="371">
        <f t="shared" si="81"/>
        <v>0</v>
      </c>
      <c r="X333" s="371">
        <f t="shared" si="81"/>
        <v>0</v>
      </c>
      <c r="Y333" s="371">
        <f t="shared" si="81"/>
        <v>0</v>
      </c>
      <c r="Z333" s="371">
        <f t="shared" si="81"/>
        <v>0</v>
      </c>
      <c r="AA333" s="371">
        <f t="shared" si="81"/>
        <v>0</v>
      </c>
      <c r="AB333" s="371">
        <f t="shared" si="81"/>
        <v>0</v>
      </c>
      <c r="AC333" s="371">
        <f t="shared" si="81"/>
        <v>0</v>
      </c>
      <c r="AD333" s="371">
        <f t="shared" si="81"/>
        <v>0</v>
      </c>
      <c r="AE333" s="371">
        <f t="shared" si="81"/>
        <v>0</v>
      </c>
      <c r="AF333" s="371">
        <f t="shared" si="81"/>
        <v>0</v>
      </c>
      <c r="AG333" s="371">
        <f t="shared" si="81"/>
        <v>0</v>
      </c>
      <c r="AH333" s="371">
        <f t="shared" si="81"/>
        <v>0</v>
      </c>
      <c r="AI333" s="371">
        <f t="shared" si="81"/>
        <v>0</v>
      </c>
      <c r="AJ333" s="371">
        <f t="shared" si="81"/>
        <v>0</v>
      </c>
      <c r="AK333" s="371">
        <f t="shared" si="81"/>
        <v>0</v>
      </c>
      <c r="AL333" s="371">
        <f t="shared" si="81"/>
        <v>0</v>
      </c>
      <c r="AM333" s="582"/>
    </row>
    <row r="334" spans="1:39" ht="12.75" customHeight="1">
      <c r="A334" s="640">
        <v>41</v>
      </c>
      <c r="B334" s="643" t="s">
        <v>281</v>
      </c>
      <c r="C334" s="646">
        <v>90019</v>
      </c>
      <c r="D334" s="649" t="s">
        <v>235</v>
      </c>
      <c r="E334" s="634">
        <v>2012</v>
      </c>
      <c r="F334" s="350" t="s">
        <v>113</v>
      </c>
      <c r="G334" s="419" t="s">
        <v>114</v>
      </c>
      <c r="H334" s="352"/>
      <c r="I334" s="369">
        <f>100000+18496</f>
        <v>118496</v>
      </c>
      <c r="J334" s="369">
        <f>269000+7000</f>
        <v>276000</v>
      </c>
      <c r="K334" s="369"/>
      <c r="L334" s="369"/>
      <c r="M334" s="369"/>
      <c r="N334" s="369"/>
      <c r="O334" s="369"/>
      <c r="P334" s="370"/>
      <c r="Q334" s="370"/>
      <c r="R334" s="370"/>
      <c r="S334" s="370"/>
      <c r="T334" s="370"/>
      <c r="U334" s="370"/>
      <c r="V334" s="370"/>
      <c r="W334" s="370"/>
      <c r="X334" s="370"/>
      <c r="Y334" s="370"/>
      <c r="Z334" s="370"/>
      <c r="AA334" s="370"/>
      <c r="AB334" s="370"/>
      <c r="AC334" s="370"/>
      <c r="AD334" s="370"/>
      <c r="AE334" s="370"/>
      <c r="AF334" s="370"/>
      <c r="AG334" s="370"/>
      <c r="AH334" s="370"/>
      <c r="AI334" s="370"/>
      <c r="AJ334" s="370"/>
      <c r="AK334" s="370"/>
      <c r="AL334" s="370"/>
      <c r="AM334" s="580">
        <f>SUM(J340:AL341)</f>
        <v>276000</v>
      </c>
    </row>
    <row r="335" spans="1:39" ht="12.75">
      <c r="A335" s="641"/>
      <c r="B335" s="644"/>
      <c r="C335" s="647"/>
      <c r="D335" s="650"/>
      <c r="E335" s="635"/>
      <c r="F335" s="583">
        <f>SUM(H340:AL340)</f>
        <v>394496</v>
      </c>
      <c r="G335" s="417" t="s">
        <v>115</v>
      </c>
      <c r="H335" s="356"/>
      <c r="I335" s="357"/>
      <c r="J335" s="357"/>
      <c r="K335" s="357"/>
      <c r="L335" s="357"/>
      <c r="M335" s="357"/>
      <c r="N335" s="357"/>
      <c r="O335" s="357"/>
      <c r="P335" s="358"/>
      <c r="Q335" s="358"/>
      <c r="R335" s="358"/>
      <c r="S335" s="358"/>
      <c r="T335" s="358"/>
      <c r="U335" s="358"/>
      <c r="V335" s="358"/>
      <c r="W335" s="358"/>
      <c r="X335" s="358"/>
      <c r="Y335" s="358"/>
      <c r="Z335" s="358"/>
      <c r="AA335" s="358"/>
      <c r="AB335" s="358"/>
      <c r="AC335" s="358"/>
      <c r="AD335" s="358"/>
      <c r="AE335" s="358"/>
      <c r="AF335" s="358"/>
      <c r="AG335" s="358"/>
      <c r="AH335" s="358"/>
      <c r="AI335" s="358"/>
      <c r="AJ335" s="358"/>
      <c r="AK335" s="358"/>
      <c r="AL335" s="358"/>
      <c r="AM335" s="581"/>
    </row>
    <row r="336" spans="1:39" ht="12.75">
      <c r="A336" s="641"/>
      <c r="B336" s="644"/>
      <c r="C336" s="647"/>
      <c r="D336" s="650"/>
      <c r="E336" s="635"/>
      <c r="F336" s="637"/>
      <c r="G336" s="417" t="s">
        <v>116</v>
      </c>
      <c r="H336" s="356"/>
      <c r="I336" s="357"/>
      <c r="J336" s="357"/>
      <c r="K336" s="357"/>
      <c r="L336" s="357"/>
      <c r="M336" s="357"/>
      <c r="N336" s="357"/>
      <c r="O336" s="357"/>
      <c r="P336" s="358"/>
      <c r="Q336" s="358"/>
      <c r="R336" s="358"/>
      <c r="S336" s="358"/>
      <c r="T336" s="358"/>
      <c r="U336" s="358"/>
      <c r="V336" s="358"/>
      <c r="W336" s="358"/>
      <c r="X336" s="358"/>
      <c r="Y336" s="358"/>
      <c r="Z336" s="358"/>
      <c r="AA336" s="358"/>
      <c r="AB336" s="358"/>
      <c r="AC336" s="358"/>
      <c r="AD336" s="358"/>
      <c r="AE336" s="358"/>
      <c r="AF336" s="358"/>
      <c r="AG336" s="358"/>
      <c r="AH336" s="358"/>
      <c r="AI336" s="358"/>
      <c r="AJ336" s="358"/>
      <c r="AK336" s="358"/>
      <c r="AL336" s="358"/>
      <c r="AM336" s="581"/>
    </row>
    <row r="337" spans="1:39" ht="12.75">
      <c r="A337" s="641"/>
      <c r="B337" s="644"/>
      <c r="C337" s="647"/>
      <c r="D337" s="650"/>
      <c r="E337" s="636"/>
      <c r="F337" s="359" t="s">
        <v>117</v>
      </c>
      <c r="G337" s="417" t="s">
        <v>118</v>
      </c>
      <c r="H337" s="356"/>
      <c r="I337" s="357"/>
      <c r="J337" s="357"/>
      <c r="K337" s="357"/>
      <c r="L337" s="357"/>
      <c r="M337" s="357"/>
      <c r="N337" s="357"/>
      <c r="O337" s="357"/>
      <c r="P337" s="358"/>
      <c r="Q337" s="358"/>
      <c r="R337" s="358"/>
      <c r="S337" s="358"/>
      <c r="T337" s="358"/>
      <c r="U337" s="358"/>
      <c r="V337" s="358"/>
      <c r="W337" s="358"/>
      <c r="X337" s="358"/>
      <c r="Y337" s="358"/>
      <c r="Z337" s="358"/>
      <c r="AA337" s="358"/>
      <c r="AB337" s="358"/>
      <c r="AC337" s="358"/>
      <c r="AD337" s="358"/>
      <c r="AE337" s="358"/>
      <c r="AF337" s="358"/>
      <c r="AG337" s="358"/>
      <c r="AH337" s="358"/>
      <c r="AI337" s="358"/>
      <c r="AJ337" s="358"/>
      <c r="AK337" s="358"/>
      <c r="AL337" s="358"/>
      <c r="AM337" s="581"/>
    </row>
    <row r="338" spans="1:39" ht="12.75">
      <c r="A338" s="641"/>
      <c r="B338" s="644"/>
      <c r="C338" s="647"/>
      <c r="D338" s="650"/>
      <c r="E338" s="638">
        <v>2013</v>
      </c>
      <c r="F338" s="583">
        <f>SUM(H341:AL341)</f>
        <v>0</v>
      </c>
      <c r="G338" s="417" t="s">
        <v>122</v>
      </c>
      <c r="H338" s="356"/>
      <c r="I338" s="357"/>
      <c r="J338" s="357"/>
      <c r="K338" s="357"/>
      <c r="L338" s="357"/>
      <c r="M338" s="357"/>
      <c r="N338" s="357"/>
      <c r="O338" s="357"/>
      <c r="P338" s="358"/>
      <c r="Q338" s="358"/>
      <c r="R338" s="358"/>
      <c r="S338" s="358"/>
      <c r="T338" s="358"/>
      <c r="U338" s="358"/>
      <c r="V338" s="358"/>
      <c r="W338" s="358"/>
      <c r="X338" s="358"/>
      <c r="Y338" s="358"/>
      <c r="Z338" s="358"/>
      <c r="AA338" s="358"/>
      <c r="AB338" s="358"/>
      <c r="AC338" s="358"/>
      <c r="AD338" s="358"/>
      <c r="AE338" s="358"/>
      <c r="AF338" s="358"/>
      <c r="AG338" s="358"/>
      <c r="AH338" s="358"/>
      <c r="AI338" s="358"/>
      <c r="AJ338" s="358"/>
      <c r="AK338" s="358"/>
      <c r="AL338" s="358"/>
      <c r="AM338" s="581"/>
    </row>
    <row r="339" spans="1:39" ht="12.75">
      <c r="A339" s="641"/>
      <c r="B339" s="644"/>
      <c r="C339" s="647"/>
      <c r="D339" s="650"/>
      <c r="E339" s="635"/>
      <c r="F339" s="637"/>
      <c r="G339" s="417" t="s">
        <v>123</v>
      </c>
      <c r="H339" s="356"/>
      <c r="I339" s="357"/>
      <c r="J339" s="357"/>
      <c r="K339" s="357"/>
      <c r="L339" s="357"/>
      <c r="M339" s="357"/>
      <c r="N339" s="357"/>
      <c r="O339" s="357"/>
      <c r="P339" s="358"/>
      <c r="Q339" s="358"/>
      <c r="R339" s="358"/>
      <c r="S339" s="358"/>
      <c r="T339" s="358"/>
      <c r="U339" s="358"/>
      <c r="V339" s="358"/>
      <c r="W339" s="358"/>
      <c r="X339" s="358"/>
      <c r="Y339" s="358"/>
      <c r="Z339" s="358"/>
      <c r="AA339" s="358"/>
      <c r="AB339" s="358"/>
      <c r="AC339" s="358"/>
      <c r="AD339" s="358"/>
      <c r="AE339" s="358"/>
      <c r="AF339" s="358"/>
      <c r="AG339" s="358"/>
      <c r="AH339" s="358"/>
      <c r="AI339" s="358"/>
      <c r="AJ339" s="358"/>
      <c r="AK339" s="358"/>
      <c r="AL339" s="358"/>
      <c r="AM339" s="581"/>
    </row>
    <row r="340" spans="1:39" ht="12.75">
      <c r="A340" s="641"/>
      <c r="B340" s="644"/>
      <c r="C340" s="647"/>
      <c r="D340" s="650"/>
      <c r="E340" s="635"/>
      <c r="F340" s="359" t="s">
        <v>121</v>
      </c>
      <c r="G340" s="417" t="s">
        <v>124</v>
      </c>
      <c r="H340" s="360">
        <f aca="true" t="shared" si="82" ref="H340:AL340">H334+H336+H338</f>
        <v>0</v>
      </c>
      <c r="I340" s="361">
        <f t="shared" si="82"/>
        <v>118496</v>
      </c>
      <c r="J340" s="361">
        <f t="shared" si="82"/>
        <v>276000</v>
      </c>
      <c r="K340" s="361">
        <f t="shared" si="82"/>
        <v>0</v>
      </c>
      <c r="L340" s="361">
        <f t="shared" si="82"/>
        <v>0</v>
      </c>
      <c r="M340" s="361">
        <f t="shared" si="82"/>
        <v>0</v>
      </c>
      <c r="N340" s="361">
        <f t="shared" si="82"/>
        <v>0</v>
      </c>
      <c r="O340" s="361">
        <f t="shared" si="82"/>
        <v>0</v>
      </c>
      <c r="P340" s="361">
        <f t="shared" si="82"/>
        <v>0</v>
      </c>
      <c r="Q340" s="361">
        <f t="shared" si="82"/>
        <v>0</v>
      </c>
      <c r="R340" s="361">
        <f t="shared" si="82"/>
        <v>0</v>
      </c>
      <c r="S340" s="361">
        <f t="shared" si="82"/>
        <v>0</v>
      </c>
      <c r="T340" s="361">
        <f t="shared" si="82"/>
        <v>0</v>
      </c>
      <c r="U340" s="361">
        <f t="shared" si="82"/>
        <v>0</v>
      </c>
      <c r="V340" s="361">
        <f t="shared" si="82"/>
        <v>0</v>
      </c>
      <c r="W340" s="361">
        <f t="shared" si="82"/>
        <v>0</v>
      </c>
      <c r="X340" s="361">
        <f t="shared" si="82"/>
        <v>0</v>
      </c>
      <c r="Y340" s="361">
        <f t="shared" si="82"/>
        <v>0</v>
      </c>
      <c r="Z340" s="361">
        <f t="shared" si="82"/>
        <v>0</v>
      </c>
      <c r="AA340" s="361">
        <f t="shared" si="82"/>
        <v>0</v>
      </c>
      <c r="AB340" s="361">
        <f t="shared" si="82"/>
        <v>0</v>
      </c>
      <c r="AC340" s="361">
        <f t="shared" si="82"/>
        <v>0</v>
      </c>
      <c r="AD340" s="361">
        <f t="shared" si="82"/>
        <v>0</v>
      </c>
      <c r="AE340" s="361">
        <f t="shared" si="82"/>
        <v>0</v>
      </c>
      <c r="AF340" s="361">
        <f t="shared" si="82"/>
        <v>0</v>
      </c>
      <c r="AG340" s="361">
        <f t="shared" si="82"/>
        <v>0</v>
      </c>
      <c r="AH340" s="361">
        <f t="shared" si="82"/>
        <v>0</v>
      </c>
      <c r="AI340" s="361">
        <f t="shared" si="82"/>
        <v>0</v>
      </c>
      <c r="AJ340" s="361">
        <f t="shared" si="82"/>
        <v>0</v>
      </c>
      <c r="AK340" s="361">
        <f t="shared" si="82"/>
        <v>0</v>
      </c>
      <c r="AL340" s="361">
        <f t="shared" si="82"/>
        <v>0</v>
      </c>
      <c r="AM340" s="581"/>
    </row>
    <row r="341" spans="1:39" ht="13.5" thickBot="1">
      <c r="A341" s="642"/>
      <c r="B341" s="645"/>
      <c r="C341" s="648"/>
      <c r="D341" s="651"/>
      <c r="E341" s="639"/>
      <c r="F341" s="363">
        <f>F335+F338</f>
        <v>394496</v>
      </c>
      <c r="G341" s="418" t="s">
        <v>125</v>
      </c>
      <c r="H341" s="365">
        <f aca="true" t="shared" si="83" ref="H341:AL341">H335+H337+H339</f>
        <v>0</v>
      </c>
      <c r="I341" s="366">
        <f t="shared" si="83"/>
        <v>0</v>
      </c>
      <c r="J341" s="366">
        <f t="shared" si="83"/>
        <v>0</v>
      </c>
      <c r="K341" s="366">
        <f t="shared" si="83"/>
        <v>0</v>
      </c>
      <c r="L341" s="366">
        <f t="shared" si="83"/>
        <v>0</v>
      </c>
      <c r="M341" s="366">
        <f t="shared" si="83"/>
        <v>0</v>
      </c>
      <c r="N341" s="371">
        <f t="shared" si="83"/>
        <v>0</v>
      </c>
      <c r="O341" s="371">
        <f t="shared" si="83"/>
        <v>0</v>
      </c>
      <c r="P341" s="371">
        <f t="shared" si="83"/>
        <v>0</v>
      </c>
      <c r="Q341" s="371">
        <f t="shared" si="83"/>
        <v>0</v>
      </c>
      <c r="R341" s="371">
        <f t="shared" si="83"/>
        <v>0</v>
      </c>
      <c r="S341" s="371">
        <f t="shared" si="83"/>
        <v>0</v>
      </c>
      <c r="T341" s="371">
        <f t="shared" si="83"/>
        <v>0</v>
      </c>
      <c r="U341" s="371">
        <f t="shared" si="83"/>
        <v>0</v>
      </c>
      <c r="V341" s="371">
        <f t="shared" si="83"/>
        <v>0</v>
      </c>
      <c r="W341" s="371">
        <f t="shared" si="83"/>
        <v>0</v>
      </c>
      <c r="X341" s="371">
        <f t="shared" si="83"/>
        <v>0</v>
      </c>
      <c r="Y341" s="371">
        <f t="shared" si="83"/>
        <v>0</v>
      </c>
      <c r="Z341" s="371">
        <f t="shared" si="83"/>
        <v>0</v>
      </c>
      <c r="AA341" s="371">
        <f t="shared" si="83"/>
        <v>0</v>
      </c>
      <c r="AB341" s="371">
        <f t="shared" si="83"/>
        <v>0</v>
      </c>
      <c r="AC341" s="371">
        <f t="shared" si="83"/>
        <v>0</v>
      </c>
      <c r="AD341" s="371">
        <f t="shared" si="83"/>
        <v>0</v>
      </c>
      <c r="AE341" s="371">
        <f t="shared" si="83"/>
        <v>0</v>
      </c>
      <c r="AF341" s="371">
        <f t="shared" si="83"/>
        <v>0</v>
      </c>
      <c r="AG341" s="371">
        <f t="shared" si="83"/>
        <v>0</v>
      </c>
      <c r="AH341" s="371">
        <f t="shared" si="83"/>
        <v>0</v>
      </c>
      <c r="AI341" s="371">
        <f t="shared" si="83"/>
        <v>0</v>
      </c>
      <c r="AJ341" s="371">
        <f t="shared" si="83"/>
        <v>0</v>
      </c>
      <c r="AK341" s="371">
        <f t="shared" si="83"/>
        <v>0</v>
      </c>
      <c r="AL341" s="371">
        <f t="shared" si="83"/>
        <v>0</v>
      </c>
      <c r="AM341" s="582"/>
    </row>
    <row r="342" spans="1:39" ht="12.75" customHeight="1">
      <c r="A342" s="640">
        <v>42</v>
      </c>
      <c r="B342" s="643" t="s">
        <v>282</v>
      </c>
      <c r="C342" s="646">
        <v>71095</v>
      </c>
      <c r="D342" s="649" t="s">
        <v>283</v>
      </c>
      <c r="E342" s="634">
        <v>2011</v>
      </c>
      <c r="F342" s="350" t="s">
        <v>113</v>
      </c>
      <c r="G342" s="416" t="s">
        <v>114</v>
      </c>
      <c r="H342" s="352">
        <v>13000</v>
      </c>
      <c r="I342" s="353">
        <v>8800</v>
      </c>
      <c r="J342" s="353">
        <v>10400</v>
      </c>
      <c r="K342" s="353"/>
      <c r="L342" s="353"/>
      <c r="M342" s="353"/>
      <c r="N342" s="353"/>
      <c r="O342" s="353"/>
      <c r="P342" s="354"/>
      <c r="Q342" s="354"/>
      <c r="R342" s="354"/>
      <c r="S342" s="354"/>
      <c r="T342" s="354"/>
      <c r="U342" s="354"/>
      <c r="V342" s="354"/>
      <c r="W342" s="354"/>
      <c r="X342" s="354"/>
      <c r="Y342" s="354"/>
      <c r="Z342" s="354"/>
      <c r="AA342" s="354"/>
      <c r="AB342" s="354"/>
      <c r="AC342" s="354"/>
      <c r="AD342" s="354"/>
      <c r="AE342" s="354"/>
      <c r="AF342" s="354"/>
      <c r="AG342" s="354"/>
      <c r="AH342" s="354"/>
      <c r="AI342" s="354"/>
      <c r="AJ342" s="354"/>
      <c r="AK342" s="354"/>
      <c r="AL342" s="354"/>
      <c r="AM342" s="580">
        <f>SUM(J348:AL349)</f>
        <v>25400</v>
      </c>
    </row>
    <row r="343" spans="1:39" ht="12.75">
      <c r="A343" s="641"/>
      <c r="B343" s="644"/>
      <c r="C343" s="647"/>
      <c r="D343" s="650"/>
      <c r="E343" s="635"/>
      <c r="F343" s="583">
        <f>SUM(H348:AL348)</f>
        <v>132200</v>
      </c>
      <c r="G343" s="417" t="s">
        <v>115</v>
      </c>
      <c r="H343" s="356"/>
      <c r="I343" s="357"/>
      <c r="J343" s="357"/>
      <c r="K343" s="357"/>
      <c r="L343" s="357"/>
      <c r="M343" s="357"/>
      <c r="N343" s="357"/>
      <c r="O343" s="357"/>
      <c r="P343" s="358"/>
      <c r="Q343" s="358"/>
      <c r="R343" s="358"/>
      <c r="S343" s="358"/>
      <c r="T343" s="358"/>
      <c r="U343" s="358"/>
      <c r="V343" s="358"/>
      <c r="W343" s="358"/>
      <c r="X343" s="358"/>
      <c r="Y343" s="358"/>
      <c r="Z343" s="358"/>
      <c r="AA343" s="358"/>
      <c r="AB343" s="358"/>
      <c r="AC343" s="358"/>
      <c r="AD343" s="358"/>
      <c r="AE343" s="358"/>
      <c r="AF343" s="358"/>
      <c r="AG343" s="358"/>
      <c r="AH343" s="358"/>
      <c r="AI343" s="358"/>
      <c r="AJ343" s="358"/>
      <c r="AK343" s="358"/>
      <c r="AL343" s="358"/>
      <c r="AM343" s="581"/>
    </row>
    <row r="344" spans="1:39" ht="12.75">
      <c r="A344" s="641"/>
      <c r="B344" s="644"/>
      <c r="C344" s="647"/>
      <c r="D344" s="650"/>
      <c r="E344" s="635"/>
      <c r="F344" s="637"/>
      <c r="G344" s="417" t="s">
        <v>116</v>
      </c>
      <c r="H344" s="356"/>
      <c r="I344" s="357"/>
      <c r="J344" s="357"/>
      <c r="K344" s="357"/>
      <c r="L344" s="357"/>
      <c r="M344" s="357"/>
      <c r="N344" s="357"/>
      <c r="O344" s="357"/>
      <c r="P344" s="358"/>
      <c r="Q344" s="358"/>
      <c r="R344" s="358"/>
      <c r="S344" s="358"/>
      <c r="T344" s="358"/>
      <c r="U344" s="358"/>
      <c r="V344" s="358"/>
      <c r="W344" s="358"/>
      <c r="X344" s="358"/>
      <c r="Y344" s="358"/>
      <c r="Z344" s="358"/>
      <c r="AA344" s="358"/>
      <c r="AB344" s="358"/>
      <c r="AC344" s="358"/>
      <c r="AD344" s="358"/>
      <c r="AE344" s="358"/>
      <c r="AF344" s="358"/>
      <c r="AG344" s="358"/>
      <c r="AH344" s="358"/>
      <c r="AI344" s="358"/>
      <c r="AJ344" s="358"/>
      <c r="AK344" s="358"/>
      <c r="AL344" s="358"/>
      <c r="AM344" s="581"/>
    </row>
    <row r="345" spans="1:39" ht="12.75">
      <c r="A345" s="641"/>
      <c r="B345" s="644"/>
      <c r="C345" s="647"/>
      <c r="D345" s="650"/>
      <c r="E345" s="636"/>
      <c r="F345" s="359" t="s">
        <v>117</v>
      </c>
      <c r="G345" s="417" t="s">
        <v>118</v>
      </c>
      <c r="H345" s="356"/>
      <c r="I345" s="357"/>
      <c r="J345" s="357"/>
      <c r="K345" s="357"/>
      <c r="L345" s="357"/>
      <c r="M345" s="357"/>
      <c r="N345" s="357"/>
      <c r="O345" s="357"/>
      <c r="P345" s="358"/>
      <c r="Q345" s="358"/>
      <c r="R345" s="358"/>
      <c r="S345" s="358"/>
      <c r="T345" s="358"/>
      <c r="U345" s="358"/>
      <c r="V345" s="358"/>
      <c r="W345" s="358"/>
      <c r="X345" s="358"/>
      <c r="Y345" s="358"/>
      <c r="Z345" s="358"/>
      <c r="AA345" s="358"/>
      <c r="AB345" s="358"/>
      <c r="AC345" s="358"/>
      <c r="AD345" s="358"/>
      <c r="AE345" s="358"/>
      <c r="AF345" s="358"/>
      <c r="AG345" s="358"/>
      <c r="AH345" s="358"/>
      <c r="AI345" s="358"/>
      <c r="AJ345" s="358"/>
      <c r="AK345" s="358"/>
      <c r="AL345" s="358"/>
      <c r="AM345" s="581"/>
    </row>
    <row r="346" spans="1:39" ht="12.75">
      <c r="A346" s="641"/>
      <c r="B346" s="644"/>
      <c r="C346" s="647"/>
      <c r="D346" s="650"/>
      <c r="E346" s="638">
        <v>2013</v>
      </c>
      <c r="F346" s="583">
        <f>SUM(H349:AL349)</f>
        <v>0</v>
      </c>
      <c r="G346" s="417" t="s">
        <v>122</v>
      </c>
      <c r="H346" s="356">
        <v>33000</v>
      </c>
      <c r="I346" s="357">
        <v>52000</v>
      </c>
      <c r="J346" s="357">
        <v>15000</v>
      </c>
      <c r="K346" s="357"/>
      <c r="L346" s="357"/>
      <c r="M346" s="357"/>
      <c r="N346" s="357"/>
      <c r="O346" s="357"/>
      <c r="P346" s="358"/>
      <c r="Q346" s="358"/>
      <c r="R346" s="358"/>
      <c r="S346" s="358"/>
      <c r="T346" s="358"/>
      <c r="U346" s="358"/>
      <c r="V346" s="358"/>
      <c r="W346" s="358"/>
      <c r="X346" s="358"/>
      <c r="Y346" s="358"/>
      <c r="Z346" s="358"/>
      <c r="AA346" s="358"/>
      <c r="AB346" s="358"/>
      <c r="AC346" s="358"/>
      <c r="AD346" s="358"/>
      <c r="AE346" s="358"/>
      <c r="AF346" s="358"/>
      <c r="AG346" s="358"/>
      <c r="AH346" s="358"/>
      <c r="AI346" s="358"/>
      <c r="AJ346" s="358"/>
      <c r="AK346" s="358"/>
      <c r="AL346" s="358"/>
      <c r="AM346" s="581"/>
    </row>
    <row r="347" spans="1:39" ht="12.75">
      <c r="A347" s="641"/>
      <c r="B347" s="644"/>
      <c r="C347" s="647"/>
      <c r="D347" s="650"/>
      <c r="E347" s="635"/>
      <c r="F347" s="637"/>
      <c r="G347" s="417" t="s">
        <v>123</v>
      </c>
      <c r="H347" s="356"/>
      <c r="I347" s="357"/>
      <c r="J347" s="357"/>
      <c r="K347" s="357"/>
      <c r="L347" s="357"/>
      <c r="M347" s="357"/>
      <c r="N347" s="357"/>
      <c r="O347" s="357"/>
      <c r="P347" s="358"/>
      <c r="Q347" s="358"/>
      <c r="R347" s="358"/>
      <c r="S347" s="358"/>
      <c r="T347" s="358"/>
      <c r="U347" s="358"/>
      <c r="V347" s="358"/>
      <c r="W347" s="358"/>
      <c r="X347" s="358"/>
      <c r="Y347" s="358"/>
      <c r="Z347" s="358"/>
      <c r="AA347" s="358"/>
      <c r="AB347" s="358"/>
      <c r="AC347" s="358"/>
      <c r="AD347" s="358"/>
      <c r="AE347" s="358"/>
      <c r="AF347" s="358"/>
      <c r="AG347" s="358"/>
      <c r="AH347" s="358"/>
      <c r="AI347" s="358"/>
      <c r="AJ347" s="358"/>
      <c r="AK347" s="358"/>
      <c r="AL347" s="358"/>
      <c r="AM347" s="581"/>
    </row>
    <row r="348" spans="1:39" ht="12.75">
      <c r="A348" s="641"/>
      <c r="B348" s="644"/>
      <c r="C348" s="647"/>
      <c r="D348" s="650"/>
      <c r="E348" s="635"/>
      <c r="F348" s="359" t="s">
        <v>121</v>
      </c>
      <c r="G348" s="417" t="s">
        <v>124</v>
      </c>
      <c r="H348" s="360">
        <f aca="true" t="shared" si="84" ref="H348:AL348">H342+H344+H346</f>
        <v>46000</v>
      </c>
      <c r="I348" s="361">
        <f t="shared" si="84"/>
        <v>60800</v>
      </c>
      <c r="J348" s="361">
        <f t="shared" si="84"/>
        <v>25400</v>
      </c>
      <c r="K348" s="361">
        <f t="shared" si="84"/>
        <v>0</v>
      </c>
      <c r="L348" s="361">
        <f t="shared" si="84"/>
        <v>0</v>
      </c>
      <c r="M348" s="361">
        <f t="shared" si="84"/>
        <v>0</v>
      </c>
      <c r="N348" s="361">
        <f t="shared" si="84"/>
        <v>0</v>
      </c>
      <c r="O348" s="361">
        <f t="shared" si="84"/>
        <v>0</v>
      </c>
      <c r="P348" s="361">
        <f t="shared" si="84"/>
        <v>0</v>
      </c>
      <c r="Q348" s="361">
        <f t="shared" si="84"/>
        <v>0</v>
      </c>
      <c r="R348" s="361">
        <f t="shared" si="84"/>
        <v>0</v>
      </c>
      <c r="S348" s="361">
        <f t="shared" si="84"/>
        <v>0</v>
      </c>
      <c r="T348" s="361">
        <f t="shared" si="84"/>
        <v>0</v>
      </c>
      <c r="U348" s="361">
        <f t="shared" si="84"/>
        <v>0</v>
      </c>
      <c r="V348" s="361">
        <f t="shared" si="84"/>
        <v>0</v>
      </c>
      <c r="W348" s="361">
        <f t="shared" si="84"/>
        <v>0</v>
      </c>
      <c r="X348" s="361">
        <f t="shared" si="84"/>
        <v>0</v>
      </c>
      <c r="Y348" s="361">
        <f t="shared" si="84"/>
        <v>0</v>
      </c>
      <c r="Z348" s="361">
        <f t="shared" si="84"/>
        <v>0</v>
      </c>
      <c r="AA348" s="361">
        <f t="shared" si="84"/>
        <v>0</v>
      </c>
      <c r="AB348" s="361">
        <f t="shared" si="84"/>
        <v>0</v>
      </c>
      <c r="AC348" s="361">
        <f t="shared" si="84"/>
        <v>0</v>
      </c>
      <c r="AD348" s="361">
        <f t="shared" si="84"/>
        <v>0</v>
      </c>
      <c r="AE348" s="361">
        <f t="shared" si="84"/>
        <v>0</v>
      </c>
      <c r="AF348" s="361">
        <f t="shared" si="84"/>
        <v>0</v>
      </c>
      <c r="AG348" s="361">
        <f t="shared" si="84"/>
        <v>0</v>
      </c>
      <c r="AH348" s="361">
        <f t="shared" si="84"/>
        <v>0</v>
      </c>
      <c r="AI348" s="361">
        <f t="shared" si="84"/>
        <v>0</v>
      </c>
      <c r="AJ348" s="361">
        <f t="shared" si="84"/>
        <v>0</v>
      </c>
      <c r="AK348" s="361">
        <f t="shared" si="84"/>
        <v>0</v>
      </c>
      <c r="AL348" s="361">
        <f t="shared" si="84"/>
        <v>0</v>
      </c>
      <c r="AM348" s="581"/>
    </row>
    <row r="349" spans="1:39" ht="13.5" thickBot="1">
      <c r="A349" s="642"/>
      <c r="B349" s="645"/>
      <c r="C349" s="648"/>
      <c r="D349" s="651"/>
      <c r="E349" s="639"/>
      <c r="F349" s="363">
        <f>F343+F346</f>
        <v>132200</v>
      </c>
      <c r="G349" s="418" t="s">
        <v>125</v>
      </c>
      <c r="H349" s="365">
        <f aca="true" t="shared" si="85" ref="H349:AL349">H343+H345+H347</f>
        <v>0</v>
      </c>
      <c r="I349" s="366">
        <f t="shared" si="85"/>
        <v>0</v>
      </c>
      <c r="J349" s="366">
        <f t="shared" si="85"/>
        <v>0</v>
      </c>
      <c r="K349" s="366">
        <f t="shared" si="85"/>
        <v>0</v>
      </c>
      <c r="L349" s="366">
        <f t="shared" si="85"/>
        <v>0</v>
      </c>
      <c r="M349" s="366">
        <f t="shared" si="85"/>
        <v>0</v>
      </c>
      <c r="N349" s="366">
        <f t="shared" si="85"/>
        <v>0</v>
      </c>
      <c r="O349" s="366">
        <f t="shared" si="85"/>
        <v>0</v>
      </c>
      <c r="P349" s="366">
        <f t="shared" si="85"/>
        <v>0</v>
      </c>
      <c r="Q349" s="366">
        <f t="shared" si="85"/>
        <v>0</v>
      </c>
      <c r="R349" s="366">
        <f t="shared" si="85"/>
        <v>0</v>
      </c>
      <c r="S349" s="366">
        <f t="shared" si="85"/>
        <v>0</v>
      </c>
      <c r="T349" s="366">
        <f t="shared" si="85"/>
        <v>0</v>
      </c>
      <c r="U349" s="366">
        <f t="shared" si="85"/>
        <v>0</v>
      </c>
      <c r="V349" s="366">
        <f t="shared" si="85"/>
        <v>0</v>
      </c>
      <c r="W349" s="366">
        <f t="shared" si="85"/>
        <v>0</v>
      </c>
      <c r="X349" s="366">
        <f t="shared" si="85"/>
        <v>0</v>
      </c>
      <c r="Y349" s="366">
        <f t="shared" si="85"/>
        <v>0</v>
      </c>
      <c r="Z349" s="366">
        <f t="shared" si="85"/>
        <v>0</v>
      </c>
      <c r="AA349" s="366">
        <f t="shared" si="85"/>
        <v>0</v>
      </c>
      <c r="AB349" s="366">
        <f t="shared" si="85"/>
        <v>0</v>
      </c>
      <c r="AC349" s="366">
        <f t="shared" si="85"/>
        <v>0</v>
      </c>
      <c r="AD349" s="366">
        <f t="shared" si="85"/>
        <v>0</v>
      </c>
      <c r="AE349" s="366">
        <f t="shared" si="85"/>
        <v>0</v>
      </c>
      <c r="AF349" s="366">
        <f t="shared" si="85"/>
        <v>0</v>
      </c>
      <c r="AG349" s="366">
        <f t="shared" si="85"/>
        <v>0</v>
      </c>
      <c r="AH349" s="366">
        <f t="shared" si="85"/>
        <v>0</v>
      </c>
      <c r="AI349" s="366">
        <f t="shared" si="85"/>
        <v>0</v>
      </c>
      <c r="AJ349" s="366">
        <f t="shared" si="85"/>
        <v>0</v>
      </c>
      <c r="AK349" s="366">
        <f t="shared" si="85"/>
        <v>0</v>
      </c>
      <c r="AL349" s="366">
        <f t="shared" si="85"/>
        <v>0</v>
      </c>
      <c r="AM349" s="582"/>
    </row>
    <row r="350" spans="1:39" ht="12.75" customHeight="1">
      <c r="A350" s="640">
        <v>23</v>
      </c>
      <c r="B350" s="643" t="s">
        <v>284</v>
      </c>
      <c r="C350" s="646">
        <v>71095</v>
      </c>
      <c r="D350" s="649" t="s">
        <v>283</v>
      </c>
      <c r="E350" s="634">
        <v>2011</v>
      </c>
      <c r="F350" s="350" t="s">
        <v>113</v>
      </c>
      <c r="G350" s="416" t="s">
        <v>114</v>
      </c>
      <c r="H350" s="352">
        <v>2800</v>
      </c>
      <c r="I350" s="353">
        <v>8000</v>
      </c>
      <c r="J350" s="353"/>
      <c r="K350" s="353"/>
      <c r="L350" s="353"/>
      <c r="M350" s="353"/>
      <c r="N350" s="353"/>
      <c r="O350" s="353"/>
      <c r="P350" s="354"/>
      <c r="Q350" s="354"/>
      <c r="R350" s="354"/>
      <c r="S350" s="354"/>
      <c r="T350" s="354"/>
      <c r="U350" s="354"/>
      <c r="V350" s="354"/>
      <c r="W350" s="354"/>
      <c r="X350" s="354"/>
      <c r="Y350" s="354"/>
      <c r="Z350" s="354"/>
      <c r="AA350" s="354"/>
      <c r="AB350" s="354"/>
      <c r="AC350" s="354"/>
      <c r="AD350" s="354"/>
      <c r="AE350" s="354"/>
      <c r="AF350" s="354"/>
      <c r="AG350" s="354"/>
      <c r="AH350" s="354"/>
      <c r="AI350" s="354"/>
      <c r="AJ350" s="354"/>
      <c r="AK350" s="354"/>
      <c r="AL350" s="354"/>
      <c r="AM350" s="580">
        <f>SUM(J356:AL357)</f>
        <v>0</v>
      </c>
    </row>
    <row r="351" spans="1:39" ht="12.75">
      <c r="A351" s="641"/>
      <c r="B351" s="644"/>
      <c r="C351" s="647"/>
      <c r="D351" s="650"/>
      <c r="E351" s="635"/>
      <c r="F351" s="583">
        <f>SUM(H356:AL356)</f>
        <v>34800</v>
      </c>
      <c r="G351" s="417" t="s">
        <v>115</v>
      </c>
      <c r="H351" s="356"/>
      <c r="I351" s="357"/>
      <c r="J351" s="357"/>
      <c r="K351" s="357"/>
      <c r="L351" s="357"/>
      <c r="M351" s="357"/>
      <c r="N351" s="357"/>
      <c r="O351" s="357"/>
      <c r="P351" s="358"/>
      <c r="Q351" s="358"/>
      <c r="R351" s="358"/>
      <c r="S351" s="358"/>
      <c r="T351" s="358"/>
      <c r="U351" s="358"/>
      <c r="V351" s="358"/>
      <c r="W351" s="358"/>
      <c r="X351" s="358"/>
      <c r="Y351" s="358"/>
      <c r="Z351" s="358"/>
      <c r="AA351" s="358"/>
      <c r="AB351" s="358"/>
      <c r="AC351" s="358"/>
      <c r="AD351" s="358"/>
      <c r="AE351" s="358"/>
      <c r="AF351" s="358"/>
      <c r="AG351" s="358"/>
      <c r="AH351" s="358"/>
      <c r="AI351" s="358"/>
      <c r="AJ351" s="358"/>
      <c r="AK351" s="358"/>
      <c r="AL351" s="358"/>
      <c r="AM351" s="581"/>
    </row>
    <row r="352" spans="1:39" ht="12.75">
      <c r="A352" s="641"/>
      <c r="B352" s="644"/>
      <c r="C352" s="647"/>
      <c r="D352" s="650"/>
      <c r="E352" s="635"/>
      <c r="F352" s="637"/>
      <c r="G352" s="417" t="s">
        <v>116</v>
      </c>
      <c r="H352" s="356"/>
      <c r="I352" s="357"/>
      <c r="J352" s="357"/>
      <c r="K352" s="357"/>
      <c r="L352" s="357"/>
      <c r="M352" s="357"/>
      <c r="N352" s="357"/>
      <c r="O352" s="357"/>
      <c r="P352" s="358"/>
      <c r="Q352" s="358"/>
      <c r="R352" s="358"/>
      <c r="S352" s="358"/>
      <c r="T352" s="358"/>
      <c r="U352" s="358"/>
      <c r="V352" s="358"/>
      <c r="W352" s="358"/>
      <c r="X352" s="358"/>
      <c r="Y352" s="358"/>
      <c r="Z352" s="358"/>
      <c r="AA352" s="358"/>
      <c r="AB352" s="358"/>
      <c r="AC352" s="358"/>
      <c r="AD352" s="358"/>
      <c r="AE352" s="358"/>
      <c r="AF352" s="358"/>
      <c r="AG352" s="358"/>
      <c r="AH352" s="358"/>
      <c r="AI352" s="358"/>
      <c r="AJ352" s="358"/>
      <c r="AK352" s="358"/>
      <c r="AL352" s="358"/>
      <c r="AM352" s="581"/>
    </row>
    <row r="353" spans="1:39" ht="12.75">
      <c r="A353" s="641"/>
      <c r="B353" s="644"/>
      <c r="C353" s="647"/>
      <c r="D353" s="650"/>
      <c r="E353" s="636"/>
      <c r="F353" s="359" t="s">
        <v>117</v>
      </c>
      <c r="G353" s="417" t="s">
        <v>118</v>
      </c>
      <c r="H353" s="356"/>
      <c r="I353" s="357"/>
      <c r="J353" s="357"/>
      <c r="K353" s="357"/>
      <c r="L353" s="357"/>
      <c r="M353" s="357"/>
      <c r="N353" s="357"/>
      <c r="O353" s="357"/>
      <c r="P353" s="358"/>
      <c r="Q353" s="358"/>
      <c r="R353" s="358"/>
      <c r="S353" s="358"/>
      <c r="T353" s="358"/>
      <c r="U353" s="358"/>
      <c r="V353" s="358"/>
      <c r="W353" s="358"/>
      <c r="X353" s="358"/>
      <c r="Y353" s="358"/>
      <c r="Z353" s="358"/>
      <c r="AA353" s="358"/>
      <c r="AB353" s="358"/>
      <c r="AC353" s="358"/>
      <c r="AD353" s="358"/>
      <c r="AE353" s="358"/>
      <c r="AF353" s="358"/>
      <c r="AG353" s="358"/>
      <c r="AH353" s="358"/>
      <c r="AI353" s="358"/>
      <c r="AJ353" s="358"/>
      <c r="AK353" s="358"/>
      <c r="AL353" s="358"/>
      <c r="AM353" s="581"/>
    </row>
    <row r="354" spans="1:39" ht="12.75">
      <c r="A354" s="641"/>
      <c r="B354" s="644"/>
      <c r="C354" s="647"/>
      <c r="D354" s="650"/>
      <c r="E354" s="638">
        <v>2013</v>
      </c>
      <c r="F354" s="583">
        <f>SUM(H357:AL357)</f>
        <v>0</v>
      </c>
      <c r="G354" s="417" t="s">
        <v>122</v>
      </c>
      <c r="H354" s="356">
        <v>18992</v>
      </c>
      <c r="I354" s="357">
        <v>5008</v>
      </c>
      <c r="J354" s="357"/>
      <c r="K354" s="357"/>
      <c r="L354" s="357"/>
      <c r="M354" s="357"/>
      <c r="N354" s="357"/>
      <c r="O354" s="357"/>
      <c r="P354" s="358"/>
      <c r="Q354" s="358"/>
      <c r="R354" s="358"/>
      <c r="S354" s="358"/>
      <c r="T354" s="358"/>
      <c r="U354" s="358"/>
      <c r="V354" s="358"/>
      <c r="W354" s="358"/>
      <c r="X354" s="358"/>
      <c r="Y354" s="358"/>
      <c r="Z354" s="358"/>
      <c r="AA354" s="358"/>
      <c r="AB354" s="358"/>
      <c r="AC354" s="358"/>
      <c r="AD354" s="358"/>
      <c r="AE354" s="358"/>
      <c r="AF354" s="358"/>
      <c r="AG354" s="358"/>
      <c r="AH354" s="358"/>
      <c r="AI354" s="358"/>
      <c r="AJ354" s="358"/>
      <c r="AK354" s="358"/>
      <c r="AL354" s="358"/>
      <c r="AM354" s="581"/>
    </row>
    <row r="355" spans="1:39" ht="12.75">
      <c r="A355" s="641"/>
      <c r="B355" s="644"/>
      <c r="C355" s="647"/>
      <c r="D355" s="650"/>
      <c r="E355" s="635"/>
      <c r="F355" s="637"/>
      <c r="G355" s="417" t="s">
        <v>123</v>
      </c>
      <c r="H355" s="356"/>
      <c r="I355" s="357"/>
      <c r="J355" s="357"/>
      <c r="K355" s="357"/>
      <c r="L355" s="357"/>
      <c r="M355" s="357"/>
      <c r="N355" s="357"/>
      <c r="O355" s="357"/>
      <c r="P355" s="358"/>
      <c r="Q355" s="358"/>
      <c r="R355" s="358"/>
      <c r="S355" s="358"/>
      <c r="T355" s="358"/>
      <c r="U355" s="358"/>
      <c r="V355" s="358"/>
      <c r="W355" s="358"/>
      <c r="X355" s="358"/>
      <c r="Y355" s="358"/>
      <c r="Z355" s="358"/>
      <c r="AA355" s="358"/>
      <c r="AB355" s="358"/>
      <c r="AC355" s="358"/>
      <c r="AD355" s="358"/>
      <c r="AE355" s="358"/>
      <c r="AF355" s="358"/>
      <c r="AG355" s="358"/>
      <c r="AH355" s="358"/>
      <c r="AI355" s="358"/>
      <c r="AJ355" s="358"/>
      <c r="AK355" s="358"/>
      <c r="AL355" s="358"/>
      <c r="AM355" s="581"/>
    </row>
    <row r="356" spans="1:39" ht="12.75">
      <c r="A356" s="641"/>
      <c r="B356" s="644"/>
      <c r="C356" s="647"/>
      <c r="D356" s="650"/>
      <c r="E356" s="635"/>
      <c r="F356" s="359" t="s">
        <v>121</v>
      </c>
      <c r="G356" s="417" t="s">
        <v>124</v>
      </c>
      <c r="H356" s="360">
        <f aca="true" t="shared" si="86" ref="H356:AL356">H350+H352+H354</f>
        <v>21792</v>
      </c>
      <c r="I356" s="361">
        <f t="shared" si="86"/>
        <v>13008</v>
      </c>
      <c r="J356" s="361">
        <f t="shared" si="86"/>
        <v>0</v>
      </c>
      <c r="K356" s="361">
        <f t="shared" si="86"/>
        <v>0</v>
      </c>
      <c r="L356" s="361">
        <f t="shared" si="86"/>
        <v>0</v>
      </c>
      <c r="M356" s="361">
        <f t="shared" si="86"/>
        <v>0</v>
      </c>
      <c r="N356" s="361">
        <f t="shared" si="86"/>
        <v>0</v>
      </c>
      <c r="O356" s="361">
        <f t="shared" si="86"/>
        <v>0</v>
      </c>
      <c r="P356" s="361">
        <f t="shared" si="86"/>
        <v>0</v>
      </c>
      <c r="Q356" s="361">
        <f t="shared" si="86"/>
        <v>0</v>
      </c>
      <c r="R356" s="361">
        <f t="shared" si="86"/>
        <v>0</v>
      </c>
      <c r="S356" s="361">
        <f t="shared" si="86"/>
        <v>0</v>
      </c>
      <c r="T356" s="361">
        <f t="shared" si="86"/>
        <v>0</v>
      </c>
      <c r="U356" s="361">
        <f t="shared" si="86"/>
        <v>0</v>
      </c>
      <c r="V356" s="361">
        <f t="shared" si="86"/>
        <v>0</v>
      </c>
      <c r="W356" s="361">
        <f t="shared" si="86"/>
        <v>0</v>
      </c>
      <c r="X356" s="361">
        <f t="shared" si="86"/>
        <v>0</v>
      </c>
      <c r="Y356" s="361">
        <f t="shared" si="86"/>
        <v>0</v>
      </c>
      <c r="Z356" s="361">
        <f t="shared" si="86"/>
        <v>0</v>
      </c>
      <c r="AA356" s="361">
        <f t="shared" si="86"/>
        <v>0</v>
      </c>
      <c r="AB356" s="361">
        <f t="shared" si="86"/>
        <v>0</v>
      </c>
      <c r="AC356" s="361">
        <f t="shared" si="86"/>
        <v>0</v>
      </c>
      <c r="AD356" s="361">
        <f t="shared" si="86"/>
        <v>0</v>
      </c>
      <c r="AE356" s="361">
        <f t="shared" si="86"/>
        <v>0</v>
      </c>
      <c r="AF356" s="361">
        <f t="shared" si="86"/>
        <v>0</v>
      </c>
      <c r="AG356" s="361">
        <f t="shared" si="86"/>
        <v>0</v>
      </c>
      <c r="AH356" s="361">
        <f t="shared" si="86"/>
        <v>0</v>
      </c>
      <c r="AI356" s="361">
        <f t="shared" si="86"/>
        <v>0</v>
      </c>
      <c r="AJ356" s="361">
        <f t="shared" si="86"/>
        <v>0</v>
      </c>
      <c r="AK356" s="361">
        <f t="shared" si="86"/>
        <v>0</v>
      </c>
      <c r="AL356" s="361">
        <f t="shared" si="86"/>
        <v>0</v>
      </c>
      <c r="AM356" s="581"/>
    </row>
    <row r="357" spans="1:39" ht="13.5" thickBot="1">
      <c r="A357" s="642"/>
      <c r="B357" s="645"/>
      <c r="C357" s="648"/>
      <c r="D357" s="651"/>
      <c r="E357" s="639"/>
      <c r="F357" s="363">
        <f>F351+F354</f>
        <v>34800</v>
      </c>
      <c r="G357" s="418" t="s">
        <v>125</v>
      </c>
      <c r="H357" s="365">
        <f aca="true" t="shared" si="87" ref="H357:AL357">H351+H353+H355</f>
        <v>0</v>
      </c>
      <c r="I357" s="366">
        <f t="shared" si="87"/>
        <v>0</v>
      </c>
      <c r="J357" s="366">
        <f t="shared" si="87"/>
        <v>0</v>
      </c>
      <c r="K357" s="366">
        <f t="shared" si="87"/>
        <v>0</v>
      </c>
      <c r="L357" s="366">
        <f t="shared" si="87"/>
        <v>0</v>
      </c>
      <c r="M357" s="366">
        <f t="shared" si="87"/>
        <v>0</v>
      </c>
      <c r="N357" s="366">
        <f t="shared" si="87"/>
        <v>0</v>
      </c>
      <c r="O357" s="366">
        <f t="shared" si="87"/>
        <v>0</v>
      </c>
      <c r="P357" s="366">
        <f t="shared" si="87"/>
        <v>0</v>
      </c>
      <c r="Q357" s="366">
        <f t="shared" si="87"/>
        <v>0</v>
      </c>
      <c r="R357" s="366">
        <f t="shared" si="87"/>
        <v>0</v>
      </c>
      <c r="S357" s="366">
        <f t="shared" si="87"/>
        <v>0</v>
      </c>
      <c r="T357" s="366">
        <f t="shared" si="87"/>
        <v>0</v>
      </c>
      <c r="U357" s="366">
        <f t="shared" si="87"/>
        <v>0</v>
      </c>
      <c r="V357" s="366">
        <f t="shared" si="87"/>
        <v>0</v>
      </c>
      <c r="W357" s="366">
        <f t="shared" si="87"/>
        <v>0</v>
      </c>
      <c r="X357" s="366">
        <f t="shared" si="87"/>
        <v>0</v>
      </c>
      <c r="Y357" s="366">
        <f t="shared" si="87"/>
        <v>0</v>
      </c>
      <c r="Z357" s="366">
        <f t="shared" si="87"/>
        <v>0</v>
      </c>
      <c r="AA357" s="366">
        <f t="shared" si="87"/>
        <v>0</v>
      </c>
      <c r="AB357" s="366">
        <f t="shared" si="87"/>
        <v>0</v>
      </c>
      <c r="AC357" s="366">
        <f t="shared" si="87"/>
        <v>0</v>
      </c>
      <c r="AD357" s="366">
        <f t="shared" si="87"/>
        <v>0</v>
      </c>
      <c r="AE357" s="366">
        <f t="shared" si="87"/>
        <v>0</v>
      </c>
      <c r="AF357" s="366">
        <f t="shared" si="87"/>
        <v>0</v>
      </c>
      <c r="AG357" s="366">
        <f t="shared" si="87"/>
        <v>0</v>
      </c>
      <c r="AH357" s="366">
        <f t="shared" si="87"/>
        <v>0</v>
      </c>
      <c r="AI357" s="366">
        <f t="shared" si="87"/>
        <v>0</v>
      </c>
      <c r="AJ357" s="366">
        <f t="shared" si="87"/>
        <v>0</v>
      </c>
      <c r="AK357" s="366">
        <f t="shared" si="87"/>
        <v>0</v>
      </c>
      <c r="AL357" s="366">
        <f t="shared" si="87"/>
        <v>0</v>
      </c>
      <c r="AM357" s="582"/>
    </row>
    <row r="358" spans="1:39" ht="12.75" customHeight="1">
      <c r="A358" s="640">
        <v>24</v>
      </c>
      <c r="B358" s="643" t="s">
        <v>285</v>
      </c>
      <c r="C358" s="646">
        <v>71095</v>
      </c>
      <c r="D358" s="649" t="s">
        <v>283</v>
      </c>
      <c r="E358" s="634">
        <v>2011</v>
      </c>
      <c r="F358" s="350" t="s">
        <v>113</v>
      </c>
      <c r="G358" s="416" t="s">
        <v>114</v>
      </c>
      <c r="H358" s="352">
        <v>4443</v>
      </c>
      <c r="I358" s="353">
        <v>52215</v>
      </c>
      <c r="J358" s="353"/>
      <c r="K358" s="353"/>
      <c r="L358" s="353"/>
      <c r="M358" s="353"/>
      <c r="N358" s="353"/>
      <c r="O358" s="353"/>
      <c r="P358" s="354"/>
      <c r="Q358" s="354"/>
      <c r="R358" s="354"/>
      <c r="S358" s="354"/>
      <c r="T358" s="354"/>
      <c r="U358" s="354"/>
      <c r="V358" s="354"/>
      <c r="W358" s="354"/>
      <c r="X358" s="354"/>
      <c r="Y358" s="354"/>
      <c r="Z358" s="354"/>
      <c r="AA358" s="354"/>
      <c r="AB358" s="354"/>
      <c r="AC358" s="354"/>
      <c r="AD358" s="354"/>
      <c r="AE358" s="354"/>
      <c r="AF358" s="354"/>
      <c r="AG358" s="354"/>
      <c r="AH358" s="354"/>
      <c r="AI358" s="354"/>
      <c r="AJ358" s="354"/>
      <c r="AK358" s="354"/>
      <c r="AL358" s="354"/>
      <c r="AM358" s="580">
        <f>SUM(J364:AL365)</f>
        <v>1556</v>
      </c>
    </row>
    <row r="359" spans="1:39" ht="12.75">
      <c r="A359" s="641"/>
      <c r="B359" s="644"/>
      <c r="C359" s="647"/>
      <c r="D359" s="650"/>
      <c r="E359" s="635"/>
      <c r="F359" s="583">
        <f>SUM(H364:AL364)</f>
        <v>378037</v>
      </c>
      <c r="G359" s="417" t="s">
        <v>115</v>
      </c>
      <c r="H359" s="356">
        <v>33648</v>
      </c>
      <c r="I359" s="357">
        <v>30000</v>
      </c>
      <c r="J359" s="357"/>
      <c r="K359" s="357"/>
      <c r="L359" s="357"/>
      <c r="M359" s="357"/>
      <c r="N359" s="357"/>
      <c r="O359" s="357"/>
      <c r="P359" s="358"/>
      <c r="Q359" s="358"/>
      <c r="R359" s="358"/>
      <c r="S359" s="358"/>
      <c r="T359" s="358"/>
      <c r="U359" s="358"/>
      <c r="V359" s="358"/>
      <c r="W359" s="358"/>
      <c r="X359" s="358"/>
      <c r="Y359" s="358"/>
      <c r="Z359" s="358"/>
      <c r="AA359" s="358"/>
      <c r="AB359" s="358"/>
      <c r="AC359" s="358"/>
      <c r="AD359" s="358"/>
      <c r="AE359" s="358"/>
      <c r="AF359" s="358"/>
      <c r="AG359" s="358"/>
      <c r="AH359" s="358"/>
      <c r="AI359" s="358"/>
      <c r="AJ359" s="358"/>
      <c r="AK359" s="358"/>
      <c r="AL359" s="358"/>
      <c r="AM359" s="581"/>
    </row>
    <row r="360" spans="1:39" ht="12.75">
      <c r="A360" s="641"/>
      <c r="B360" s="644"/>
      <c r="C360" s="647"/>
      <c r="D360" s="650"/>
      <c r="E360" s="635"/>
      <c r="F360" s="637"/>
      <c r="G360" s="417" t="s">
        <v>116</v>
      </c>
      <c r="H360" s="356"/>
      <c r="I360" s="357"/>
      <c r="J360" s="357"/>
      <c r="K360" s="357"/>
      <c r="L360" s="357"/>
      <c r="M360" s="357"/>
      <c r="N360" s="357"/>
      <c r="O360" s="357"/>
      <c r="P360" s="358"/>
      <c r="Q360" s="358"/>
      <c r="R360" s="358"/>
      <c r="S360" s="358"/>
      <c r="T360" s="358"/>
      <c r="U360" s="358"/>
      <c r="V360" s="358"/>
      <c r="W360" s="358"/>
      <c r="X360" s="358"/>
      <c r="Y360" s="358"/>
      <c r="Z360" s="358"/>
      <c r="AA360" s="358"/>
      <c r="AB360" s="358"/>
      <c r="AC360" s="358"/>
      <c r="AD360" s="358"/>
      <c r="AE360" s="358"/>
      <c r="AF360" s="358"/>
      <c r="AG360" s="358"/>
      <c r="AH360" s="358"/>
      <c r="AI360" s="358"/>
      <c r="AJ360" s="358"/>
      <c r="AK360" s="358"/>
      <c r="AL360" s="358"/>
      <c r="AM360" s="581"/>
    </row>
    <row r="361" spans="1:39" ht="11.25" customHeight="1">
      <c r="A361" s="641"/>
      <c r="B361" s="644"/>
      <c r="C361" s="647"/>
      <c r="D361" s="650"/>
      <c r="E361" s="636"/>
      <c r="F361" s="359" t="s">
        <v>117</v>
      </c>
      <c r="G361" s="417" t="s">
        <v>118</v>
      </c>
      <c r="H361" s="356"/>
      <c r="I361" s="357"/>
      <c r="J361" s="357"/>
      <c r="K361" s="357"/>
      <c r="L361" s="357"/>
      <c r="M361" s="357"/>
      <c r="N361" s="357"/>
      <c r="O361" s="357"/>
      <c r="P361" s="358"/>
      <c r="Q361" s="358"/>
      <c r="R361" s="358"/>
      <c r="S361" s="358"/>
      <c r="T361" s="358"/>
      <c r="U361" s="358"/>
      <c r="V361" s="358"/>
      <c r="W361" s="358"/>
      <c r="X361" s="358"/>
      <c r="Y361" s="358"/>
      <c r="Z361" s="358"/>
      <c r="AA361" s="358"/>
      <c r="AB361" s="358"/>
      <c r="AC361" s="358"/>
      <c r="AD361" s="358"/>
      <c r="AE361" s="358"/>
      <c r="AF361" s="358"/>
      <c r="AG361" s="358"/>
      <c r="AH361" s="358"/>
      <c r="AI361" s="358"/>
      <c r="AJ361" s="358"/>
      <c r="AK361" s="358"/>
      <c r="AL361" s="358"/>
      <c r="AM361" s="581"/>
    </row>
    <row r="362" spans="1:39" ht="12.75">
      <c r="A362" s="641"/>
      <c r="B362" s="644"/>
      <c r="C362" s="647"/>
      <c r="D362" s="650"/>
      <c r="E362" s="638">
        <v>2013</v>
      </c>
      <c r="F362" s="583">
        <f>SUM(H365:AL365)</f>
        <v>63648</v>
      </c>
      <c r="G362" s="417" t="s">
        <v>122</v>
      </c>
      <c r="H362" s="356"/>
      <c r="I362" s="357">
        <v>319823</v>
      </c>
      <c r="J362" s="357">
        <v>1556</v>
      </c>
      <c r="K362" s="357"/>
      <c r="L362" s="357"/>
      <c r="M362" s="357"/>
      <c r="N362" s="357"/>
      <c r="O362" s="357"/>
      <c r="P362" s="358"/>
      <c r="Q362" s="358"/>
      <c r="R362" s="358"/>
      <c r="S362" s="358"/>
      <c r="T362" s="358"/>
      <c r="U362" s="358"/>
      <c r="V362" s="358"/>
      <c r="W362" s="358"/>
      <c r="X362" s="358"/>
      <c r="Y362" s="358"/>
      <c r="Z362" s="358"/>
      <c r="AA362" s="357"/>
      <c r="AB362" s="358"/>
      <c r="AC362" s="358"/>
      <c r="AD362" s="358"/>
      <c r="AE362" s="358"/>
      <c r="AF362" s="358"/>
      <c r="AG362" s="358"/>
      <c r="AH362" s="358"/>
      <c r="AI362" s="358"/>
      <c r="AJ362" s="358"/>
      <c r="AK362" s="358"/>
      <c r="AL362" s="358"/>
      <c r="AM362" s="581"/>
    </row>
    <row r="363" spans="1:39" ht="12.75">
      <c r="A363" s="641"/>
      <c r="B363" s="644"/>
      <c r="C363" s="647"/>
      <c r="D363" s="650"/>
      <c r="E363" s="635"/>
      <c r="F363" s="637"/>
      <c r="G363" s="417" t="s">
        <v>123</v>
      </c>
      <c r="H363" s="356"/>
      <c r="I363" s="357"/>
      <c r="J363" s="357"/>
      <c r="K363" s="357"/>
      <c r="L363" s="357"/>
      <c r="M363" s="357"/>
      <c r="N363" s="357"/>
      <c r="O363" s="357"/>
      <c r="P363" s="358"/>
      <c r="Q363" s="358"/>
      <c r="R363" s="358"/>
      <c r="S363" s="358"/>
      <c r="T363" s="358"/>
      <c r="U363" s="358"/>
      <c r="V363" s="358"/>
      <c r="W363" s="358"/>
      <c r="X363" s="358"/>
      <c r="Y363" s="358"/>
      <c r="Z363" s="358"/>
      <c r="AA363" s="357"/>
      <c r="AB363" s="358"/>
      <c r="AC363" s="358"/>
      <c r="AD363" s="358"/>
      <c r="AE363" s="358"/>
      <c r="AF363" s="358"/>
      <c r="AG363" s="358"/>
      <c r="AH363" s="358"/>
      <c r="AI363" s="358"/>
      <c r="AJ363" s="358"/>
      <c r="AK363" s="358"/>
      <c r="AL363" s="358"/>
      <c r="AM363" s="581"/>
    </row>
    <row r="364" spans="1:39" ht="12.75">
      <c r="A364" s="641"/>
      <c r="B364" s="644"/>
      <c r="C364" s="647"/>
      <c r="D364" s="650"/>
      <c r="E364" s="635"/>
      <c r="F364" s="359" t="s">
        <v>121</v>
      </c>
      <c r="G364" s="417" t="s">
        <v>124</v>
      </c>
      <c r="H364" s="360">
        <f aca="true" t="shared" si="88" ref="H364:AL364">H358+H360+H362</f>
        <v>4443</v>
      </c>
      <c r="I364" s="361">
        <f t="shared" si="88"/>
        <v>372038</v>
      </c>
      <c r="J364" s="361">
        <f t="shared" si="88"/>
        <v>1556</v>
      </c>
      <c r="K364" s="361">
        <f t="shared" si="88"/>
        <v>0</v>
      </c>
      <c r="L364" s="361">
        <f t="shared" si="88"/>
        <v>0</v>
      </c>
      <c r="M364" s="361">
        <f t="shared" si="88"/>
        <v>0</v>
      </c>
      <c r="N364" s="361">
        <f t="shared" si="88"/>
        <v>0</v>
      </c>
      <c r="O364" s="361">
        <f t="shared" si="88"/>
        <v>0</v>
      </c>
      <c r="P364" s="361">
        <f t="shared" si="88"/>
        <v>0</v>
      </c>
      <c r="Q364" s="361">
        <f t="shared" si="88"/>
        <v>0</v>
      </c>
      <c r="R364" s="361">
        <f t="shared" si="88"/>
        <v>0</v>
      </c>
      <c r="S364" s="361">
        <f t="shared" si="88"/>
        <v>0</v>
      </c>
      <c r="T364" s="361">
        <f t="shared" si="88"/>
        <v>0</v>
      </c>
      <c r="U364" s="361">
        <f t="shared" si="88"/>
        <v>0</v>
      </c>
      <c r="V364" s="361">
        <f t="shared" si="88"/>
        <v>0</v>
      </c>
      <c r="W364" s="361">
        <f t="shared" si="88"/>
        <v>0</v>
      </c>
      <c r="X364" s="361">
        <f t="shared" si="88"/>
        <v>0</v>
      </c>
      <c r="Y364" s="361">
        <f t="shared" si="88"/>
        <v>0</v>
      </c>
      <c r="Z364" s="361">
        <f t="shared" si="88"/>
        <v>0</v>
      </c>
      <c r="AA364" s="361">
        <f t="shared" si="88"/>
        <v>0</v>
      </c>
      <c r="AB364" s="361">
        <f t="shared" si="88"/>
        <v>0</v>
      </c>
      <c r="AC364" s="361">
        <f t="shared" si="88"/>
        <v>0</v>
      </c>
      <c r="AD364" s="361">
        <f t="shared" si="88"/>
        <v>0</v>
      </c>
      <c r="AE364" s="361">
        <f t="shared" si="88"/>
        <v>0</v>
      </c>
      <c r="AF364" s="361">
        <f t="shared" si="88"/>
        <v>0</v>
      </c>
      <c r="AG364" s="361">
        <f t="shared" si="88"/>
        <v>0</v>
      </c>
      <c r="AH364" s="361">
        <f t="shared" si="88"/>
        <v>0</v>
      </c>
      <c r="AI364" s="361">
        <f t="shared" si="88"/>
        <v>0</v>
      </c>
      <c r="AJ364" s="361">
        <f t="shared" si="88"/>
        <v>0</v>
      </c>
      <c r="AK364" s="361">
        <f t="shared" si="88"/>
        <v>0</v>
      </c>
      <c r="AL364" s="361">
        <f t="shared" si="88"/>
        <v>0</v>
      </c>
      <c r="AM364" s="581"/>
    </row>
    <row r="365" spans="1:39" ht="13.5" thickBot="1">
      <c r="A365" s="642"/>
      <c r="B365" s="645"/>
      <c r="C365" s="648"/>
      <c r="D365" s="651"/>
      <c r="E365" s="639"/>
      <c r="F365" s="363">
        <f>F359+F362</f>
        <v>441685</v>
      </c>
      <c r="G365" s="418" t="s">
        <v>125</v>
      </c>
      <c r="H365" s="365">
        <f aca="true" t="shared" si="89" ref="H365:AL365">H359+H361+H363</f>
        <v>33648</v>
      </c>
      <c r="I365" s="366">
        <f t="shared" si="89"/>
        <v>30000</v>
      </c>
      <c r="J365" s="366">
        <f t="shared" si="89"/>
        <v>0</v>
      </c>
      <c r="K365" s="366">
        <f t="shared" si="89"/>
        <v>0</v>
      </c>
      <c r="L365" s="366">
        <f t="shared" si="89"/>
        <v>0</v>
      </c>
      <c r="M365" s="366">
        <f t="shared" si="89"/>
        <v>0</v>
      </c>
      <c r="N365" s="366">
        <f t="shared" si="89"/>
        <v>0</v>
      </c>
      <c r="O365" s="366">
        <f t="shared" si="89"/>
        <v>0</v>
      </c>
      <c r="P365" s="366">
        <f t="shared" si="89"/>
        <v>0</v>
      </c>
      <c r="Q365" s="366">
        <f t="shared" si="89"/>
        <v>0</v>
      </c>
      <c r="R365" s="366">
        <f t="shared" si="89"/>
        <v>0</v>
      </c>
      <c r="S365" s="366">
        <f t="shared" si="89"/>
        <v>0</v>
      </c>
      <c r="T365" s="366">
        <f t="shared" si="89"/>
        <v>0</v>
      </c>
      <c r="U365" s="366">
        <f t="shared" si="89"/>
        <v>0</v>
      </c>
      <c r="V365" s="366">
        <f t="shared" si="89"/>
        <v>0</v>
      </c>
      <c r="W365" s="366">
        <f t="shared" si="89"/>
        <v>0</v>
      </c>
      <c r="X365" s="366">
        <f t="shared" si="89"/>
        <v>0</v>
      </c>
      <c r="Y365" s="366">
        <f t="shared" si="89"/>
        <v>0</v>
      </c>
      <c r="Z365" s="366">
        <f t="shared" si="89"/>
        <v>0</v>
      </c>
      <c r="AA365" s="366">
        <f t="shared" si="89"/>
        <v>0</v>
      </c>
      <c r="AB365" s="366">
        <f t="shared" si="89"/>
        <v>0</v>
      </c>
      <c r="AC365" s="366">
        <f t="shared" si="89"/>
        <v>0</v>
      </c>
      <c r="AD365" s="366">
        <f t="shared" si="89"/>
        <v>0</v>
      </c>
      <c r="AE365" s="366">
        <f t="shared" si="89"/>
        <v>0</v>
      </c>
      <c r="AF365" s="366">
        <f t="shared" si="89"/>
        <v>0</v>
      </c>
      <c r="AG365" s="366">
        <f t="shared" si="89"/>
        <v>0</v>
      </c>
      <c r="AH365" s="366">
        <f t="shared" si="89"/>
        <v>0</v>
      </c>
      <c r="AI365" s="366">
        <f t="shared" si="89"/>
        <v>0</v>
      </c>
      <c r="AJ365" s="366">
        <f t="shared" si="89"/>
        <v>0</v>
      </c>
      <c r="AK365" s="366">
        <f t="shared" si="89"/>
        <v>0</v>
      </c>
      <c r="AL365" s="366">
        <f t="shared" si="89"/>
        <v>0</v>
      </c>
      <c r="AM365" s="582"/>
    </row>
    <row r="366" spans="1:39" ht="12.75" customHeight="1">
      <c r="A366" s="640">
        <v>25</v>
      </c>
      <c r="B366" s="643" t="s">
        <v>286</v>
      </c>
      <c r="C366" s="646">
        <v>80195</v>
      </c>
      <c r="D366" s="649" t="s">
        <v>235</v>
      </c>
      <c r="E366" s="634">
        <v>2012</v>
      </c>
      <c r="F366" s="374" t="s">
        <v>113</v>
      </c>
      <c r="G366" s="419" t="s">
        <v>114</v>
      </c>
      <c r="H366" s="375"/>
      <c r="I366" s="369">
        <v>75000</v>
      </c>
      <c r="J366" s="369">
        <v>150000</v>
      </c>
      <c r="K366" s="369">
        <v>150000</v>
      </c>
      <c r="L366" s="369">
        <v>75000</v>
      </c>
      <c r="M366" s="369"/>
      <c r="N366" s="369"/>
      <c r="O366" s="369"/>
      <c r="P366" s="370"/>
      <c r="Q366" s="370"/>
      <c r="R366" s="370"/>
      <c r="S366" s="370"/>
      <c r="T366" s="370"/>
      <c r="U366" s="370"/>
      <c r="V366" s="370"/>
      <c r="W366" s="370"/>
      <c r="X366" s="370"/>
      <c r="Y366" s="370"/>
      <c r="Z366" s="370"/>
      <c r="AA366" s="370"/>
      <c r="AB366" s="370"/>
      <c r="AC366" s="370"/>
      <c r="AD366" s="370"/>
      <c r="AE366" s="370"/>
      <c r="AF366" s="370"/>
      <c r="AG366" s="370"/>
      <c r="AH366" s="370"/>
      <c r="AI366" s="370"/>
      <c r="AJ366" s="370"/>
      <c r="AK366" s="370"/>
      <c r="AL366" s="370"/>
      <c r="AM366" s="580">
        <f>SUM(J372:AL373)</f>
        <v>375000</v>
      </c>
    </row>
    <row r="367" spans="1:39" ht="12.75">
      <c r="A367" s="641"/>
      <c r="B367" s="644"/>
      <c r="C367" s="647"/>
      <c r="D367" s="650"/>
      <c r="E367" s="635"/>
      <c r="F367" s="583">
        <f>SUM(H372:AL372)</f>
        <v>450000</v>
      </c>
      <c r="G367" s="417" t="s">
        <v>115</v>
      </c>
      <c r="H367" s="356"/>
      <c r="I367" s="357"/>
      <c r="J367" s="357"/>
      <c r="K367" s="357"/>
      <c r="L367" s="357"/>
      <c r="M367" s="357"/>
      <c r="N367" s="357"/>
      <c r="O367" s="357"/>
      <c r="P367" s="358"/>
      <c r="Q367" s="358"/>
      <c r="R367" s="358"/>
      <c r="S367" s="358"/>
      <c r="T367" s="358"/>
      <c r="U367" s="358"/>
      <c r="V367" s="358"/>
      <c r="W367" s="358"/>
      <c r="X367" s="358"/>
      <c r="Y367" s="358"/>
      <c r="Z367" s="358"/>
      <c r="AA367" s="358"/>
      <c r="AB367" s="358"/>
      <c r="AC367" s="358"/>
      <c r="AD367" s="358"/>
      <c r="AE367" s="358"/>
      <c r="AF367" s="358"/>
      <c r="AG367" s="358"/>
      <c r="AH367" s="358"/>
      <c r="AI367" s="358"/>
      <c r="AJ367" s="358"/>
      <c r="AK367" s="358"/>
      <c r="AL367" s="358"/>
      <c r="AM367" s="581"/>
    </row>
    <row r="368" spans="1:39" ht="12.75">
      <c r="A368" s="641"/>
      <c r="B368" s="644"/>
      <c r="C368" s="647"/>
      <c r="D368" s="650"/>
      <c r="E368" s="635"/>
      <c r="F368" s="637"/>
      <c r="G368" s="417" t="s">
        <v>116</v>
      </c>
      <c r="H368" s="356"/>
      <c r="I368" s="357"/>
      <c r="J368" s="357"/>
      <c r="K368" s="357"/>
      <c r="L368" s="357"/>
      <c r="M368" s="357"/>
      <c r="N368" s="357"/>
      <c r="O368" s="357"/>
      <c r="P368" s="358"/>
      <c r="Q368" s="358"/>
      <c r="R368" s="358"/>
      <c r="S368" s="358"/>
      <c r="T368" s="358"/>
      <c r="U368" s="358"/>
      <c r="V368" s="358"/>
      <c r="W368" s="358"/>
      <c r="X368" s="358"/>
      <c r="Y368" s="358"/>
      <c r="Z368" s="358"/>
      <c r="AA368" s="358"/>
      <c r="AB368" s="358"/>
      <c r="AC368" s="358"/>
      <c r="AD368" s="358"/>
      <c r="AE368" s="358"/>
      <c r="AF368" s="358"/>
      <c r="AG368" s="358"/>
      <c r="AH368" s="358"/>
      <c r="AI368" s="358"/>
      <c r="AJ368" s="358"/>
      <c r="AK368" s="358"/>
      <c r="AL368" s="358"/>
      <c r="AM368" s="581"/>
    </row>
    <row r="369" spans="1:39" ht="12.75">
      <c r="A369" s="641"/>
      <c r="B369" s="644"/>
      <c r="C369" s="647"/>
      <c r="D369" s="650"/>
      <c r="E369" s="636"/>
      <c r="F369" s="359" t="s">
        <v>117</v>
      </c>
      <c r="G369" s="417" t="s">
        <v>118</v>
      </c>
      <c r="H369" s="356"/>
      <c r="I369" s="357"/>
      <c r="J369" s="357"/>
      <c r="K369" s="357"/>
      <c r="L369" s="357"/>
      <c r="M369" s="357"/>
      <c r="N369" s="357"/>
      <c r="O369" s="357"/>
      <c r="P369" s="358"/>
      <c r="Q369" s="358"/>
      <c r="R369" s="358"/>
      <c r="S369" s="358"/>
      <c r="T369" s="358"/>
      <c r="U369" s="358"/>
      <c r="V369" s="358"/>
      <c r="W369" s="358"/>
      <c r="X369" s="358"/>
      <c r="Y369" s="358"/>
      <c r="Z369" s="358"/>
      <c r="AA369" s="358"/>
      <c r="AB369" s="358"/>
      <c r="AC369" s="358"/>
      <c r="AD369" s="358"/>
      <c r="AE369" s="358"/>
      <c r="AF369" s="358"/>
      <c r="AG369" s="358"/>
      <c r="AH369" s="358"/>
      <c r="AI369" s="358"/>
      <c r="AJ369" s="358"/>
      <c r="AK369" s="358"/>
      <c r="AL369" s="358"/>
      <c r="AM369" s="581"/>
    </row>
    <row r="370" spans="1:39" ht="12.75">
      <c r="A370" s="641"/>
      <c r="B370" s="644"/>
      <c r="C370" s="647"/>
      <c r="D370" s="650"/>
      <c r="E370" s="638">
        <v>2015</v>
      </c>
      <c r="F370" s="583">
        <f>SUM(H373:AL373)</f>
        <v>0</v>
      </c>
      <c r="G370" s="417" t="s">
        <v>122</v>
      </c>
      <c r="H370" s="356"/>
      <c r="I370" s="357"/>
      <c r="J370" s="357"/>
      <c r="K370" s="357"/>
      <c r="L370" s="357"/>
      <c r="M370" s="357"/>
      <c r="N370" s="357"/>
      <c r="O370" s="357"/>
      <c r="P370" s="358"/>
      <c r="Q370" s="358"/>
      <c r="R370" s="358"/>
      <c r="S370" s="358"/>
      <c r="T370" s="358"/>
      <c r="U370" s="358"/>
      <c r="V370" s="358"/>
      <c r="W370" s="358"/>
      <c r="X370" s="358"/>
      <c r="Y370" s="358"/>
      <c r="Z370" s="358"/>
      <c r="AA370" s="358"/>
      <c r="AB370" s="358"/>
      <c r="AC370" s="358"/>
      <c r="AD370" s="358"/>
      <c r="AE370" s="358"/>
      <c r="AF370" s="358"/>
      <c r="AG370" s="358"/>
      <c r="AH370" s="358"/>
      <c r="AI370" s="358"/>
      <c r="AJ370" s="358"/>
      <c r="AK370" s="358"/>
      <c r="AL370" s="358"/>
      <c r="AM370" s="581"/>
    </row>
    <row r="371" spans="1:39" ht="12.75">
      <c r="A371" s="641"/>
      <c r="B371" s="644"/>
      <c r="C371" s="647"/>
      <c r="D371" s="650"/>
      <c r="E371" s="635"/>
      <c r="F371" s="637"/>
      <c r="G371" s="417" t="s">
        <v>123</v>
      </c>
      <c r="H371" s="356"/>
      <c r="I371" s="357"/>
      <c r="J371" s="357"/>
      <c r="K371" s="357"/>
      <c r="L371" s="357"/>
      <c r="M371" s="357"/>
      <c r="N371" s="357"/>
      <c r="O371" s="357"/>
      <c r="P371" s="358"/>
      <c r="Q371" s="358"/>
      <c r="R371" s="358"/>
      <c r="S371" s="358"/>
      <c r="T371" s="358"/>
      <c r="U371" s="358"/>
      <c r="V371" s="358"/>
      <c r="W371" s="358"/>
      <c r="X371" s="358"/>
      <c r="Y371" s="358"/>
      <c r="Z371" s="358"/>
      <c r="AA371" s="358"/>
      <c r="AB371" s="358"/>
      <c r="AC371" s="358"/>
      <c r="AD371" s="358"/>
      <c r="AE371" s="358"/>
      <c r="AF371" s="358"/>
      <c r="AG371" s="358"/>
      <c r="AH371" s="358"/>
      <c r="AI371" s="358"/>
      <c r="AJ371" s="358"/>
      <c r="AK371" s="358"/>
      <c r="AL371" s="358"/>
      <c r="AM371" s="581"/>
    </row>
    <row r="372" spans="1:39" ht="12.75">
      <c r="A372" s="641"/>
      <c r="B372" s="644"/>
      <c r="C372" s="647"/>
      <c r="D372" s="650"/>
      <c r="E372" s="635"/>
      <c r="F372" s="359" t="s">
        <v>121</v>
      </c>
      <c r="G372" s="417" t="s">
        <v>124</v>
      </c>
      <c r="H372" s="360">
        <f aca="true" t="shared" si="90" ref="H372:AL372">H366+H368+H370</f>
        <v>0</v>
      </c>
      <c r="I372" s="361">
        <f t="shared" si="90"/>
        <v>75000</v>
      </c>
      <c r="J372" s="361">
        <f t="shared" si="90"/>
        <v>150000</v>
      </c>
      <c r="K372" s="361">
        <f t="shared" si="90"/>
        <v>150000</v>
      </c>
      <c r="L372" s="361">
        <f t="shared" si="90"/>
        <v>75000</v>
      </c>
      <c r="M372" s="361">
        <f t="shared" si="90"/>
        <v>0</v>
      </c>
      <c r="N372" s="361">
        <f t="shared" si="90"/>
        <v>0</v>
      </c>
      <c r="O372" s="361">
        <f t="shared" si="90"/>
        <v>0</v>
      </c>
      <c r="P372" s="361">
        <f t="shared" si="90"/>
        <v>0</v>
      </c>
      <c r="Q372" s="361">
        <f t="shared" si="90"/>
        <v>0</v>
      </c>
      <c r="R372" s="361">
        <f t="shared" si="90"/>
        <v>0</v>
      </c>
      <c r="S372" s="361">
        <f t="shared" si="90"/>
        <v>0</v>
      </c>
      <c r="T372" s="361">
        <f t="shared" si="90"/>
        <v>0</v>
      </c>
      <c r="U372" s="361">
        <f t="shared" si="90"/>
        <v>0</v>
      </c>
      <c r="V372" s="361">
        <f t="shared" si="90"/>
        <v>0</v>
      </c>
      <c r="W372" s="361">
        <f t="shared" si="90"/>
        <v>0</v>
      </c>
      <c r="X372" s="361">
        <f t="shared" si="90"/>
        <v>0</v>
      </c>
      <c r="Y372" s="361">
        <f t="shared" si="90"/>
        <v>0</v>
      </c>
      <c r="Z372" s="361">
        <f t="shared" si="90"/>
        <v>0</v>
      </c>
      <c r="AA372" s="361">
        <f t="shared" si="90"/>
        <v>0</v>
      </c>
      <c r="AB372" s="361">
        <f t="shared" si="90"/>
        <v>0</v>
      </c>
      <c r="AC372" s="361">
        <f t="shared" si="90"/>
        <v>0</v>
      </c>
      <c r="AD372" s="361">
        <f t="shared" si="90"/>
        <v>0</v>
      </c>
      <c r="AE372" s="361">
        <f t="shared" si="90"/>
        <v>0</v>
      </c>
      <c r="AF372" s="361">
        <f t="shared" si="90"/>
        <v>0</v>
      </c>
      <c r="AG372" s="361">
        <f t="shared" si="90"/>
        <v>0</v>
      </c>
      <c r="AH372" s="361">
        <f t="shared" si="90"/>
        <v>0</v>
      </c>
      <c r="AI372" s="361">
        <f t="shared" si="90"/>
        <v>0</v>
      </c>
      <c r="AJ372" s="361">
        <f t="shared" si="90"/>
        <v>0</v>
      </c>
      <c r="AK372" s="361">
        <f t="shared" si="90"/>
        <v>0</v>
      </c>
      <c r="AL372" s="361">
        <f t="shared" si="90"/>
        <v>0</v>
      </c>
      <c r="AM372" s="581"/>
    </row>
    <row r="373" spans="1:39" ht="13.5" thickBot="1">
      <c r="A373" s="642"/>
      <c r="B373" s="645"/>
      <c r="C373" s="648"/>
      <c r="D373" s="651"/>
      <c r="E373" s="639"/>
      <c r="F373" s="363">
        <f>F367+F370</f>
        <v>450000</v>
      </c>
      <c r="G373" s="418" t="s">
        <v>125</v>
      </c>
      <c r="H373" s="365">
        <f aca="true" t="shared" si="91" ref="H373:AL373">H367+H369+H371</f>
        <v>0</v>
      </c>
      <c r="I373" s="366">
        <f t="shared" si="91"/>
        <v>0</v>
      </c>
      <c r="J373" s="366">
        <f t="shared" si="91"/>
        <v>0</v>
      </c>
      <c r="K373" s="366">
        <f t="shared" si="91"/>
        <v>0</v>
      </c>
      <c r="L373" s="366">
        <f t="shared" si="91"/>
        <v>0</v>
      </c>
      <c r="M373" s="366">
        <f t="shared" si="91"/>
        <v>0</v>
      </c>
      <c r="N373" s="366">
        <f t="shared" si="91"/>
        <v>0</v>
      </c>
      <c r="O373" s="366">
        <f t="shared" si="91"/>
        <v>0</v>
      </c>
      <c r="P373" s="366">
        <f t="shared" si="91"/>
        <v>0</v>
      </c>
      <c r="Q373" s="366">
        <f t="shared" si="91"/>
        <v>0</v>
      </c>
      <c r="R373" s="366">
        <f t="shared" si="91"/>
        <v>0</v>
      </c>
      <c r="S373" s="366">
        <f t="shared" si="91"/>
        <v>0</v>
      </c>
      <c r="T373" s="366">
        <f t="shared" si="91"/>
        <v>0</v>
      </c>
      <c r="U373" s="366">
        <f t="shared" si="91"/>
        <v>0</v>
      </c>
      <c r="V373" s="366">
        <f t="shared" si="91"/>
        <v>0</v>
      </c>
      <c r="W373" s="366">
        <f t="shared" si="91"/>
        <v>0</v>
      </c>
      <c r="X373" s="366">
        <f t="shared" si="91"/>
        <v>0</v>
      </c>
      <c r="Y373" s="366">
        <f t="shared" si="91"/>
        <v>0</v>
      </c>
      <c r="Z373" s="366">
        <f t="shared" si="91"/>
        <v>0</v>
      </c>
      <c r="AA373" s="366">
        <f t="shared" si="91"/>
        <v>0</v>
      </c>
      <c r="AB373" s="366">
        <f t="shared" si="91"/>
        <v>0</v>
      </c>
      <c r="AC373" s="366">
        <f t="shared" si="91"/>
        <v>0</v>
      </c>
      <c r="AD373" s="366">
        <f t="shared" si="91"/>
        <v>0</v>
      </c>
      <c r="AE373" s="366">
        <f t="shared" si="91"/>
        <v>0</v>
      </c>
      <c r="AF373" s="366">
        <f t="shared" si="91"/>
        <v>0</v>
      </c>
      <c r="AG373" s="366">
        <f t="shared" si="91"/>
        <v>0</v>
      </c>
      <c r="AH373" s="366">
        <f t="shared" si="91"/>
        <v>0</v>
      </c>
      <c r="AI373" s="366">
        <f t="shared" si="91"/>
        <v>0</v>
      </c>
      <c r="AJ373" s="366">
        <f t="shared" si="91"/>
        <v>0</v>
      </c>
      <c r="AK373" s="366">
        <f t="shared" si="91"/>
        <v>0</v>
      </c>
      <c r="AL373" s="366">
        <f t="shared" si="91"/>
        <v>0</v>
      </c>
      <c r="AM373" s="582"/>
    </row>
    <row r="374" spans="1:39" ht="12.75" customHeight="1" hidden="1">
      <c r="A374" s="640">
        <v>26</v>
      </c>
      <c r="B374" s="643"/>
      <c r="C374" s="646"/>
      <c r="D374" s="649"/>
      <c r="E374" s="634"/>
      <c r="F374" s="350" t="s">
        <v>113</v>
      </c>
      <c r="G374" s="416" t="s">
        <v>114</v>
      </c>
      <c r="H374" s="352"/>
      <c r="I374" s="353"/>
      <c r="J374" s="353"/>
      <c r="K374" s="353"/>
      <c r="L374" s="353"/>
      <c r="M374" s="353"/>
      <c r="N374" s="353"/>
      <c r="O374" s="353"/>
      <c r="P374" s="354"/>
      <c r="Q374" s="354"/>
      <c r="R374" s="354"/>
      <c r="S374" s="354"/>
      <c r="T374" s="354"/>
      <c r="U374" s="354"/>
      <c r="V374" s="354"/>
      <c r="W374" s="354"/>
      <c r="X374" s="354"/>
      <c r="Y374" s="354"/>
      <c r="Z374" s="354"/>
      <c r="AA374" s="354"/>
      <c r="AB374" s="354"/>
      <c r="AC374" s="354"/>
      <c r="AD374" s="354"/>
      <c r="AE374" s="354"/>
      <c r="AF374" s="354"/>
      <c r="AG374" s="354"/>
      <c r="AH374" s="354"/>
      <c r="AI374" s="354"/>
      <c r="AJ374" s="354"/>
      <c r="AK374" s="354"/>
      <c r="AL374" s="354"/>
      <c r="AM374" s="580">
        <f>SUM(J380:AL381)</f>
        <v>0</v>
      </c>
    </row>
    <row r="375" spans="1:39" ht="12.75" hidden="1">
      <c r="A375" s="641"/>
      <c r="B375" s="644"/>
      <c r="C375" s="647"/>
      <c r="D375" s="650"/>
      <c r="E375" s="635"/>
      <c r="F375" s="583">
        <f>SUM(H380:AL380)</f>
        <v>0</v>
      </c>
      <c r="G375" s="417" t="s">
        <v>115</v>
      </c>
      <c r="H375" s="356"/>
      <c r="I375" s="357"/>
      <c r="J375" s="357"/>
      <c r="K375" s="357"/>
      <c r="L375" s="357"/>
      <c r="M375" s="357"/>
      <c r="N375" s="357"/>
      <c r="O375" s="357"/>
      <c r="P375" s="358"/>
      <c r="Q375" s="358"/>
      <c r="R375" s="358"/>
      <c r="S375" s="358"/>
      <c r="T375" s="358"/>
      <c r="U375" s="358"/>
      <c r="V375" s="358"/>
      <c r="W375" s="358"/>
      <c r="X375" s="358"/>
      <c r="Y375" s="358"/>
      <c r="Z375" s="358"/>
      <c r="AA375" s="358"/>
      <c r="AB375" s="358"/>
      <c r="AC375" s="358"/>
      <c r="AD375" s="358"/>
      <c r="AE375" s="358"/>
      <c r="AF375" s="358"/>
      <c r="AG375" s="358"/>
      <c r="AH375" s="358"/>
      <c r="AI375" s="358"/>
      <c r="AJ375" s="358"/>
      <c r="AK375" s="358"/>
      <c r="AL375" s="358"/>
      <c r="AM375" s="581"/>
    </row>
    <row r="376" spans="1:39" ht="12.75" hidden="1">
      <c r="A376" s="641"/>
      <c r="B376" s="644"/>
      <c r="C376" s="647"/>
      <c r="D376" s="650"/>
      <c r="E376" s="635"/>
      <c r="F376" s="637"/>
      <c r="G376" s="417" t="s">
        <v>116</v>
      </c>
      <c r="H376" s="356"/>
      <c r="I376" s="357"/>
      <c r="J376" s="357"/>
      <c r="K376" s="357"/>
      <c r="L376" s="357"/>
      <c r="M376" s="357"/>
      <c r="N376" s="357"/>
      <c r="O376" s="357"/>
      <c r="P376" s="358"/>
      <c r="Q376" s="358"/>
      <c r="R376" s="358"/>
      <c r="S376" s="358"/>
      <c r="T376" s="358"/>
      <c r="U376" s="358"/>
      <c r="V376" s="358"/>
      <c r="W376" s="358"/>
      <c r="X376" s="358"/>
      <c r="Y376" s="358"/>
      <c r="Z376" s="358"/>
      <c r="AA376" s="358"/>
      <c r="AB376" s="358"/>
      <c r="AC376" s="358"/>
      <c r="AD376" s="358"/>
      <c r="AE376" s="358"/>
      <c r="AF376" s="358"/>
      <c r="AG376" s="358"/>
      <c r="AH376" s="358"/>
      <c r="AI376" s="358"/>
      <c r="AJ376" s="358"/>
      <c r="AK376" s="358"/>
      <c r="AL376" s="358"/>
      <c r="AM376" s="581"/>
    </row>
    <row r="377" spans="1:39" ht="12.75" hidden="1">
      <c r="A377" s="641"/>
      <c r="B377" s="644"/>
      <c r="C377" s="647"/>
      <c r="D377" s="650"/>
      <c r="E377" s="636"/>
      <c r="F377" s="359" t="s">
        <v>117</v>
      </c>
      <c r="G377" s="417" t="s">
        <v>118</v>
      </c>
      <c r="H377" s="356"/>
      <c r="I377" s="357"/>
      <c r="J377" s="357"/>
      <c r="K377" s="357"/>
      <c r="L377" s="357"/>
      <c r="M377" s="357"/>
      <c r="N377" s="357"/>
      <c r="O377" s="357"/>
      <c r="P377" s="358"/>
      <c r="Q377" s="358"/>
      <c r="R377" s="358"/>
      <c r="S377" s="358"/>
      <c r="T377" s="358"/>
      <c r="U377" s="358"/>
      <c r="V377" s="358"/>
      <c r="W377" s="358"/>
      <c r="X377" s="358"/>
      <c r="Y377" s="358"/>
      <c r="Z377" s="358"/>
      <c r="AA377" s="358"/>
      <c r="AB377" s="358"/>
      <c r="AC377" s="358"/>
      <c r="AD377" s="358"/>
      <c r="AE377" s="358"/>
      <c r="AF377" s="358"/>
      <c r="AG377" s="358"/>
      <c r="AH377" s="358"/>
      <c r="AI377" s="358"/>
      <c r="AJ377" s="358"/>
      <c r="AK377" s="358"/>
      <c r="AL377" s="358"/>
      <c r="AM377" s="581"/>
    </row>
    <row r="378" spans="1:39" ht="12.75" hidden="1">
      <c r="A378" s="641"/>
      <c r="B378" s="644"/>
      <c r="C378" s="647"/>
      <c r="D378" s="650"/>
      <c r="E378" s="638"/>
      <c r="F378" s="583">
        <f>SUM(H381:AL381)</f>
        <v>0</v>
      </c>
      <c r="G378" s="417" t="s">
        <v>122</v>
      </c>
      <c r="H378" s="356"/>
      <c r="I378" s="357"/>
      <c r="J378" s="357"/>
      <c r="K378" s="357"/>
      <c r="L378" s="357"/>
      <c r="M378" s="357"/>
      <c r="N378" s="357"/>
      <c r="O378" s="357"/>
      <c r="P378" s="358"/>
      <c r="Q378" s="358"/>
      <c r="R378" s="358"/>
      <c r="S378" s="358"/>
      <c r="T378" s="358"/>
      <c r="U378" s="358"/>
      <c r="V378" s="358"/>
      <c r="W378" s="358"/>
      <c r="X378" s="358"/>
      <c r="Y378" s="358"/>
      <c r="Z378" s="358"/>
      <c r="AA378" s="358"/>
      <c r="AB378" s="358"/>
      <c r="AC378" s="358"/>
      <c r="AD378" s="358"/>
      <c r="AE378" s="358"/>
      <c r="AF378" s="358"/>
      <c r="AG378" s="358"/>
      <c r="AH378" s="358"/>
      <c r="AI378" s="358"/>
      <c r="AJ378" s="358"/>
      <c r="AK378" s="358"/>
      <c r="AL378" s="358"/>
      <c r="AM378" s="581"/>
    </row>
    <row r="379" spans="1:39" ht="12.75" hidden="1">
      <c r="A379" s="641"/>
      <c r="B379" s="644"/>
      <c r="C379" s="647"/>
      <c r="D379" s="650"/>
      <c r="E379" s="635"/>
      <c r="F379" s="637"/>
      <c r="G379" s="417" t="s">
        <v>123</v>
      </c>
      <c r="H379" s="356"/>
      <c r="I379" s="357"/>
      <c r="J379" s="357"/>
      <c r="K379" s="357"/>
      <c r="L379" s="357"/>
      <c r="M379" s="357"/>
      <c r="N379" s="357"/>
      <c r="O379" s="357"/>
      <c r="P379" s="358"/>
      <c r="Q379" s="358"/>
      <c r="R379" s="358"/>
      <c r="S379" s="358"/>
      <c r="T379" s="358"/>
      <c r="U379" s="358"/>
      <c r="V379" s="358"/>
      <c r="W379" s="358"/>
      <c r="X379" s="358"/>
      <c r="Y379" s="358"/>
      <c r="Z379" s="358"/>
      <c r="AA379" s="358"/>
      <c r="AB379" s="358"/>
      <c r="AC379" s="358"/>
      <c r="AD379" s="358"/>
      <c r="AE379" s="358"/>
      <c r="AF379" s="358"/>
      <c r="AG379" s="358"/>
      <c r="AH379" s="358"/>
      <c r="AI379" s="358"/>
      <c r="AJ379" s="358"/>
      <c r="AK379" s="358"/>
      <c r="AL379" s="358"/>
      <c r="AM379" s="581"/>
    </row>
    <row r="380" spans="1:39" ht="12.75" hidden="1">
      <c r="A380" s="641"/>
      <c r="B380" s="644"/>
      <c r="C380" s="647"/>
      <c r="D380" s="650"/>
      <c r="E380" s="635"/>
      <c r="F380" s="359" t="s">
        <v>121</v>
      </c>
      <c r="G380" s="417" t="s">
        <v>124</v>
      </c>
      <c r="H380" s="360">
        <f aca="true" t="shared" si="92" ref="H380:AL380">H374+H376+H378</f>
        <v>0</v>
      </c>
      <c r="I380" s="361">
        <f t="shared" si="92"/>
        <v>0</v>
      </c>
      <c r="J380" s="361">
        <f t="shared" si="92"/>
        <v>0</v>
      </c>
      <c r="K380" s="361">
        <f t="shared" si="92"/>
        <v>0</v>
      </c>
      <c r="L380" s="361">
        <f t="shared" si="92"/>
        <v>0</v>
      </c>
      <c r="M380" s="361">
        <f t="shared" si="92"/>
        <v>0</v>
      </c>
      <c r="N380" s="361">
        <f t="shared" si="92"/>
        <v>0</v>
      </c>
      <c r="O380" s="361">
        <f t="shared" si="92"/>
        <v>0</v>
      </c>
      <c r="P380" s="361">
        <f t="shared" si="92"/>
        <v>0</v>
      </c>
      <c r="Q380" s="361">
        <f t="shared" si="92"/>
        <v>0</v>
      </c>
      <c r="R380" s="361">
        <f t="shared" si="92"/>
        <v>0</v>
      </c>
      <c r="S380" s="361">
        <f t="shared" si="92"/>
        <v>0</v>
      </c>
      <c r="T380" s="361">
        <f t="shared" si="92"/>
        <v>0</v>
      </c>
      <c r="U380" s="361">
        <f t="shared" si="92"/>
        <v>0</v>
      </c>
      <c r="V380" s="361">
        <f t="shared" si="92"/>
        <v>0</v>
      </c>
      <c r="W380" s="361">
        <f t="shared" si="92"/>
        <v>0</v>
      </c>
      <c r="X380" s="361">
        <f t="shared" si="92"/>
        <v>0</v>
      </c>
      <c r="Y380" s="361">
        <f t="shared" si="92"/>
        <v>0</v>
      </c>
      <c r="Z380" s="361">
        <f t="shared" si="92"/>
        <v>0</v>
      </c>
      <c r="AA380" s="361">
        <f t="shared" si="92"/>
        <v>0</v>
      </c>
      <c r="AB380" s="361">
        <f t="shared" si="92"/>
        <v>0</v>
      </c>
      <c r="AC380" s="361">
        <f t="shared" si="92"/>
        <v>0</v>
      </c>
      <c r="AD380" s="361">
        <f t="shared" si="92"/>
        <v>0</v>
      </c>
      <c r="AE380" s="361">
        <f t="shared" si="92"/>
        <v>0</v>
      </c>
      <c r="AF380" s="361">
        <f t="shared" si="92"/>
        <v>0</v>
      </c>
      <c r="AG380" s="361">
        <f t="shared" si="92"/>
        <v>0</v>
      </c>
      <c r="AH380" s="361">
        <f t="shared" si="92"/>
        <v>0</v>
      </c>
      <c r="AI380" s="361">
        <f t="shared" si="92"/>
        <v>0</v>
      </c>
      <c r="AJ380" s="361">
        <f t="shared" si="92"/>
        <v>0</v>
      </c>
      <c r="AK380" s="361">
        <f t="shared" si="92"/>
        <v>0</v>
      </c>
      <c r="AL380" s="361">
        <f t="shared" si="92"/>
        <v>0</v>
      </c>
      <c r="AM380" s="581"/>
    </row>
    <row r="381" spans="1:39" ht="13.5" hidden="1" thickBot="1">
      <c r="A381" s="642"/>
      <c r="B381" s="645"/>
      <c r="C381" s="648"/>
      <c r="D381" s="651"/>
      <c r="E381" s="639"/>
      <c r="F381" s="363">
        <f>F375+F378</f>
        <v>0</v>
      </c>
      <c r="G381" s="418" t="s">
        <v>125</v>
      </c>
      <c r="H381" s="365">
        <f aca="true" t="shared" si="93" ref="H381:AL381">H375+H377+H379</f>
        <v>0</v>
      </c>
      <c r="I381" s="366">
        <f t="shared" si="93"/>
        <v>0</v>
      </c>
      <c r="J381" s="366">
        <f t="shared" si="93"/>
        <v>0</v>
      </c>
      <c r="K381" s="366">
        <f t="shared" si="93"/>
        <v>0</v>
      </c>
      <c r="L381" s="366">
        <f t="shared" si="93"/>
        <v>0</v>
      </c>
      <c r="M381" s="366">
        <f t="shared" si="93"/>
        <v>0</v>
      </c>
      <c r="N381" s="366">
        <f t="shared" si="93"/>
        <v>0</v>
      </c>
      <c r="O381" s="366">
        <f t="shared" si="93"/>
        <v>0</v>
      </c>
      <c r="P381" s="366">
        <f t="shared" si="93"/>
        <v>0</v>
      </c>
      <c r="Q381" s="366">
        <f t="shared" si="93"/>
        <v>0</v>
      </c>
      <c r="R381" s="366">
        <f t="shared" si="93"/>
        <v>0</v>
      </c>
      <c r="S381" s="366">
        <f t="shared" si="93"/>
        <v>0</v>
      </c>
      <c r="T381" s="366">
        <f t="shared" si="93"/>
        <v>0</v>
      </c>
      <c r="U381" s="366">
        <f t="shared" si="93"/>
        <v>0</v>
      </c>
      <c r="V381" s="366">
        <f t="shared" si="93"/>
        <v>0</v>
      </c>
      <c r="W381" s="366">
        <f t="shared" si="93"/>
        <v>0</v>
      </c>
      <c r="X381" s="366">
        <f t="shared" si="93"/>
        <v>0</v>
      </c>
      <c r="Y381" s="366">
        <f t="shared" si="93"/>
        <v>0</v>
      </c>
      <c r="Z381" s="366">
        <f t="shared" si="93"/>
        <v>0</v>
      </c>
      <c r="AA381" s="366">
        <f t="shared" si="93"/>
        <v>0</v>
      </c>
      <c r="AB381" s="366">
        <f t="shared" si="93"/>
        <v>0</v>
      </c>
      <c r="AC381" s="366">
        <f t="shared" si="93"/>
        <v>0</v>
      </c>
      <c r="AD381" s="366">
        <f t="shared" si="93"/>
        <v>0</v>
      </c>
      <c r="AE381" s="366">
        <f t="shared" si="93"/>
        <v>0</v>
      </c>
      <c r="AF381" s="366">
        <f t="shared" si="93"/>
        <v>0</v>
      </c>
      <c r="AG381" s="366">
        <f t="shared" si="93"/>
        <v>0</v>
      </c>
      <c r="AH381" s="366">
        <f t="shared" si="93"/>
        <v>0</v>
      </c>
      <c r="AI381" s="366">
        <f t="shared" si="93"/>
        <v>0</v>
      </c>
      <c r="AJ381" s="366">
        <f t="shared" si="93"/>
        <v>0</v>
      </c>
      <c r="AK381" s="366">
        <f t="shared" si="93"/>
        <v>0</v>
      </c>
      <c r="AL381" s="366">
        <f t="shared" si="93"/>
        <v>0</v>
      </c>
      <c r="AM381" s="582"/>
    </row>
    <row r="382" spans="1:39" ht="12.75" customHeight="1" hidden="1">
      <c r="A382" s="640">
        <v>27</v>
      </c>
      <c r="B382" s="643"/>
      <c r="C382" s="646"/>
      <c r="D382" s="649"/>
      <c r="E382" s="634"/>
      <c r="F382" s="350" t="s">
        <v>113</v>
      </c>
      <c r="G382" s="419" t="s">
        <v>114</v>
      </c>
      <c r="H382" s="352"/>
      <c r="I382" s="369"/>
      <c r="J382" s="369"/>
      <c r="K382" s="369"/>
      <c r="L382" s="369"/>
      <c r="M382" s="369"/>
      <c r="N382" s="369"/>
      <c r="O382" s="369"/>
      <c r="P382" s="370"/>
      <c r="Q382" s="370"/>
      <c r="R382" s="370"/>
      <c r="S382" s="370"/>
      <c r="T382" s="370"/>
      <c r="U382" s="370"/>
      <c r="V382" s="370"/>
      <c r="W382" s="370"/>
      <c r="X382" s="370"/>
      <c r="Y382" s="370"/>
      <c r="Z382" s="370"/>
      <c r="AA382" s="370"/>
      <c r="AB382" s="370"/>
      <c r="AC382" s="370"/>
      <c r="AD382" s="370"/>
      <c r="AE382" s="370"/>
      <c r="AF382" s="370"/>
      <c r="AG382" s="370"/>
      <c r="AH382" s="370"/>
      <c r="AI382" s="370"/>
      <c r="AJ382" s="370"/>
      <c r="AK382" s="370"/>
      <c r="AL382" s="370"/>
      <c r="AM382" s="580">
        <f>SUM(J388:AL389)</f>
        <v>0</v>
      </c>
    </row>
    <row r="383" spans="1:39" ht="12.75" hidden="1">
      <c r="A383" s="641"/>
      <c r="B383" s="644"/>
      <c r="C383" s="647"/>
      <c r="D383" s="650"/>
      <c r="E383" s="635"/>
      <c r="F383" s="583">
        <f>SUM(H388:AL388)</f>
        <v>0</v>
      </c>
      <c r="G383" s="417" t="s">
        <v>115</v>
      </c>
      <c r="H383" s="356"/>
      <c r="I383" s="357"/>
      <c r="J383" s="357"/>
      <c r="K383" s="357"/>
      <c r="L383" s="357"/>
      <c r="M383" s="357"/>
      <c r="N383" s="357"/>
      <c r="O383" s="357"/>
      <c r="P383" s="358"/>
      <c r="Q383" s="358"/>
      <c r="R383" s="358"/>
      <c r="S383" s="358"/>
      <c r="T383" s="358"/>
      <c r="U383" s="358"/>
      <c r="V383" s="358"/>
      <c r="W383" s="358"/>
      <c r="X383" s="358"/>
      <c r="Y383" s="358"/>
      <c r="Z383" s="358"/>
      <c r="AA383" s="358"/>
      <c r="AB383" s="358"/>
      <c r="AC383" s="358"/>
      <c r="AD383" s="358"/>
      <c r="AE383" s="358"/>
      <c r="AF383" s="358"/>
      <c r="AG383" s="358"/>
      <c r="AH383" s="358"/>
      <c r="AI383" s="358"/>
      <c r="AJ383" s="358"/>
      <c r="AK383" s="358"/>
      <c r="AL383" s="358"/>
      <c r="AM383" s="581"/>
    </row>
    <row r="384" spans="1:39" ht="12.75" hidden="1">
      <c r="A384" s="641"/>
      <c r="B384" s="644"/>
      <c r="C384" s="647"/>
      <c r="D384" s="650"/>
      <c r="E384" s="635"/>
      <c r="F384" s="637"/>
      <c r="G384" s="417" t="s">
        <v>116</v>
      </c>
      <c r="H384" s="356"/>
      <c r="I384" s="357"/>
      <c r="J384" s="357"/>
      <c r="K384" s="357"/>
      <c r="L384" s="357"/>
      <c r="M384" s="357"/>
      <c r="N384" s="357"/>
      <c r="O384" s="357"/>
      <c r="P384" s="358"/>
      <c r="Q384" s="358"/>
      <c r="R384" s="358"/>
      <c r="S384" s="358"/>
      <c r="T384" s="358"/>
      <c r="U384" s="358"/>
      <c r="V384" s="358"/>
      <c r="W384" s="358"/>
      <c r="X384" s="358"/>
      <c r="Y384" s="358"/>
      <c r="Z384" s="358"/>
      <c r="AA384" s="358"/>
      <c r="AB384" s="358"/>
      <c r="AC384" s="358"/>
      <c r="AD384" s="358"/>
      <c r="AE384" s="358"/>
      <c r="AF384" s="358"/>
      <c r="AG384" s="358"/>
      <c r="AH384" s="358"/>
      <c r="AI384" s="358"/>
      <c r="AJ384" s="358"/>
      <c r="AK384" s="358"/>
      <c r="AL384" s="358"/>
      <c r="AM384" s="581"/>
    </row>
    <row r="385" spans="1:39" ht="12.75" hidden="1">
      <c r="A385" s="641"/>
      <c r="B385" s="644"/>
      <c r="C385" s="647"/>
      <c r="D385" s="650"/>
      <c r="E385" s="636"/>
      <c r="F385" s="359" t="s">
        <v>117</v>
      </c>
      <c r="G385" s="417" t="s">
        <v>118</v>
      </c>
      <c r="H385" s="356"/>
      <c r="I385" s="357"/>
      <c r="J385" s="357"/>
      <c r="K385" s="357"/>
      <c r="L385" s="357"/>
      <c r="M385" s="357"/>
      <c r="N385" s="357"/>
      <c r="O385" s="357"/>
      <c r="P385" s="358"/>
      <c r="Q385" s="358"/>
      <c r="R385" s="358"/>
      <c r="S385" s="358"/>
      <c r="T385" s="358"/>
      <c r="U385" s="358"/>
      <c r="V385" s="358"/>
      <c r="W385" s="358"/>
      <c r="X385" s="358"/>
      <c r="Y385" s="358"/>
      <c r="Z385" s="358"/>
      <c r="AA385" s="358"/>
      <c r="AB385" s="358"/>
      <c r="AC385" s="358"/>
      <c r="AD385" s="358"/>
      <c r="AE385" s="358"/>
      <c r="AF385" s="358"/>
      <c r="AG385" s="358"/>
      <c r="AH385" s="358"/>
      <c r="AI385" s="358"/>
      <c r="AJ385" s="358"/>
      <c r="AK385" s="358"/>
      <c r="AL385" s="358"/>
      <c r="AM385" s="581"/>
    </row>
    <row r="386" spans="1:39" ht="12.75" hidden="1">
      <c r="A386" s="641"/>
      <c r="B386" s="644"/>
      <c r="C386" s="647"/>
      <c r="D386" s="650"/>
      <c r="E386" s="638"/>
      <c r="F386" s="583">
        <f>SUM(H389:AL389)</f>
        <v>0</v>
      </c>
      <c r="G386" s="417" t="s">
        <v>122</v>
      </c>
      <c r="H386" s="356"/>
      <c r="I386" s="357"/>
      <c r="J386" s="357"/>
      <c r="K386" s="357"/>
      <c r="L386" s="357"/>
      <c r="M386" s="357"/>
      <c r="N386" s="357"/>
      <c r="O386" s="357"/>
      <c r="P386" s="358"/>
      <c r="Q386" s="358"/>
      <c r="R386" s="358"/>
      <c r="S386" s="358"/>
      <c r="T386" s="358"/>
      <c r="U386" s="358"/>
      <c r="V386" s="358"/>
      <c r="W386" s="358"/>
      <c r="X386" s="358"/>
      <c r="Y386" s="358"/>
      <c r="Z386" s="358"/>
      <c r="AA386" s="358"/>
      <c r="AB386" s="358"/>
      <c r="AC386" s="358"/>
      <c r="AD386" s="358"/>
      <c r="AE386" s="357"/>
      <c r="AF386" s="358"/>
      <c r="AG386" s="358"/>
      <c r="AH386" s="358"/>
      <c r="AI386" s="358"/>
      <c r="AJ386" s="358"/>
      <c r="AK386" s="358"/>
      <c r="AL386" s="358"/>
      <c r="AM386" s="581"/>
    </row>
    <row r="387" spans="1:39" ht="12.75" hidden="1">
      <c r="A387" s="641"/>
      <c r="B387" s="644"/>
      <c r="C387" s="647"/>
      <c r="D387" s="650"/>
      <c r="E387" s="635"/>
      <c r="F387" s="637"/>
      <c r="G387" s="417" t="s">
        <v>123</v>
      </c>
      <c r="H387" s="356"/>
      <c r="I387" s="357"/>
      <c r="J387" s="357"/>
      <c r="K387" s="357"/>
      <c r="L387" s="357"/>
      <c r="M387" s="357"/>
      <c r="N387" s="357"/>
      <c r="O387" s="357"/>
      <c r="P387" s="358"/>
      <c r="Q387" s="358"/>
      <c r="R387" s="358"/>
      <c r="S387" s="358"/>
      <c r="T387" s="358"/>
      <c r="U387" s="358"/>
      <c r="V387" s="358"/>
      <c r="W387" s="358"/>
      <c r="X387" s="358"/>
      <c r="Y387" s="358"/>
      <c r="Z387" s="358"/>
      <c r="AA387" s="358"/>
      <c r="AB387" s="358"/>
      <c r="AC387" s="358"/>
      <c r="AD387" s="358"/>
      <c r="AE387" s="357"/>
      <c r="AF387" s="358"/>
      <c r="AG387" s="358"/>
      <c r="AH387" s="358"/>
      <c r="AI387" s="358"/>
      <c r="AJ387" s="358"/>
      <c r="AK387" s="358"/>
      <c r="AL387" s="358"/>
      <c r="AM387" s="581"/>
    </row>
    <row r="388" spans="1:39" ht="12.75" hidden="1">
      <c r="A388" s="641"/>
      <c r="B388" s="644"/>
      <c r="C388" s="647"/>
      <c r="D388" s="650"/>
      <c r="E388" s="635"/>
      <c r="F388" s="359" t="s">
        <v>121</v>
      </c>
      <c r="G388" s="417" t="s">
        <v>124</v>
      </c>
      <c r="H388" s="360">
        <f aca="true" t="shared" si="94" ref="H388:AL388">H382+H384+H386</f>
        <v>0</v>
      </c>
      <c r="I388" s="361">
        <f t="shared" si="94"/>
        <v>0</v>
      </c>
      <c r="J388" s="361">
        <f t="shared" si="94"/>
        <v>0</v>
      </c>
      <c r="K388" s="361">
        <f t="shared" si="94"/>
        <v>0</v>
      </c>
      <c r="L388" s="361">
        <f t="shared" si="94"/>
        <v>0</v>
      </c>
      <c r="M388" s="361">
        <f t="shared" si="94"/>
        <v>0</v>
      </c>
      <c r="N388" s="361">
        <f t="shared" si="94"/>
        <v>0</v>
      </c>
      <c r="O388" s="361">
        <f t="shared" si="94"/>
        <v>0</v>
      </c>
      <c r="P388" s="361">
        <f t="shared" si="94"/>
        <v>0</v>
      </c>
      <c r="Q388" s="361">
        <f t="shared" si="94"/>
        <v>0</v>
      </c>
      <c r="R388" s="361">
        <f t="shared" si="94"/>
        <v>0</v>
      </c>
      <c r="S388" s="361">
        <f t="shared" si="94"/>
        <v>0</v>
      </c>
      <c r="T388" s="361">
        <f t="shared" si="94"/>
        <v>0</v>
      </c>
      <c r="U388" s="361">
        <f t="shared" si="94"/>
        <v>0</v>
      </c>
      <c r="V388" s="361">
        <f t="shared" si="94"/>
        <v>0</v>
      </c>
      <c r="W388" s="361">
        <f t="shared" si="94"/>
        <v>0</v>
      </c>
      <c r="X388" s="361">
        <f t="shared" si="94"/>
        <v>0</v>
      </c>
      <c r="Y388" s="361">
        <f t="shared" si="94"/>
        <v>0</v>
      </c>
      <c r="Z388" s="361">
        <f t="shared" si="94"/>
        <v>0</v>
      </c>
      <c r="AA388" s="361">
        <f t="shared" si="94"/>
        <v>0</v>
      </c>
      <c r="AB388" s="361">
        <f t="shared" si="94"/>
        <v>0</v>
      </c>
      <c r="AC388" s="361">
        <f t="shared" si="94"/>
        <v>0</v>
      </c>
      <c r="AD388" s="361">
        <f t="shared" si="94"/>
        <v>0</v>
      </c>
      <c r="AE388" s="361">
        <f t="shared" si="94"/>
        <v>0</v>
      </c>
      <c r="AF388" s="361">
        <f t="shared" si="94"/>
        <v>0</v>
      </c>
      <c r="AG388" s="361">
        <f t="shared" si="94"/>
        <v>0</v>
      </c>
      <c r="AH388" s="361">
        <f t="shared" si="94"/>
        <v>0</v>
      </c>
      <c r="AI388" s="361">
        <f t="shared" si="94"/>
        <v>0</v>
      </c>
      <c r="AJ388" s="361">
        <f t="shared" si="94"/>
        <v>0</v>
      </c>
      <c r="AK388" s="361">
        <f t="shared" si="94"/>
        <v>0</v>
      </c>
      <c r="AL388" s="361">
        <f t="shared" si="94"/>
        <v>0</v>
      </c>
      <c r="AM388" s="581"/>
    </row>
    <row r="389" spans="1:39" ht="13.5" hidden="1" thickBot="1">
      <c r="A389" s="642"/>
      <c r="B389" s="645"/>
      <c r="C389" s="648"/>
      <c r="D389" s="651"/>
      <c r="E389" s="639"/>
      <c r="F389" s="363">
        <f>F383+F386</f>
        <v>0</v>
      </c>
      <c r="G389" s="418" t="s">
        <v>125</v>
      </c>
      <c r="H389" s="365">
        <f aca="true" t="shared" si="95" ref="H389:AL389">H383+H385+H387</f>
        <v>0</v>
      </c>
      <c r="I389" s="366">
        <f t="shared" si="95"/>
        <v>0</v>
      </c>
      <c r="J389" s="366">
        <f t="shared" si="95"/>
        <v>0</v>
      </c>
      <c r="K389" s="366">
        <f t="shared" si="95"/>
        <v>0</v>
      </c>
      <c r="L389" s="366">
        <f t="shared" si="95"/>
        <v>0</v>
      </c>
      <c r="M389" s="366">
        <f t="shared" si="95"/>
        <v>0</v>
      </c>
      <c r="N389" s="366">
        <f t="shared" si="95"/>
        <v>0</v>
      </c>
      <c r="O389" s="366">
        <f t="shared" si="95"/>
        <v>0</v>
      </c>
      <c r="P389" s="366">
        <f t="shared" si="95"/>
        <v>0</v>
      </c>
      <c r="Q389" s="366">
        <f t="shared" si="95"/>
        <v>0</v>
      </c>
      <c r="R389" s="366">
        <f t="shared" si="95"/>
        <v>0</v>
      </c>
      <c r="S389" s="366">
        <f t="shared" si="95"/>
        <v>0</v>
      </c>
      <c r="T389" s="366">
        <f t="shared" si="95"/>
        <v>0</v>
      </c>
      <c r="U389" s="366">
        <f t="shared" si="95"/>
        <v>0</v>
      </c>
      <c r="V389" s="366">
        <f t="shared" si="95"/>
        <v>0</v>
      </c>
      <c r="W389" s="366">
        <f t="shared" si="95"/>
        <v>0</v>
      </c>
      <c r="X389" s="366">
        <f t="shared" si="95"/>
        <v>0</v>
      </c>
      <c r="Y389" s="366">
        <f t="shared" si="95"/>
        <v>0</v>
      </c>
      <c r="Z389" s="366">
        <f t="shared" si="95"/>
        <v>0</v>
      </c>
      <c r="AA389" s="366">
        <f t="shared" si="95"/>
        <v>0</v>
      </c>
      <c r="AB389" s="366">
        <f t="shared" si="95"/>
        <v>0</v>
      </c>
      <c r="AC389" s="366">
        <f t="shared" si="95"/>
        <v>0</v>
      </c>
      <c r="AD389" s="366">
        <f t="shared" si="95"/>
        <v>0</v>
      </c>
      <c r="AE389" s="366">
        <f t="shared" si="95"/>
        <v>0</v>
      </c>
      <c r="AF389" s="371">
        <f t="shared" si="95"/>
        <v>0</v>
      </c>
      <c r="AG389" s="371">
        <f t="shared" si="95"/>
        <v>0</v>
      </c>
      <c r="AH389" s="371">
        <f t="shared" si="95"/>
        <v>0</v>
      </c>
      <c r="AI389" s="371">
        <f t="shared" si="95"/>
        <v>0</v>
      </c>
      <c r="AJ389" s="371">
        <f t="shared" si="95"/>
        <v>0</v>
      </c>
      <c r="AK389" s="371">
        <f t="shared" si="95"/>
        <v>0</v>
      </c>
      <c r="AL389" s="371">
        <f t="shared" si="95"/>
        <v>0</v>
      </c>
      <c r="AM389" s="582"/>
    </row>
    <row r="390" spans="1:39" ht="12.75" customHeight="1" hidden="1">
      <c r="A390" s="640">
        <v>28</v>
      </c>
      <c r="B390" s="643"/>
      <c r="C390" s="646"/>
      <c r="D390" s="649"/>
      <c r="E390" s="634"/>
      <c r="F390" s="374" t="s">
        <v>113</v>
      </c>
      <c r="G390" s="419" t="s">
        <v>114</v>
      </c>
      <c r="H390" s="375"/>
      <c r="I390" s="369"/>
      <c r="J390" s="369"/>
      <c r="K390" s="369"/>
      <c r="L390" s="369"/>
      <c r="M390" s="369"/>
      <c r="N390" s="369"/>
      <c r="O390" s="369"/>
      <c r="P390" s="370"/>
      <c r="Q390" s="370"/>
      <c r="R390" s="370"/>
      <c r="S390" s="370"/>
      <c r="T390" s="370"/>
      <c r="U390" s="370"/>
      <c r="V390" s="370"/>
      <c r="W390" s="370"/>
      <c r="X390" s="370"/>
      <c r="Y390" s="370"/>
      <c r="Z390" s="370"/>
      <c r="AA390" s="370"/>
      <c r="AB390" s="370"/>
      <c r="AC390" s="370"/>
      <c r="AD390" s="370"/>
      <c r="AE390" s="370"/>
      <c r="AF390" s="370"/>
      <c r="AG390" s="370"/>
      <c r="AH390" s="370"/>
      <c r="AI390" s="370"/>
      <c r="AJ390" s="370"/>
      <c r="AK390" s="370"/>
      <c r="AL390" s="370"/>
      <c r="AM390" s="580">
        <f>SUM(J396:AL397)</f>
        <v>0</v>
      </c>
    </row>
    <row r="391" spans="1:39" ht="12.75" hidden="1">
      <c r="A391" s="641"/>
      <c r="B391" s="644"/>
      <c r="C391" s="647"/>
      <c r="D391" s="650"/>
      <c r="E391" s="635"/>
      <c r="F391" s="583">
        <f>SUM(H396:AL396)</f>
        <v>0</v>
      </c>
      <c r="G391" s="417" t="s">
        <v>115</v>
      </c>
      <c r="H391" s="356"/>
      <c r="I391" s="357"/>
      <c r="J391" s="357"/>
      <c r="K391" s="357"/>
      <c r="L391" s="357"/>
      <c r="M391" s="357"/>
      <c r="N391" s="357"/>
      <c r="O391" s="357"/>
      <c r="P391" s="358"/>
      <c r="Q391" s="358"/>
      <c r="R391" s="358"/>
      <c r="S391" s="358"/>
      <c r="T391" s="358"/>
      <c r="U391" s="358"/>
      <c r="V391" s="358"/>
      <c r="W391" s="358"/>
      <c r="X391" s="358"/>
      <c r="Y391" s="358"/>
      <c r="Z391" s="358"/>
      <c r="AA391" s="358"/>
      <c r="AB391" s="358"/>
      <c r="AC391" s="358"/>
      <c r="AD391" s="358"/>
      <c r="AE391" s="358"/>
      <c r="AF391" s="358"/>
      <c r="AG391" s="358"/>
      <c r="AH391" s="358"/>
      <c r="AI391" s="358"/>
      <c r="AJ391" s="358"/>
      <c r="AK391" s="358"/>
      <c r="AL391" s="358"/>
      <c r="AM391" s="581"/>
    </row>
    <row r="392" spans="1:39" ht="12.75" hidden="1">
      <c r="A392" s="641"/>
      <c r="B392" s="644"/>
      <c r="C392" s="647"/>
      <c r="D392" s="650"/>
      <c r="E392" s="635"/>
      <c r="F392" s="637"/>
      <c r="G392" s="417" t="s">
        <v>116</v>
      </c>
      <c r="H392" s="356"/>
      <c r="I392" s="357"/>
      <c r="J392" s="357"/>
      <c r="K392" s="357"/>
      <c r="L392" s="357"/>
      <c r="M392" s="357"/>
      <c r="N392" s="357"/>
      <c r="O392" s="357"/>
      <c r="P392" s="358"/>
      <c r="Q392" s="358"/>
      <c r="R392" s="358"/>
      <c r="S392" s="358"/>
      <c r="T392" s="358"/>
      <c r="U392" s="358"/>
      <c r="V392" s="358"/>
      <c r="W392" s="358"/>
      <c r="X392" s="358"/>
      <c r="Y392" s="358"/>
      <c r="Z392" s="358"/>
      <c r="AA392" s="358"/>
      <c r="AB392" s="358"/>
      <c r="AC392" s="358"/>
      <c r="AD392" s="358"/>
      <c r="AE392" s="358"/>
      <c r="AF392" s="358"/>
      <c r="AG392" s="358"/>
      <c r="AH392" s="358"/>
      <c r="AI392" s="358"/>
      <c r="AJ392" s="358"/>
      <c r="AK392" s="358"/>
      <c r="AL392" s="358"/>
      <c r="AM392" s="581"/>
    </row>
    <row r="393" spans="1:39" ht="12.75" hidden="1">
      <c r="A393" s="641"/>
      <c r="B393" s="644"/>
      <c r="C393" s="647"/>
      <c r="D393" s="650"/>
      <c r="E393" s="636"/>
      <c r="F393" s="359" t="s">
        <v>117</v>
      </c>
      <c r="G393" s="417" t="s">
        <v>118</v>
      </c>
      <c r="H393" s="356"/>
      <c r="I393" s="357"/>
      <c r="J393" s="357"/>
      <c r="K393" s="357"/>
      <c r="L393" s="357"/>
      <c r="M393" s="357"/>
      <c r="N393" s="357"/>
      <c r="O393" s="357"/>
      <c r="P393" s="358"/>
      <c r="Q393" s="358"/>
      <c r="R393" s="358"/>
      <c r="S393" s="358"/>
      <c r="T393" s="358"/>
      <c r="U393" s="358"/>
      <c r="V393" s="358"/>
      <c r="W393" s="358"/>
      <c r="X393" s="358"/>
      <c r="Y393" s="358"/>
      <c r="Z393" s="358"/>
      <c r="AA393" s="358"/>
      <c r="AB393" s="358"/>
      <c r="AC393" s="358"/>
      <c r="AD393" s="358"/>
      <c r="AE393" s="358"/>
      <c r="AF393" s="358"/>
      <c r="AG393" s="358"/>
      <c r="AH393" s="358"/>
      <c r="AI393" s="358"/>
      <c r="AJ393" s="358"/>
      <c r="AK393" s="358"/>
      <c r="AL393" s="358"/>
      <c r="AM393" s="581"/>
    </row>
    <row r="394" spans="1:39" ht="12.75" hidden="1">
      <c r="A394" s="641"/>
      <c r="B394" s="644"/>
      <c r="C394" s="647"/>
      <c r="D394" s="650"/>
      <c r="E394" s="638"/>
      <c r="F394" s="583">
        <f>SUM(H397:AL397)</f>
        <v>0</v>
      </c>
      <c r="G394" s="417" t="s">
        <v>122</v>
      </c>
      <c r="H394" s="356"/>
      <c r="I394" s="357"/>
      <c r="J394" s="357"/>
      <c r="K394" s="357"/>
      <c r="L394" s="357"/>
      <c r="M394" s="357"/>
      <c r="N394" s="357"/>
      <c r="O394" s="357"/>
      <c r="P394" s="358"/>
      <c r="Q394" s="358"/>
      <c r="R394" s="358"/>
      <c r="S394" s="358"/>
      <c r="T394" s="358"/>
      <c r="U394" s="358"/>
      <c r="V394" s="358"/>
      <c r="W394" s="358"/>
      <c r="X394" s="358"/>
      <c r="Y394" s="358"/>
      <c r="Z394" s="358"/>
      <c r="AA394" s="358"/>
      <c r="AB394" s="358"/>
      <c r="AC394" s="358"/>
      <c r="AD394" s="358"/>
      <c r="AE394" s="358"/>
      <c r="AF394" s="358"/>
      <c r="AG394" s="358"/>
      <c r="AH394" s="358"/>
      <c r="AI394" s="358"/>
      <c r="AJ394" s="358"/>
      <c r="AK394" s="358"/>
      <c r="AL394" s="358"/>
      <c r="AM394" s="581"/>
    </row>
    <row r="395" spans="1:39" ht="12.75" hidden="1">
      <c r="A395" s="641"/>
      <c r="B395" s="644"/>
      <c r="C395" s="647"/>
      <c r="D395" s="650"/>
      <c r="E395" s="635"/>
      <c r="F395" s="637"/>
      <c r="G395" s="417" t="s">
        <v>123</v>
      </c>
      <c r="H395" s="356"/>
      <c r="I395" s="357"/>
      <c r="J395" s="357"/>
      <c r="K395" s="357"/>
      <c r="L395" s="357"/>
      <c r="M395" s="357"/>
      <c r="N395" s="357"/>
      <c r="O395" s="357"/>
      <c r="P395" s="358"/>
      <c r="Q395" s="358"/>
      <c r="R395" s="358"/>
      <c r="S395" s="358"/>
      <c r="T395" s="358"/>
      <c r="U395" s="358"/>
      <c r="V395" s="358"/>
      <c r="W395" s="358"/>
      <c r="X395" s="358"/>
      <c r="Y395" s="358"/>
      <c r="Z395" s="358"/>
      <c r="AA395" s="358"/>
      <c r="AB395" s="358"/>
      <c r="AC395" s="358"/>
      <c r="AD395" s="358"/>
      <c r="AE395" s="358"/>
      <c r="AF395" s="358"/>
      <c r="AG395" s="358"/>
      <c r="AH395" s="358"/>
      <c r="AI395" s="358"/>
      <c r="AJ395" s="358"/>
      <c r="AK395" s="358"/>
      <c r="AL395" s="358"/>
      <c r="AM395" s="581"/>
    </row>
    <row r="396" spans="1:39" ht="12.75" hidden="1">
      <c r="A396" s="641"/>
      <c r="B396" s="644"/>
      <c r="C396" s="647"/>
      <c r="D396" s="650"/>
      <c r="E396" s="635"/>
      <c r="F396" s="359" t="s">
        <v>121</v>
      </c>
      <c r="G396" s="417" t="s">
        <v>124</v>
      </c>
      <c r="H396" s="360">
        <f aca="true" t="shared" si="96" ref="H396:AL396">H390+H392+H394</f>
        <v>0</v>
      </c>
      <c r="I396" s="361">
        <f t="shared" si="96"/>
        <v>0</v>
      </c>
      <c r="J396" s="361">
        <f t="shared" si="96"/>
        <v>0</v>
      </c>
      <c r="K396" s="361">
        <f t="shared" si="96"/>
        <v>0</v>
      </c>
      <c r="L396" s="361">
        <f t="shared" si="96"/>
        <v>0</v>
      </c>
      <c r="M396" s="361">
        <f t="shared" si="96"/>
        <v>0</v>
      </c>
      <c r="N396" s="361">
        <f t="shared" si="96"/>
        <v>0</v>
      </c>
      <c r="O396" s="361">
        <f t="shared" si="96"/>
        <v>0</v>
      </c>
      <c r="P396" s="361">
        <f t="shared" si="96"/>
        <v>0</v>
      </c>
      <c r="Q396" s="361">
        <f t="shared" si="96"/>
        <v>0</v>
      </c>
      <c r="R396" s="361">
        <f t="shared" si="96"/>
        <v>0</v>
      </c>
      <c r="S396" s="361">
        <f t="shared" si="96"/>
        <v>0</v>
      </c>
      <c r="T396" s="361">
        <f t="shared" si="96"/>
        <v>0</v>
      </c>
      <c r="U396" s="361">
        <f t="shared" si="96"/>
        <v>0</v>
      </c>
      <c r="V396" s="361">
        <f t="shared" si="96"/>
        <v>0</v>
      </c>
      <c r="W396" s="361">
        <f t="shared" si="96"/>
        <v>0</v>
      </c>
      <c r="X396" s="361">
        <f t="shared" si="96"/>
        <v>0</v>
      </c>
      <c r="Y396" s="361">
        <f t="shared" si="96"/>
        <v>0</v>
      </c>
      <c r="Z396" s="361">
        <f t="shared" si="96"/>
        <v>0</v>
      </c>
      <c r="AA396" s="361">
        <f t="shared" si="96"/>
        <v>0</v>
      </c>
      <c r="AB396" s="361">
        <f t="shared" si="96"/>
        <v>0</v>
      </c>
      <c r="AC396" s="361">
        <f t="shared" si="96"/>
        <v>0</v>
      </c>
      <c r="AD396" s="361">
        <f t="shared" si="96"/>
        <v>0</v>
      </c>
      <c r="AE396" s="361">
        <f t="shared" si="96"/>
        <v>0</v>
      </c>
      <c r="AF396" s="361">
        <f t="shared" si="96"/>
        <v>0</v>
      </c>
      <c r="AG396" s="361">
        <f t="shared" si="96"/>
        <v>0</v>
      </c>
      <c r="AH396" s="361">
        <f t="shared" si="96"/>
        <v>0</v>
      </c>
      <c r="AI396" s="361">
        <f t="shared" si="96"/>
        <v>0</v>
      </c>
      <c r="AJ396" s="361">
        <f t="shared" si="96"/>
        <v>0</v>
      </c>
      <c r="AK396" s="361">
        <f t="shared" si="96"/>
        <v>0</v>
      </c>
      <c r="AL396" s="361">
        <f t="shared" si="96"/>
        <v>0</v>
      </c>
      <c r="AM396" s="581"/>
    </row>
    <row r="397" spans="1:39" ht="13.5" hidden="1" thickBot="1">
      <c r="A397" s="642"/>
      <c r="B397" s="645"/>
      <c r="C397" s="648"/>
      <c r="D397" s="651"/>
      <c r="E397" s="639"/>
      <c r="F397" s="363">
        <f>F391+F394</f>
        <v>0</v>
      </c>
      <c r="G397" s="418" t="s">
        <v>125</v>
      </c>
      <c r="H397" s="365">
        <f aca="true" t="shared" si="97" ref="H397:AL397">H391+H393+H395</f>
        <v>0</v>
      </c>
      <c r="I397" s="366">
        <f t="shared" si="97"/>
        <v>0</v>
      </c>
      <c r="J397" s="366">
        <f t="shared" si="97"/>
        <v>0</v>
      </c>
      <c r="K397" s="366">
        <f t="shared" si="97"/>
        <v>0</v>
      </c>
      <c r="L397" s="366">
        <f t="shared" si="97"/>
        <v>0</v>
      </c>
      <c r="M397" s="366">
        <f t="shared" si="97"/>
        <v>0</v>
      </c>
      <c r="N397" s="366">
        <f t="shared" si="97"/>
        <v>0</v>
      </c>
      <c r="O397" s="366">
        <f t="shared" si="97"/>
        <v>0</v>
      </c>
      <c r="P397" s="366">
        <f t="shared" si="97"/>
        <v>0</v>
      </c>
      <c r="Q397" s="366">
        <f t="shared" si="97"/>
        <v>0</v>
      </c>
      <c r="R397" s="366">
        <f t="shared" si="97"/>
        <v>0</v>
      </c>
      <c r="S397" s="366">
        <f t="shared" si="97"/>
        <v>0</v>
      </c>
      <c r="T397" s="366">
        <f t="shared" si="97"/>
        <v>0</v>
      </c>
      <c r="U397" s="366">
        <f t="shared" si="97"/>
        <v>0</v>
      </c>
      <c r="V397" s="366">
        <f t="shared" si="97"/>
        <v>0</v>
      </c>
      <c r="W397" s="366">
        <f t="shared" si="97"/>
        <v>0</v>
      </c>
      <c r="X397" s="366">
        <f t="shared" si="97"/>
        <v>0</v>
      </c>
      <c r="Y397" s="366">
        <f t="shared" si="97"/>
        <v>0</v>
      </c>
      <c r="Z397" s="366">
        <f t="shared" si="97"/>
        <v>0</v>
      </c>
      <c r="AA397" s="366">
        <f t="shared" si="97"/>
        <v>0</v>
      </c>
      <c r="AB397" s="366">
        <f t="shared" si="97"/>
        <v>0</v>
      </c>
      <c r="AC397" s="366">
        <f t="shared" si="97"/>
        <v>0</v>
      </c>
      <c r="AD397" s="366">
        <f t="shared" si="97"/>
        <v>0</v>
      </c>
      <c r="AE397" s="366">
        <f t="shared" si="97"/>
        <v>0</v>
      </c>
      <c r="AF397" s="366">
        <f t="shared" si="97"/>
        <v>0</v>
      </c>
      <c r="AG397" s="366">
        <f t="shared" si="97"/>
        <v>0</v>
      </c>
      <c r="AH397" s="366">
        <f t="shared" si="97"/>
        <v>0</v>
      </c>
      <c r="AI397" s="366">
        <f t="shared" si="97"/>
        <v>0</v>
      </c>
      <c r="AJ397" s="366">
        <f t="shared" si="97"/>
        <v>0</v>
      </c>
      <c r="AK397" s="366">
        <f t="shared" si="97"/>
        <v>0</v>
      </c>
      <c r="AL397" s="366">
        <f t="shared" si="97"/>
        <v>0</v>
      </c>
      <c r="AM397" s="582"/>
    </row>
    <row r="398" spans="1:39" ht="12.75" customHeight="1" hidden="1">
      <c r="A398" s="640">
        <v>29</v>
      </c>
      <c r="B398" s="643"/>
      <c r="C398" s="646"/>
      <c r="D398" s="649"/>
      <c r="E398" s="634"/>
      <c r="F398" s="350" t="s">
        <v>113</v>
      </c>
      <c r="G398" s="416" t="s">
        <v>114</v>
      </c>
      <c r="H398" s="352"/>
      <c r="I398" s="353"/>
      <c r="J398" s="353"/>
      <c r="K398" s="353"/>
      <c r="L398" s="353"/>
      <c r="M398" s="353"/>
      <c r="N398" s="353"/>
      <c r="O398" s="353"/>
      <c r="P398" s="354"/>
      <c r="Q398" s="354"/>
      <c r="R398" s="354"/>
      <c r="S398" s="354"/>
      <c r="T398" s="354"/>
      <c r="U398" s="354"/>
      <c r="V398" s="354"/>
      <c r="W398" s="354"/>
      <c r="X398" s="354"/>
      <c r="Y398" s="354"/>
      <c r="Z398" s="354"/>
      <c r="AA398" s="354"/>
      <c r="AB398" s="354"/>
      <c r="AC398" s="354"/>
      <c r="AD398" s="354"/>
      <c r="AE398" s="354"/>
      <c r="AF398" s="354"/>
      <c r="AG398" s="354"/>
      <c r="AH398" s="354"/>
      <c r="AI398" s="354"/>
      <c r="AJ398" s="354"/>
      <c r="AK398" s="354"/>
      <c r="AL398" s="354"/>
      <c r="AM398" s="580">
        <f>SUM(J404:AL405)</f>
        <v>0</v>
      </c>
    </row>
    <row r="399" spans="1:39" ht="12.75" hidden="1">
      <c r="A399" s="641"/>
      <c r="B399" s="644"/>
      <c r="C399" s="647"/>
      <c r="D399" s="650"/>
      <c r="E399" s="635"/>
      <c r="F399" s="583">
        <f>SUM(H404:AL404)</f>
        <v>0</v>
      </c>
      <c r="G399" s="417" t="s">
        <v>115</v>
      </c>
      <c r="H399" s="356"/>
      <c r="I399" s="357"/>
      <c r="J399" s="357"/>
      <c r="K399" s="357"/>
      <c r="L399" s="357"/>
      <c r="M399" s="357"/>
      <c r="N399" s="357"/>
      <c r="O399" s="357"/>
      <c r="P399" s="358"/>
      <c r="Q399" s="358"/>
      <c r="R399" s="358"/>
      <c r="S399" s="358"/>
      <c r="T399" s="358"/>
      <c r="U399" s="358"/>
      <c r="V399" s="358"/>
      <c r="W399" s="358"/>
      <c r="X399" s="358"/>
      <c r="Y399" s="358"/>
      <c r="Z399" s="358"/>
      <c r="AA399" s="358"/>
      <c r="AB399" s="358"/>
      <c r="AC399" s="358"/>
      <c r="AD399" s="358"/>
      <c r="AE399" s="358"/>
      <c r="AF399" s="358"/>
      <c r="AG399" s="358"/>
      <c r="AH399" s="358"/>
      <c r="AI399" s="358"/>
      <c r="AJ399" s="358"/>
      <c r="AK399" s="358"/>
      <c r="AL399" s="358"/>
      <c r="AM399" s="581"/>
    </row>
    <row r="400" spans="1:39" ht="12.75" hidden="1">
      <c r="A400" s="641"/>
      <c r="B400" s="644"/>
      <c r="C400" s="647"/>
      <c r="D400" s="650"/>
      <c r="E400" s="635"/>
      <c r="F400" s="637"/>
      <c r="G400" s="417" t="s">
        <v>116</v>
      </c>
      <c r="H400" s="356"/>
      <c r="I400" s="357"/>
      <c r="J400" s="357"/>
      <c r="K400" s="357"/>
      <c r="L400" s="357"/>
      <c r="M400" s="357"/>
      <c r="N400" s="357"/>
      <c r="O400" s="357"/>
      <c r="P400" s="358"/>
      <c r="Q400" s="358"/>
      <c r="R400" s="358"/>
      <c r="S400" s="358"/>
      <c r="T400" s="358"/>
      <c r="U400" s="358"/>
      <c r="V400" s="358"/>
      <c r="W400" s="358"/>
      <c r="X400" s="358"/>
      <c r="Y400" s="358"/>
      <c r="Z400" s="358"/>
      <c r="AA400" s="358"/>
      <c r="AB400" s="358"/>
      <c r="AC400" s="358"/>
      <c r="AD400" s="358"/>
      <c r="AE400" s="358"/>
      <c r="AF400" s="358"/>
      <c r="AG400" s="358"/>
      <c r="AH400" s="358"/>
      <c r="AI400" s="358"/>
      <c r="AJ400" s="358"/>
      <c r="AK400" s="358"/>
      <c r="AL400" s="358"/>
      <c r="AM400" s="581"/>
    </row>
    <row r="401" spans="1:39" ht="11.25" customHeight="1" hidden="1">
      <c r="A401" s="641"/>
      <c r="B401" s="644"/>
      <c r="C401" s="647"/>
      <c r="D401" s="650"/>
      <c r="E401" s="636"/>
      <c r="F401" s="359" t="s">
        <v>117</v>
      </c>
      <c r="G401" s="417" t="s">
        <v>118</v>
      </c>
      <c r="H401" s="356"/>
      <c r="I401" s="357"/>
      <c r="J401" s="357"/>
      <c r="K401" s="357"/>
      <c r="L401" s="357"/>
      <c r="M401" s="357"/>
      <c r="N401" s="357"/>
      <c r="O401" s="357"/>
      <c r="P401" s="358"/>
      <c r="Q401" s="358"/>
      <c r="R401" s="358"/>
      <c r="S401" s="358"/>
      <c r="T401" s="358"/>
      <c r="U401" s="358"/>
      <c r="V401" s="358"/>
      <c r="W401" s="358"/>
      <c r="X401" s="358"/>
      <c r="Y401" s="358"/>
      <c r="Z401" s="358"/>
      <c r="AA401" s="358"/>
      <c r="AB401" s="358"/>
      <c r="AC401" s="358"/>
      <c r="AD401" s="358"/>
      <c r="AE401" s="358"/>
      <c r="AF401" s="358"/>
      <c r="AG401" s="358"/>
      <c r="AH401" s="358"/>
      <c r="AI401" s="358"/>
      <c r="AJ401" s="358"/>
      <c r="AK401" s="358"/>
      <c r="AL401" s="358"/>
      <c r="AM401" s="581"/>
    </row>
    <row r="402" spans="1:39" ht="12.75" hidden="1">
      <c r="A402" s="641"/>
      <c r="B402" s="644"/>
      <c r="C402" s="647"/>
      <c r="D402" s="650"/>
      <c r="E402" s="638"/>
      <c r="F402" s="583">
        <f>SUM(H405:AL405)</f>
        <v>0</v>
      </c>
      <c r="G402" s="417" t="s">
        <v>122</v>
      </c>
      <c r="H402" s="356"/>
      <c r="I402" s="357"/>
      <c r="J402" s="357"/>
      <c r="K402" s="357"/>
      <c r="L402" s="357"/>
      <c r="M402" s="357"/>
      <c r="N402" s="357"/>
      <c r="O402" s="357"/>
      <c r="P402" s="358"/>
      <c r="Q402" s="358"/>
      <c r="R402" s="358"/>
      <c r="S402" s="358"/>
      <c r="T402" s="358"/>
      <c r="U402" s="358"/>
      <c r="V402" s="358"/>
      <c r="W402" s="358"/>
      <c r="X402" s="358"/>
      <c r="Y402" s="358"/>
      <c r="Z402" s="358"/>
      <c r="AA402" s="358"/>
      <c r="AB402" s="358"/>
      <c r="AC402" s="358"/>
      <c r="AD402" s="358"/>
      <c r="AE402" s="358"/>
      <c r="AF402" s="358"/>
      <c r="AG402" s="358"/>
      <c r="AH402" s="358"/>
      <c r="AI402" s="358"/>
      <c r="AJ402" s="358"/>
      <c r="AK402" s="358"/>
      <c r="AL402" s="358"/>
      <c r="AM402" s="581"/>
    </row>
    <row r="403" spans="1:39" ht="12.75" hidden="1">
      <c r="A403" s="641"/>
      <c r="B403" s="644"/>
      <c r="C403" s="647"/>
      <c r="D403" s="650"/>
      <c r="E403" s="635"/>
      <c r="F403" s="637"/>
      <c r="G403" s="417" t="s">
        <v>123</v>
      </c>
      <c r="H403" s="356"/>
      <c r="I403" s="357"/>
      <c r="J403" s="357"/>
      <c r="K403" s="357"/>
      <c r="L403" s="357"/>
      <c r="M403" s="357"/>
      <c r="N403" s="357"/>
      <c r="O403" s="357"/>
      <c r="P403" s="358"/>
      <c r="Q403" s="358"/>
      <c r="R403" s="358"/>
      <c r="S403" s="358"/>
      <c r="T403" s="358"/>
      <c r="U403" s="358"/>
      <c r="V403" s="358"/>
      <c r="W403" s="358"/>
      <c r="X403" s="358"/>
      <c r="Y403" s="358"/>
      <c r="Z403" s="358"/>
      <c r="AA403" s="358"/>
      <c r="AB403" s="358"/>
      <c r="AC403" s="358"/>
      <c r="AD403" s="358"/>
      <c r="AE403" s="358"/>
      <c r="AF403" s="358"/>
      <c r="AG403" s="358"/>
      <c r="AH403" s="358"/>
      <c r="AI403" s="358"/>
      <c r="AJ403" s="358"/>
      <c r="AK403" s="358"/>
      <c r="AL403" s="358"/>
      <c r="AM403" s="581"/>
    </row>
    <row r="404" spans="1:39" ht="12.75" hidden="1">
      <c r="A404" s="641"/>
      <c r="B404" s="644"/>
      <c r="C404" s="647"/>
      <c r="D404" s="650"/>
      <c r="E404" s="635"/>
      <c r="F404" s="359" t="s">
        <v>121</v>
      </c>
      <c r="G404" s="417" t="s">
        <v>124</v>
      </c>
      <c r="H404" s="360">
        <f aca="true" t="shared" si="98" ref="H404:AL404">H398+H400+H402</f>
        <v>0</v>
      </c>
      <c r="I404" s="361">
        <f t="shared" si="98"/>
        <v>0</v>
      </c>
      <c r="J404" s="361">
        <f t="shared" si="98"/>
        <v>0</v>
      </c>
      <c r="K404" s="361">
        <f t="shared" si="98"/>
        <v>0</v>
      </c>
      <c r="L404" s="361">
        <f t="shared" si="98"/>
        <v>0</v>
      </c>
      <c r="M404" s="361">
        <f t="shared" si="98"/>
        <v>0</v>
      </c>
      <c r="N404" s="361">
        <f t="shared" si="98"/>
        <v>0</v>
      </c>
      <c r="O404" s="361">
        <f t="shared" si="98"/>
        <v>0</v>
      </c>
      <c r="P404" s="361">
        <f t="shared" si="98"/>
        <v>0</v>
      </c>
      <c r="Q404" s="361">
        <f t="shared" si="98"/>
        <v>0</v>
      </c>
      <c r="R404" s="361">
        <f t="shared" si="98"/>
        <v>0</v>
      </c>
      <c r="S404" s="361">
        <f t="shared" si="98"/>
        <v>0</v>
      </c>
      <c r="T404" s="361">
        <f t="shared" si="98"/>
        <v>0</v>
      </c>
      <c r="U404" s="361">
        <f t="shared" si="98"/>
        <v>0</v>
      </c>
      <c r="V404" s="361">
        <f t="shared" si="98"/>
        <v>0</v>
      </c>
      <c r="W404" s="361">
        <f t="shared" si="98"/>
        <v>0</v>
      </c>
      <c r="X404" s="361">
        <f t="shared" si="98"/>
        <v>0</v>
      </c>
      <c r="Y404" s="361">
        <f t="shared" si="98"/>
        <v>0</v>
      </c>
      <c r="Z404" s="361">
        <f t="shared" si="98"/>
        <v>0</v>
      </c>
      <c r="AA404" s="361">
        <f t="shared" si="98"/>
        <v>0</v>
      </c>
      <c r="AB404" s="361">
        <f t="shared" si="98"/>
        <v>0</v>
      </c>
      <c r="AC404" s="361">
        <f t="shared" si="98"/>
        <v>0</v>
      </c>
      <c r="AD404" s="361">
        <f t="shared" si="98"/>
        <v>0</v>
      </c>
      <c r="AE404" s="361">
        <f t="shared" si="98"/>
        <v>0</v>
      </c>
      <c r="AF404" s="361">
        <f t="shared" si="98"/>
        <v>0</v>
      </c>
      <c r="AG404" s="361">
        <f t="shared" si="98"/>
        <v>0</v>
      </c>
      <c r="AH404" s="361">
        <f t="shared" si="98"/>
        <v>0</v>
      </c>
      <c r="AI404" s="361">
        <f t="shared" si="98"/>
        <v>0</v>
      </c>
      <c r="AJ404" s="361">
        <f t="shared" si="98"/>
        <v>0</v>
      </c>
      <c r="AK404" s="361">
        <f t="shared" si="98"/>
        <v>0</v>
      </c>
      <c r="AL404" s="361">
        <f t="shared" si="98"/>
        <v>0</v>
      </c>
      <c r="AM404" s="581"/>
    </row>
    <row r="405" spans="1:39" ht="13.5" hidden="1" thickBot="1">
      <c r="A405" s="642"/>
      <c r="B405" s="645"/>
      <c r="C405" s="648"/>
      <c r="D405" s="651"/>
      <c r="E405" s="639"/>
      <c r="F405" s="363">
        <f>F399+F402</f>
        <v>0</v>
      </c>
      <c r="G405" s="418" t="s">
        <v>125</v>
      </c>
      <c r="H405" s="365">
        <f aca="true" t="shared" si="99" ref="H405:AL405">H399+H401+H403</f>
        <v>0</v>
      </c>
      <c r="I405" s="366">
        <f t="shared" si="99"/>
        <v>0</v>
      </c>
      <c r="J405" s="366">
        <f t="shared" si="99"/>
        <v>0</v>
      </c>
      <c r="K405" s="366">
        <f t="shared" si="99"/>
        <v>0</v>
      </c>
      <c r="L405" s="366">
        <f t="shared" si="99"/>
        <v>0</v>
      </c>
      <c r="M405" s="366">
        <f t="shared" si="99"/>
        <v>0</v>
      </c>
      <c r="N405" s="366">
        <f t="shared" si="99"/>
        <v>0</v>
      </c>
      <c r="O405" s="366">
        <f t="shared" si="99"/>
        <v>0</v>
      </c>
      <c r="P405" s="366">
        <f t="shared" si="99"/>
        <v>0</v>
      </c>
      <c r="Q405" s="366">
        <f t="shared" si="99"/>
        <v>0</v>
      </c>
      <c r="R405" s="366">
        <f t="shared" si="99"/>
        <v>0</v>
      </c>
      <c r="S405" s="366">
        <f t="shared" si="99"/>
        <v>0</v>
      </c>
      <c r="T405" s="366">
        <f t="shared" si="99"/>
        <v>0</v>
      </c>
      <c r="U405" s="366">
        <f t="shared" si="99"/>
        <v>0</v>
      </c>
      <c r="V405" s="366">
        <f t="shared" si="99"/>
        <v>0</v>
      </c>
      <c r="W405" s="366">
        <f t="shared" si="99"/>
        <v>0</v>
      </c>
      <c r="X405" s="366">
        <f t="shared" si="99"/>
        <v>0</v>
      </c>
      <c r="Y405" s="366">
        <f t="shared" si="99"/>
        <v>0</v>
      </c>
      <c r="Z405" s="366">
        <f t="shared" si="99"/>
        <v>0</v>
      </c>
      <c r="AA405" s="366">
        <f t="shared" si="99"/>
        <v>0</v>
      </c>
      <c r="AB405" s="366">
        <f t="shared" si="99"/>
        <v>0</v>
      </c>
      <c r="AC405" s="366">
        <f t="shared" si="99"/>
        <v>0</v>
      </c>
      <c r="AD405" s="366">
        <f t="shared" si="99"/>
        <v>0</v>
      </c>
      <c r="AE405" s="366">
        <f t="shared" si="99"/>
        <v>0</v>
      </c>
      <c r="AF405" s="366">
        <f t="shared" si="99"/>
        <v>0</v>
      </c>
      <c r="AG405" s="366">
        <f t="shared" si="99"/>
        <v>0</v>
      </c>
      <c r="AH405" s="366">
        <f t="shared" si="99"/>
        <v>0</v>
      </c>
      <c r="AI405" s="366">
        <f t="shared" si="99"/>
        <v>0</v>
      </c>
      <c r="AJ405" s="366">
        <f t="shared" si="99"/>
        <v>0</v>
      </c>
      <c r="AK405" s="366">
        <f t="shared" si="99"/>
        <v>0</v>
      </c>
      <c r="AL405" s="366">
        <f t="shared" si="99"/>
        <v>0</v>
      </c>
      <c r="AM405" s="582"/>
    </row>
    <row r="406" spans="1:39" ht="12.75" customHeight="1" hidden="1">
      <c r="A406" s="640">
        <v>30</v>
      </c>
      <c r="B406" s="643"/>
      <c r="C406" s="646"/>
      <c r="D406" s="649"/>
      <c r="E406" s="634"/>
      <c r="F406" s="350" t="s">
        <v>113</v>
      </c>
      <c r="G406" s="416" t="s">
        <v>200</v>
      </c>
      <c r="H406" s="352"/>
      <c r="I406" s="353"/>
      <c r="J406" s="353"/>
      <c r="K406" s="353"/>
      <c r="L406" s="353"/>
      <c r="M406" s="353"/>
      <c r="N406" s="353"/>
      <c r="O406" s="353"/>
      <c r="P406" s="354"/>
      <c r="Q406" s="354"/>
      <c r="R406" s="354"/>
      <c r="S406" s="354"/>
      <c r="T406" s="354"/>
      <c r="U406" s="354"/>
      <c r="V406" s="354"/>
      <c r="W406" s="354"/>
      <c r="X406" s="354"/>
      <c r="Y406" s="354"/>
      <c r="Z406" s="354"/>
      <c r="AA406" s="354"/>
      <c r="AB406" s="354"/>
      <c r="AC406" s="354"/>
      <c r="AD406" s="354"/>
      <c r="AE406" s="354"/>
      <c r="AF406" s="354"/>
      <c r="AG406" s="354"/>
      <c r="AH406" s="354"/>
      <c r="AI406" s="354"/>
      <c r="AJ406" s="354"/>
      <c r="AK406" s="354"/>
      <c r="AL406" s="354"/>
      <c r="AM406" s="580">
        <f>SUM(J412:AL413)</f>
        <v>0</v>
      </c>
    </row>
    <row r="407" spans="1:39" ht="12.75" hidden="1">
      <c r="A407" s="641"/>
      <c r="B407" s="644"/>
      <c r="C407" s="647"/>
      <c r="D407" s="650"/>
      <c r="E407" s="635"/>
      <c r="F407" s="583">
        <f>SUM(H412:AL412)</f>
        <v>0</v>
      </c>
      <c r="G407" s="417" t="s">
        <v>201</v>
      </c>
      <c r="H407" s="356"/>
      <c r="I407" s="357"/>
      <c r="J407" s="357"/>
      <c r="K407" s="357"/>
      <c r="L407" s="357"/>
      <c r="M407" s="357"/>
      <c r="N407" s="357"/>
      <c r="O407" s="357"/>
      <c r="P407" s="358"/>
      <c r="Q407" s="358"/>
      <c r="R407" s="358"/>
      <c r="S407" s="358"/>
      <c r="T407" s="358"/>
      <c r="U407" s="358"/>
      <c r="V407" s="358"/>
      <c r="W407" s="358"/>
      <c r="X407" s="358"/>
      <c r="Y407" s="358"/>
      <c r="Z407" s="358"/>
      <c r="AA407" s="358"/>
      <c r="AB407" s="358"/>
      <c r="AC407" s="358"/>
      <c r="AD407" s="358"/>
      <c r="AE407" s="358"/>
      <c r="AF407" s="358"/>
      <c r="AG407" s="358"/>
      <c r="AH407" s="358"/>
      <c r="AI407" s="358"/>
      <c r="AJ407" s="358"/>
      <c r="AK407" s="358"/>
      <c r="AL407" s="358"/>
      <c r="AM407" s="581"/>
    </row>
    <row r="408" spans="1:39" ht="12.75" hidden="1">
      <c r="A408" s="641"/>
      <c r="B408" s="644"/>
      <c r="C408" s="647"/>
      <c r="D408" s="650"/>
      <c r="E408" s="635"/>
      <c r="F408" s="637"/>
      <c r="G408" s="417" t="s">
        <v>116</v>
      </c>
      <c r="H408" s="356"/>
      <c r="I408" s="357"/>
      <c r="J408" s="357"/>
      <c r="K408" s="357"/>
      <c r="L408" s="357"/>
      <c r="M408" s="357"/>
      <c r="N408" s="357"/>
      <c r="O408" s="357"/>
      <c r="P408" s="358"/>
      <c r="Q408" s="358"/>
      <c r="R408" s="358"/>
      <c r="S408" s="358"/>
      <c r="T408" s="358"/>
      <c r="U408" s="358"/>
      <c r="V408" s="358"/>
      <c r="W408" s="358"/>
      <c r="X408" s="358"/>
      <c r="Y408" s="358"/>
      <c r="Z408" s="358"/>
      <c r="AA408" s="358"/>
      <c r="AB408" s="358"/>
      <c r="AC408" s="358"/>
      <c r="AD408" s="358"/>
      <c r="AE408" s="358"/>
      <c r="AF408" s="358"/>
      <c r="AG408" s="358"/>
      <c r="AH408" s="358"/>
      <c r="AI408" s="358"/>
      <c r="AJ408" s="358"/>
      <c r="AK408" s="358"/>
      <c r="AL408" s="358"/>
      <c r="AM408" s="581"/>
    </row>
    <row r="409" spans="1:39" ht="12.75" hidden="1">
      <c r="A409" s="641"/>
      <c r="B409" s="644"/>
      <c r="C409" s="647"/>
      <c r="D409" s="650"/>
      <c r="E409" s="636"/>
      <c r="F409" s="359" t="s">
        <v>117</v>
      </c>
      <c r="G409" s="417" t="s">
        <v>118</v>
      </c>
      <c r="H409" s="356"/>
      <c r="I409" s="357"/>
      <c r="J409" s="357"/>
      <c r="K409" s="357"/>
      <c r="L409" s="357"/>
      <c r="M409" s="357"/>
      <c r="N409" s="357"/>
      <c r="O409" s="357"/>
      <c r="P409" s="358"/>
      <c r="Q409" s="358"/>
      <c r="R409" s="358"/>
      <c r="S409" s="358"/>
      <c r="T409" s="358"/>
      <c r="U409" s="358"/>
      <c r="V409" s="358"/>
      <c r="W409" s="358"/>
      <c r="X409" s="358"/>
      <c r="Y409" s="358"/>
      <c r="Z409" s="358"/>
      <c r="AA409" s="358"/>
      <c r="AB409" s="358"/>
      <c r="AC409" s="358"/>
      <c r="AD409" s="358"/>
      <c r="AE409" s="358"/>
      <c r="AF409" s="358"/>
      <c r="AG409" s="358"/>
      <c r="AH409" s="358"/>
      <c r="AI409" s="358"/>
      <c r="AJ409" s="358"/>
      <c r="AK409" s="358"/>
      <c r="AL409" s="358"/>
      <c r="AM409" s="581"/>
    </row>
    <row r="410" spans="1:39" ht="12.75" hidden="1">
      <c r="A410" s="641"/>
      <c r="B410" s="644"/>
      <c r="C410" s="647"/>
      <c r="D410" s="650"/>
      <c r="E410" s="638"/>
      <c r="F410" s="583">
        <f>SUM(H413:AL413)</f>
        <v>0</v>
      </c>
      <c r="G410" s="417" t="s">
        <v>122</v>
      </c>
      <c r="H410" s="356"/>
      <c r="I410" s="357"/>
      <c r="J410" s="357"/>
      <c r="K410" s="357"/>
      <c r="L410" s="357"/>
      <c r="M410" s="357"/>
      <c r="N410" s="357"/>
      <c r="O410" s="357"/>
      <c r="P410" s="358"/>
      <c r="Q410" s="358"/>
      <c r="R410" s="358"/>
      <c r="S410" s="358"/>
      <c r="T410" s="358"/>
      <c r="U410" s="358"/>
      <c r="V410" s="358"/>
      <c r="W410" s="358"/>
      <c r="X410" s="358"/>
      <c r="Y410" s="358"/>
      <c r="Z410" s="358"/>
      <c r="AA410" s="358"/>
      <c r="AB410" s="358"/>
      <c r="AC410" s="358"/>
      <c r="AD410" s="358"/>
      <c r="AE410" s="358"/>
      <c r="AF410" s="358"/>
      <c r="AG410" s="358"/>
      <c r="AH410" s="358"/>
      <c r="AI410" s="358"/>
      <c r="AJ410" s="358"/>
      <c r="AK410" s="358"/>
      <c r="AL410" s="358"/>
      <c r="AM410" s="581"/>
    </row>
    <row r="411" spans="1:39" ht="12.75" hidden="1">
      <c r="A411" s="641"/>
      <c r="B411" s="644"/>
      <c r="C411" s="647"/>
      <c r="D411" s="650"/>
      <c r="E411" s="635"/>
      <c r="F411" s="637"/>
      <c r="G411" s="417" t="s">
        <v>123</v>
      </c>
      <c r="H411" s="356"/>
      <c r="I411" s="357"/>
      <c r="J411" s="357"/>
      <c r="K411" s="357"/>
      <c r="L411" s="357"/>
      <c r="M411" s="357"/>
      <c r="N411" s="357"/>
      <c r="O411" s="357"/>
      <c r="P411" s="358"/>
      <c r="Q411" s="358"/>
      <c r="R411" s="358"/>
      <c r="S411" s="358"/>
      <c r="T411" s="358"/>
      <c r="U411" s="358"/>
      <c r="V411" s="358"/>
      <c r="W411" s="358"/>
      <c r="X411" s="358"/>
      <c r="Y411" s="358"/>
      <c r="Z411" s="358"/>
      <c r="AA411" s="358"/>
      <c r="AB411" s="358"/>
      <c r="AC411" s="358"/>
      <c r="AD411" s="358"/>
      <c r="AE411" s="358"/>
      <c r="AF411" s="358"/>
      <c r="AG411" s="358"/>
      <c r="AH411" s="358"/>
      <c r="AI411" s="358"/>
      <c r="AJ411" s="358"/>
      <c r="AK411" s="358"/>
      <c r="AL411" s="358"/>
      <c r="AM411" s="581"/>
    </row>
    <row r="412" spans="1:39" ht="12.75" hidden="1">
      <c r="A412" s="641"/>
      <c r="B412" s="644"/>
      <c r="C412" s="647"/>
      <c r="D412" s="650"/>
      <c r="E412" s="635"/>
      <c r="F412" s="359" t="s">
        <v>121</v>
      </c>
      <c r="G412" s="417" t="s">
        <v>124</v>
      </c>
      <c r="H412" s="360">
        <f aca="true" t="shared" si="100" ref="H412:AL412">H406+H408+H410</f>
        <v>0</v>
      </c>
      <c r="I412" s="361">
        <f t="shared" si="100"/>
        <v>0</v>
      </c>
      <c r="J412" s="361">
        <f t="shared" si="100"/>
        <v>0</v>
      </c>
      <c r="K412" s="361">
        <f t="shared" si="100"/>
        <v>0</v>
      </c>
      <c r="L412" s="361">
        <f t="shared" si="100"/>
        <v>0</v>
      </c>
      <c r="M412" s="361">
        <f t="shared" si="100"/>
        <v>0</v>
      </c>
      <c r="N412" s="361">
        <f t="shared" si="100"/>
        <v>0</v>
      </c>
      <c r="O412" s="361">
        <f t="shared" si="100"/>
        <v>0</v>
      </c>
      <c r="P412" s="361">
        <f t="shared" si="100"/>
        <v>0</v>
      </c>
      <c r="Q412" s="361">
        <f t="shared" si="100"/>
        <v>0</v>
      </c>
      <c r="R412" s="361">
        <f t="shared" si="100"/>
        <v>0</v>
      </c>
      <c r="S412" s="361">
        <f t="shared" si="100"/>
        <v>0</v>
      </c>
      <c r="T412" s="361">
        <f t="shared" si="100"/>
        <v>0</v>
      </c>
      <c r="U412" s="361">
        <f t="shared" si="100"/>
        <v>0</v>
      </c>
      <c r="V412" s="361">
        <f t="shared" si="100"/>
        <v>0</v>
      </c>
      <c r="W412" s="361">
        <f t="shared" si="100"/>
        <v>0</v>
      </c>
      <c r="X412" s="361">
        <f t="shared" si="100"/>
        <v>0</v>
      </c>
      <c r="Y412" s="361">
        <f t="shared" si="100"/>
        <v>0</v>
      </c>
      <c r="Z412" s="361">
        <f t="shared" si="100"/>
        <v>0</v>
      </c>
      <c r="AA412" s="361">
        <f t="shared" si="100"/>
        <v>0</v>
      </c>
      <c r="AB412" s="361">
        <f t="shared" si="100"/>
        <v>0</v>
      </c>
      <c r="AC412" s="361">
        <f t="shared" si="100"/>
        <v>0</v>
      </c>
      <c r="AD412" s="361">
        <f t="shared" si="100"/>
        <v>0</v>
      </c>
      <c r="AE412" s="361">
        <f t="shared" si="100"/>
        <v>0</v>
      </c>
      <c r="AF412" s="361">
        <f t="shared" si="100"/>
        <v>0</v>
      </c>
      <c r="AG412" s="361">
        <f t="shared" si="100"/>
        <v>0</v>
      </c>
      <c r="AH412" s="361">
        <f t="shared" si="100"/>
        <v>0</v>
      </c>
      <c r="AI412" s="361">
        <f t="shared" si="100"/>
        <v>0</v>
      </c>
      <c r="AJ412" s="361">
        <f t="shared" si="100"/>
        <v>0</v>
      </c>
      <c r="AK412" s="361">
        <f t="shared" si="100"/>
        <v>0</v>
      </c>
      <c r="AL412" s="361">
        <f t="shared" si="100"/>
        <v>0</v>
      </c>
      <c r="AM412" s="581"/>
    </row>
    <row r="413" spans="1:39" ht="13.5" hidden="1" thickBot="1">
      <c r="A413" s="642"/>
      <c r="B413" s="645"/>
      <c r="C413" s="648"/>
      <c r="D413" s="651"/>
      <c r="E413" s="639"/>
      <c r="F413" s="363">
        <f>F407+F410</f>
        <v>0</v>
      </c>
      <c r="G413" s="418" t="s">
        <v>125</v>
      </c>
      <c r="H413" s="365">
        <f aca="true" t="shared" si="101" ref="H413:AL413">H407+H409+H411</f>
        <v>0</v>
      </c>
      <c r="I413" s="366">
        <f t="shared" si="101"/>
        <v>0</v>
      </c>
      <c r="J413" s="366">
        <f t="shared" si="101"/>
        <v>0</v>
      </c>
      <c r="K413" s="366">
        <f t="shared" si="101"/>
        <v>0</v>
      </c>
      <c r="L413" s="366">
        <f t="shared" si="101"/>
        <v>0</v>
      </c>
      <c r="M413" s="366">
        <f t="shared" si="101"/>
        <v>0</v>
      </c>
      <c r="N413" s="366">
        <f t="shared" si="101"/>
        <v>0</v>
      </c>
      <c r="O413" s="366">
        <f t="shared" si="101"/>
        <v>0</v>
      </c>
      <c r="P413" s="366">
        <f t="shared" si="101"/>
        <v>0</v>
      </c>
      <c r="Q413" s="366">
        <f t="shared" si="101"/>
        <v>0</v>
      </c>
      <c r="R413" s="366">
        <f t="shared" si="101"/>
        <v>0</v>
      </c>
      <c r="S413" s="366">
        <f t="shared" si="101"/>
        <v>0</v>
      </c>
      <c r="T413" s="366">
        <f t="shared" si="101"/>
        <v>0</v>
      </c>
      <c r="U413" s="366">
        <f t="shared" si="101"/>
        <v>0</v>
      </c>
      <c r="V413" s="366">
        <f t="shared" si="101"/>
        <v>0</v>
      </c>
      <c r="W413" s="366">
        <f t="shared" si="101"/>
        <v>0</v>
      </c>
      <c r="X413" s="366">
        <f t="shared" si="101"/>
        <v>0</v>
      </c>
      <c r="Y413" s="366">
        <f t="shared" si="101"/>
        <v>0</v>
      </c>
      <c r="Z413" s="366">
        <f t="shared" si="101"/>
        <v>0</v>
      </c>
      <c r="AA413" s="366">
        <f t="shared" si="101"/>
        <v>0</v>
      </c>
      <c r="AB413" s="366">
        <f t="shared" si="101"/>
        <v>0</v>
      </c>
      <c r="AC413" s="366">
        <f t="shared" si="101"/>
        <v>0</v>
      </c>
      <c r="AD413" s="366">
        <f t="shared" si="101"/>
        <v>0</v>
      </c>
      <c r="AE413" s="366">
        <f t="shared" si="101"/>
        <v>0</v>
      </c>
      <c r="AF413" s="366">
        <f t="shared" si="101"/>
        <v>0</v>
      </c>
      <c r="AG413" s="366">
        <f t="shared" si="101"/>
        <v>0</v>
      </c>
      <c r="AH413" s="366">
        <f t="shared" si="101"/>
        <v>0</v>
      </c>
      <c r="AI413" s="366">
        <f t="shared" si="101"/>
        <v>0</v>
      </c>
      <c r="AJ413" s="366">
        <f t="shared" si="101"/>
        <v>0</v>
      </c>
      <c r="AK413" s="366">
        <f t="shared" si="101"/>
        <v>0</v>
      </c>
      <c r="AL413" s="366">
        <f t="shared" si="101"/>
        <v>0</v>
      </c>
      <c r="AM413" s="582"/>
    </row>
    <row r="414" spans="1:39" ht="12.75" customHeight="1" hidden="1">
      <c r="A414" s="640">
        <v>31</v>
      </c>
      <c r="B414" s="643"/>
      <c r="C414" s="646"/>
      <c r="D414" s="649"/>
      <c r="E414" s="634"/>
      <c r="F414" s="350" t="s">
        <v>113</v>
      </c>
      <c r="G414" s="416" t="s">
        <v>114</v>
      </c>
      <c r="H414" s="352"/>
      <c r="I414" s="353"/>
      <c r="J414" s="353"/>
      <c r="K414" s="353"/>
      <c r="L414" s="353"/>
      <c r="M414" s="353"/>
      <c r="N414" s="353"/>
      <c r="O414" s="353"/>
      <c r="P414" s="354"/>
      <c r="Q414" s="354"/>
      <c r="R414" s="354"/>
      <c r="S414" s="354"/>
      <c r="T414" s="354"/>
      <c r="U414" s="354"/>
      <c r="V414" s="354"/>
      <c r="W414" s="354"/>
      <c r="X414" s="354"/>
      <c r="Y414" s="354"/>
      <c r="Z414" s="354"/>
      <c r="AA414" s="354"/>
      <c r="AB414" s="354"/>
      <c r="AC414" s="354"/>
      <c r="AD414" s="354"/>
      <c r="AE414" s="354"/>
      <c r="AF414" s="354"/>
      <c r="AG414" s="354"/>
      <c r="AH414" s="354"/>
      <c r="AI414" s="354"/>
      <c r="AJ414" s="354"/>
      <c r="AK414" s="354"/>
      <c r="AL414" s="354"/>
      <c r="AM414" s="580">
        <f>SUM(J420:AL421)</f>
        <v>0</v>
      </c>
    </row>
    <row r="415" spans="1:39" ht="12.75" hidden="1">
      <c r="A415" s="641"/>
      <c r="B415" s="644"/>
      <c r="C415" s="647"/>
      <c r="D415" s="650"/>
      <c r="E415" s="635"/>
      <c r="F415" s="583">
        <f>SUM(H420:AL420)</f>
        <v>0</v>
      </c>
      <c r="G415" s="417" t="s">
        <v>115</v>
      </c>
      <c r="H415" s="356"/>
      <c r="I415" s="357"/>
      <c r="J415" s="357"/>
      <c r="K415" s="357"/>
      <c r="L415" s="357"/>
      <c r="M415" s="357"/>
      <c r="N415" s="357"/>
      <c r="O415" s="357"/>
      <c r="P415" s="358"/>
      <c r="Q415" s="358"/>
      <c r="R415" s="358"/>
      <c r="S415" s="358"/>
      <c r="T415" s="358"/>
      <c r="U415" s="358"/>
      <c r="V415" s="358"/>
      <c r="W415" s="358"/>
      <c r="X415" s="358"/>
      <c r="Y415" s="358"/>
      <c r="Z415" s="358"/>
      <c r="AA415" s="358"/>
      <c r="AB415" s="358"/>
      <c r="AC415" s="358"/>
      <c r="AD415" s="358"/>
      <c r="AE415" s="358"/>
      <c r="AF415" s="358"/>
      <c r="AG415" s="358"/>
      <c r="AH415" s="358"/>
      <c r="AI415" s="358"/>
      <c r="AJ415" s="358"/>
      <c r="AK415" s="358"/>
      <c r="AL415" s="358"/>
      <c r="AM415" s="581"/>
    </row>
    <row r="416" spans="1:39" ht="12.75" hidden="1">
      <c r="A416" s="641"/>
      <c r="B416" s="644"/>
      <c r="C416" s="647"/>
      <c r="D416" s="650"/>
      <c r="E416" s="635"/>
      <c r="F416" s="637"/>
      <c r="G416" s="417" t="s">
        <v>116</v>
      </c>
      <c r="H416" s="356"/>
      <c r="I416" s="357"/>
      <c r="J416" s="357"/>
      <c r="K416" s="357"/>
      <c r="L416" s="357"/>
      <c r="M416" s="357"/>
      <c r="N416" s="357"/>
      <c r="O416" s="357"/>
      <c r="P416" s="358"/>
      <c r="Q416" s="358"/>
      <c r="R416" s="358"/>
      <c r="S416" s="358"/>
      <c r="T416" s="358"/>
      <c r="U416" s="358"/>
      <c r="V416" s="358"/>
      <c r="W416" s="358"/>
      <c r="X416" s="358"/>
      <c r="Y416" s="358"/>
      <c r="Z416" s="358"/>
      <c r="AA416" s="358"/>
      <c r="AB416" s="358"/>
      <c r="AC416" s="358"/>
      <c r="AD416" s="358"/>
      <c r="AE416" s="358"/>
      <c r="AF416" s="358"/>
      <c r="AG416" s="358"/>
      <c r="AH416" s="358"/>
      <c r="AI416" s="358"/>
      <c r="AJ416" s="358"/>
      <c r="AK416" s="358"/>
      <c r="AL416" s="358"/>
      <c r="AM416" s="581"/>
    </row>
    <row r="417" spans="1:39" ht="12.75" hidden="1">
      <c r="A417" s="641"/>
      <c r="B417" s="644"/>
      <c r="C417" s="647"/>
      <c r="D417" s="650"/>
      <c r="E417" s="636"/>
      <c r="F417" s="359" t="s">
        <v>117</v>
      </c>
      <c r="G417" s="417" t="s">
        <v>118</v>
      </c>
      <c r="H417" s="356"/>
      <c r="I417" s="357"/>
      <c r="J417" s="357"/>
      <c r="K417" s="357"/>
      <c r="L417" s="357"/>
      <c r="M417" s="357"/>
      <c r="N417" s="357"/>
      <c r="O417" s="357"/>
      <c r="P417" s="358"/>
      <c r="Q417" s="358"/>
      <c r="R417" s="358"/>
      <c r="S417" s="358"/>
      <c r="T417" s="358"/>
      <c r="U417" s="358"/>
      <c r="V417" s="358"/>
      <c r="W417" s="358"/>
      <c r="X417" s="358"/>
      <c r="Y417" s="358"/>
      <c r="Z417" s="358"/>
      <c r="AA417" s="358"/>
      <c r="AB417" s="358"/>
      <c r="AC417" s="358"/>
      <c r="AD417" s="358"/>
      <c r="AE417" s="358"/>
      <c r="AF417" s="358"/>
      <c r="AG417" s="358"/>
      <c r="AH417" s="358"/>
      <c r="AI417" s="358"/>
      <c r="AJ417" s="358"/>
      <c r="AK417" s="358"/>
      <c r="AL417" s="358"/>
      <c r="AM417" s="581"/>
    </row>
    <row r="418" spans="1:39" ht="12.75" hidden="1">
      <c r="A418" s="641"/>
      <c r="B418" s="644"/>
      <c r="C418" s="647"/>
      <c r="D418" s="650"/>
      <c r="E418" s="638"/>
      <c r="F418" s="583">
        <f>SUM(H421:AL421)</f>
        <v>0</v>
      </c>
      <c r="G418" s="417" t="s">
        <v>122</v>
      </c>
      <c r="H418" s="356"/>
      <c r="I418" s="357"/>
      <c r="J418" s="357"/>
      <c r="K418" s="357"/>
      <c r="L418" s="357"/>
      <c r="M418" s="357"/>
      <c r="N418" s="357"/>
      <c r="O418" s="357"/>
      <c r="P418" s="358"/>
      <c r="Q418" s="358"/>
      <c r="R418" s="358"/>
      <c r="S418" s="358"/>
      <c r="T418" s="358"/>
      <c r="U418" s="358"/>
      <c r="V418" s="358"/>
      <c r="W418" s="358"/>
      <c r="X418" s="358"/>
      <c r="Y418" s="358"/>
      <c r="Z418" s="358"/>
      <c r="AA418" s="358"/>
      <c r="AB418" s="358"/>
      <c r="AC418" s="358"/>
      <c r="AD418" s="358"/>
      <c r="AE418" s="358"/>
      <c r="AF418" s="358"/>
      <c r="AG418" s="358"/>
      <c r="AH418" s="358"/>
      <c r="AI418" s="358"/>
      <c r="AJ418" s="358"/>
      <c r="AK418" s="358"/>
      <c r="AL418" s="358"/>
      <c r="AM418" s="581"/>
    </row>
    <row r="419" spans="1:39" ht="12.75" hidden="1">
      <c r="A419" s="641"/>
      <c r="B419" s="644"/>
      <c r="C419" s="647"/>
      <c r="D419" s="650"/>
      <c r="E419" s="635"/>
      <c r="F419" s="637"/>
      <c r="G419" s="417" t="s">
        <v>123</v>
      </c>
      <c r="H419" s="356"/>
      <c r="I419" s="357"/>
      <c r="J419" s="357"/>
      <c r="K419" s="357"/>
      <c r="L419" s="357"/>
      <c r="M419" s="357"/>
      <c r="N419" s="357"/>
      <c r="O419" s="357"/>
      <c r="P419" s="358"/>
      <c r="Q419" s="358"/>
      <c r="R419" s="358"/>
      <c r="S419" s="358"/>
      <c r="T419" s="358"/>
      <c r="U419" s="358"/>
      <c r="V419" s="358"/>
      <c r="W419" s="358"/>
      <c r="X419" s="358"/>
      <c r="Y419" s="358"/>
      <c r="Z419" s="358"/>
      <c r="AA419" s="358"/>
      <c r="AB419" s="358"/>
      <c r="AC419" s="358"/>
      <c r="AD419" s="358"/>
      <c r="AE419" s="358"/>
      <c r="AF419" s="358"/>
      <c r="AG419" s="358"/>
      <c r="AH419" s="358"/>
      <c r="AI419" s="358"/>
      <c r="AJ419" s="358"/>
      <c r="AK419" s="358"/>
      <c r="AL419" s="358"/>
      <c r="AM419" s="581"/>
    </row>
    <row r="420" spans="1:39" ht="12.75" hidden="1">
      <c r="A420" s="641"/>
      <c r="B420" s="644"/>
      <c r="C420" s="647"/>
      <c r="D420" s="650"/>
      <c r="E420" s="635"/>
      <c r="F420" s="359" t="s">
        <v>121</v>
      </c>
      <c r="G420" s="417" t="s">
        <v>124</v>
      </c>
      <c r="H420" s="360">
        <f aca="true" t="shared" si="102" ref="H420:AL420">H414+H416+H418</f>
        <v>0</v>
      </c>
      <c r="I420" s="361">
        <f t="shared" si="102"/>
        <v>0</v>
      </c>
      <c r="J420" s="361">
        <f t="shared" si="102"/>
        <v>0</v>
      </c>
      <c r="K420" s="361">
        <f t="shared" si="102"/>
        <v>0</v>
      </c>
      <c r="L420" s="361">
        <f t="shared" si="102"/>
        <v>0</v>
      </c>
      <c r="M420" s="361">
        <f t="shared" si="102"/>
        <v>0</v>
      </c>
      <c r="N420" s="361">
        <f t="shared" si="102"/>
        <v>0</v>
      </c>
      <c r="O420" s="361">
        <f t="shared" si="102"/>
        <v>0</v>
      </c>
      <c r="P420" s="361">
        <f t="shared" si="102"/>
        <v>0</v>
      </c>
      <c r="Q420" s="361">
        <f t="shared" si="102"/>
        <v>0</v>
      </c>
      <c r="R420" s="361">
        <f t="shared" si="102"/>
        <v>0</v>
      </c>
      <c r="S420" s="361">
        <f t="shared" si="102"/>
        <v>0</v>
      </c>
      <c r="T420" s="361">
        <f t="shared" si="102"/>
        <v>0</v>
      </c>
      <c r="U420" s="361">
        <f t="shared" si="102"/>
        <v>0</v>
      </c>
      <c r="V420" s="361">
        <f t="shared" si="102"/>
        <v>0</v>
      </c>
      <c r="W420" s="361">
        <f t="shared" si="102"/>
        <v>0</v>
      </c>
      <c r="X420" s="361">
        <f t="shared" si="102"/>
        <v>0</v>
      </c>
      <c r="Y420" s="361">
        <f t="shared" si="102"/>
        <v>0</v>
      </c>
      <c r="Z420" s="361">
        <f t="shared" si="102"/>
        <v>0</v>
      </c>
      <c r="AA420" s="361">
        <f t="shared" si="102"/>
        <v>0</v>
      </c>
      <c r="AB420" s="361">
        <f t="shared" si="102"/>
        <v>0</v>
      </c>
      <c r="AC420" s="361">
        <f t="shared" si="102"/>
        <v>0</v>
      </c>
      <c r="AD420" s="361">
        <f t="shared" si="102"/>
        <v>0</v>
      </c>
      <c r="AE420" s="361">
        <f t="shared" si="102"/>
        <v>0</v>
      </c>
      <c r="AF420" s="361">
        <f t="shared" si="102"/>
        <v>0</v>
      </c>
      <c r="AG420" s="361">
        <f t="shared" si="102"/>
        <v>0</v>
      </c>
      <c r="AH420" s="361">
        <f t="shared" si="102"/>
        <v>0</v>
      </c>
      <c r="AI420" s="361">
        <f t="shared" si="102"/>
        <v>0</v>
      </c>
      <c r="AJ420" s="361">
        <f t="shared" si="102"/>
        <v>0</v>
      </c>
      <c r="AK420" s="361">
        <f t="shared" si="102"/>
        <v>0</v>
      </c>
      <c r="AL420" s="361">
        <f t="shared" si="102"/>
        <v>0</v>
      </c>
      <c r="AM420" s="581"/>
    </row>
    <row r="421" spans="1:39" ht="13.5" hidden="1" thickBot="1">
      <c r="A421" s="642"/>
      <c r="B421" s="645"/>
      <c r="C421" s="648"/>
      <c r="D421" s="651"/>
      <c r="E421" s="639"/>
      <c r="F421" s="363">
        <f>F415+F418</f>
        <v>0</v>
      </c>
      <c r="G421" s="418" t="s">
        <v>125</v>
      </c>
      <c r="H421" s="365">
        <f aca="true" t="shared" si="103" ref="H421:AL421">H415+H417+H419</f>
        <v>0</v>
      </c>
      <c r="I421" s="366">
        <f t="shared" si="103"/>
        <v>0</v>
      </c>
      <c r="J421" s="366">
        <f t="shared" si="103"/>
        <v>0</v>
      </c>
      <c r="K421" s="366">
        <f t="shared" si="103"/>
        <v>0</v>
      </c>
      <c r="L421" s="366">
        <f t="shared" si="103"/>
        <v>0</v>
      </c>
      <c r="M421" s="366">
        <f t="shared" si="103"/>
        <v>0</v>
      </c>
      <c r="N421" s="366">
        <f t="shared" si="103"/>
        <v>0</v>
      </c>
      <c r="O421" s="366">
        <f t="shared" si="103"/>
        <v>0</v>
      </c>
      <c r="P421" s="366">
        <f t="shared" si="103"/>
        <v>0</v>
      </c>
      <c r="Q421" s="366">
        <f t="shared" si="103"/>
        <v>0</v>
      </c>
      <c r="R421" s="366">
        <f t="shared" si="103"/>
        <v>0</v>
      </c>
      <c r="S421" s="366">
        <f t="shared" si="103"/>
        <v>0</v>
      </c>
      <c r="T421" s="366">
        <f t="shared" si="103"/>
        <v>0</v>
      </c>
      <c r="U421" s="366">
        <f t="shared" si="103"/>
        <v>0</v>
      </c>
      <c r="V421" s="366">
        <f t="shared" si="103"/>
        <v>0</v>
      </c>
      <c r="W421" s="366">
        <f t="shared" si="103"/>
        <v>0</v>
      </c>
      <c r="X421" s="366">
        <f t="shared" si="103"/>
        <v>0</v>
      </c>
      <c r="Y421" s="366">
        <f t="shared" si="103"/>
        <v>0</v>
      </c>
      <c r="Z421" s="366">
        <f t="shared" si="103"/>
        <v>0</v>
      </c>
      <c r="AA421" s="366">
        <f t="shared" si="103"/>
        <v>0</v>
      </c>
      <c r="AB421" s="366">
        <f t="shared" si="103"/>
        <v>0</v>
      </c>
      <c r="AC421" s="366">
        <f t="shared" si="103"/>
        <v>0</v>
      </c>
      <c r="AD421" s="366">
        <f t="shared" si="103"/>
        <v>0</v>
      </c>
      <c r="AE421" s="366">
        <f t="shared" si="103"/>
        <v>0</v>
      </c>
      <c r="AF421" s="366">
        <f t="shared" si="103"/>
        <v>0</v>
      </c>
      <c r="AG421" s="366">
        <f t="shared" si="103"/>
        <v>0</v>
      </c>
      <c r="AH421" s="366">
        <f t="shared" si="103"/>
        <v>0</v>
      </c>
      <c r="AI421" s="366">
        <f t="shared" si="103"/>
        <v>0</v>
      </c>
      <c r="AJ421" s="366">
        <f t="shared" si="103"/>
        <v>0</v>
      </c>
      <c r="AK421" s="366">
        <f t="shared" si="103"/>
        <v>0</v>
      </c>
      <c r="AL421" s="366">
        <f t="shared" si="103"/>
        <v>0</v>
      </c>
      <c r="AM421" s="582"/>
    </row>
    <row r="422" spans="1:39" ht="12.75" customHeight="1" hidden="1">
      <c r="A422" s="640">
        <v>32</v>
      </c>
      <c r="B422" s="643"/>
      <c r="C422" s="646"/>
      <c r="D422" s="649"/>
      <c r="E422" s="634"/>
      <c r="F422" s="350" t="s">
        <v>113</v>
      </c>
      <c r="G422" s="416" t="s">
        <v>114</v>
      </c>
      <c r="H422" s="352"/>
      <c r="I422" s="353"/>
      <c r="J422" s="353"/>
      <c r="K422" s="353"/>
      <c r="L422" s="353"/>
      <c r="M422" s="353"/>
      <c r="N422" s="353"/>
      <c r="O422" s="353"/>
      <c r="P422" s="354"/>
      <c r="Q422" s="354"/>
      <c r="R422" s="354"/>
      <c r="S422" s="354"/>
      <c r="T422" s="354"/>
      <c r="U422" s="354"/>
      <c r="V422" s="354"/>
      <c r="W422" s="354"/>
      <c r="X422" s="354"/>
      <c r="Y422" s="354"/>
      <c r="Z422" s="354"/>
      <c r="AA422" s="354"/>
      <c r="AB422" s="354"/>
      <c r="AC422" s="354"/>
      <c r="AD422" s="354"/>
      <c r="AE422" s="354"/>
      <c r="AF422" s="354"/>
      <c r="AG422" s="354"/>
      <c r="AH422" s="354"/>
      <c r="AI422" s="354"/>
      <c r="AJ422" s="354"/>
      <c r="AK422" s="354"/>
      <c r="AL422" s="354"/>
      <c r="AM422" s="580">
        <f>SUM(J428:AL429)</f>
        <v>0</v>
      </c>
    </row>
    <row r="423" spans="1:39" ht="12.75" hidden="1">
      <c r="A423" s="641"/>
      <c r="B423" s="644"/>
      <c r="C423" s="647"/>
      <c r="D423" s="650"/>
      <c r="E423" s="635"/>
      <c r="F423" s="583">
        <f>SUM(H428:AL428)</f>
        <v>0</v>
      </c>
      <c r="G423" s="417" t="s">
        <v>115</v>
      </c>
      <c r="H423" s="356"/>
      <c r="I423" s="357"/>
      <c r="J423" s="357"/>
      <c r="K423" s="357"/>
      <c r="L423" s="357"/>
      <c r="M423" s="357"/>
      <c r="N423" s="357"/>
      <c r="O423" s="357"/>
      <c r="P423" s="358"/>
      <c r="Q423" s="358"/>
      <c r="R423" s="358"/>
      <c r="S423" s="358"/>
      <c r="T423" s="358"/>
      <c r="U423" s="358"/>
      <c r="V423" s="358"/>
      <c r="W423" s="358"/>
      <c r="X423" s="358"/>
      <c r="Y423" s="358"/>
      <c r="Z423" s="358"/>
      <c r="AA423" s="358"/>
      <c r="AB423" s="358"/>
      <c r="AC423" s="358"/>
      <c r="AD423" s="358"/>
      <c r="AE423" s="358"/>
      <c r="AF423" s="358"/>
      <c r="AG423" s="358"/>
      <c r="AH423" s="358"/>
      <c r="AI423" s="358"/>
      <c r="AJ423" s="358"/>
      <c r="AK423" s="358"/>
      <c r="AL423" s="358"/>
      <c r="AM423" s="581"/>
    </row>
    <row r="424" spans="1:39" ht="12.75" hidden="1">
      <c r="A424" s="641"/>
      <c r="B424" s="644"/>
      <c r="C424" s="647"/>
      <c r="D424" s="650"/>
      <c r="E424" s="635"/>
      <c r="F424" s="637"/>
      <c r="G424" s="417" t="s">
        <v>116</v>
      </c>
      <c r="H424" s="356"/>
      <c r="I424" s="357"/>
      <c r="J424" s="357"/>
      <c r="K424" s="357"/>
      <c r="L424" s="357"/>
      <c r="M424" s="357"/>
      <c r="N424" s="357"/>
      <c r="O424" s="357"/>
      <c r="P424" s="358"/>
      <c r="Q424" s="358"/>
      <c r="R424" s="358"/>
      <c r="S424" s="358"/>
      <c r="T424" s="358"/>
      <c r="U424" s="358"/>
      <c r="V424" s="358"/>
      <c r="W424" s="358"/>
      <c r="X424" s="358"/>
      <c r="Y424" s="358"/>
      <c r="Z424" s="358"/>
      <c r="AA424" s="358"/>
      <c r="AB424" s="358"/>
      <c r="AC424" s="358"/>
      <c r="AD424" s="358"/>
      <c r="AE424" s="358"/>
      <c r="AF424" s="358"/>
      <c r="AG424" s="358"/>
      <c r="AH424" s="358"/>
      <c r="AI424" s="358"/>
      <c r="AJ424" s="358"/>
      <c r="AK424" s="358"/>
      <c r="AL424" s="358"/>
      <c r="AM424" s="581"/>
    </row>
    <row r="425" spans="1:39" ht="12.75" hidden="1">
      <c r="A425" s="641"/>
      <c r="B425" s="644"/>
      <c r="C425" s="647"/>
      <c r="D425" s="650"/>
      <c r="E425" s="636"/>
      <c r="F425" s="359" t="s">
        <v>117</v>
      </c>
      <c r="G425" s="417" t="s">
        <v>118</v>
      </c>
      <c r="H425" s="356"/>
      <c r="I425" s="357"/>
      <c r="J425" s="357"/>
      <c r="K425" s="357"/>
      <c r="L425" s="357"/>
      <c r="M425" s="357"/>
      <c r="N425" s="357"/>
      <c r="O425" s="357"/>
      <c r="P425" s="358"/>
      <c r="Q425" s="358"/>
      <c r="R425" s="358"/>
      <c r="S425" s="358"/>
      <c r="T425" s="358"/>
      <c r="U425" s="358"/>
      <c r="V425" s="358"/>
      <c r="W425" s="358"/>
      <c r="X425" s="358"/>
      <c r="Y425" s="358"/>
      <c r="Z425" s="358"/>
      <c r="AA425" s="358"/>
      <c r="AB425" s="358"/>
      <c r="AC425" s="358"/>
      <c r="AD425" s="358"/>
      <c r="AE425" s="358"/>
      <c r="AF425" s="358"/>
      <c r="AG425" s="358"/>
      <c r="AH425" s="358"/>
      <c r="AI425" s="358"/>
      <c r="AJ425" s="358"/>
      <c r="AK425" s="358"/>
      <c r="AL425" s="358"/>
      <c r="AM425" s="581"/>
    </row>
    <row r="426" spans="1:39" ht="12.75" hidden="1">
      <c r="A426" s="641"/>
      <c r="B426" s="644"/>
      <c r="C426" s="647"/>
      <c r="D426" s="650"/>
      <c r="E426" s="638"/>
      <c r="F426" s="583">
        <f>SUM(H429:AL429)</f>
        <v>0</v>
      </c>
      <c r="G426" s="417" t="s">
        <v>122</v>
      </c>
      <c r="H426" s="356"/>
      <c r="I426" s="357"/>
      <c r="J426" s="357"/>
      <c r="K426" s="357"/>
      <c r="L426" s="357"/>
      <c r="M426" s="357"/>
      <c r="N426" s="357"/>
      <c r="O426" s="357"/>
      <c r="P426" s="358"/>
      <c r="Q426" s="358"/>
      <c r="R426" s="358"/>
      <c r="S426" s="358"/>
      <c r="T426" s="358"/>
      <c r="U426" s="358"/>
      <c r="V426" s="358"/>
      <c r="W426" s="358"/>
      <c r="X426" s="358"/>
      <c r="Y426" s="358"/>
      <c r="Z426" s="358"/>
      <c r="AA426" s="358"/>
      <c r="AB426" s="358"/>
      <c r="AC426" s="358"/>
      <c r="AD426" s="358"/>
      <c r="AE426" s="358"/>
      <c r="AF426" s="358"/>
      <c r="AG426" s="358"/>
      <c r="AH426" s="358"/>
      <c r="AI426" s="358"/>
      <c r="AJ426" s="358"/>
      <c r="AK426" s="358"/>
      <c r="AL426" s="358"/>
      <c r="AM426" s="581"/>
    </row>
    <row r="427" spans="1:39" ht="12.75" hidden="1">
      <c r="A427" s="641"/>
      <c r="B427" s="644"/>
      <c r="C427" s="647"/>
      <c r="D427" s="650"/>
      <c r="E427" s="635"/>
      <c r="F427" s="637"/>
      <c r="G427" s="417" t="s">
        <v>123</v>
      </c>
      <c r="H427" s="356"/>
      <c r="I427" s="357"/>
      <c r="J427" s="357"/>
      <c r="K427" s="357"/>
      <c r="L427" s="357"/>
      <c r="M427" s="357"/>
      <c r="N427" s="357"/>
      <c r="O427" s="357"/>
      <c r="P427" s="358"/>
      <c r="Q427" s="358"/>
      <c r="R427" s="358"/>
      <c r="S427" s="358"/>
      <c r="T427" s="358"/>
      <c r="U427" s="358"/>
      <c r="V427" s="358"/>
      <c r="W427" s="358"/>
      <c r="X427" s="358"/>
      <c r="Y427" s="358"/>
      <c r="Z427" s="358"/>
      <c r="AA427" s="358"/>
      <c r="AB427" s="358"/>
      <c r="AC427" s="358"/>
      <c r="AD427" s="358"/>
      <c r="AE427" s="358"/>
      <c r="AF427" s="358"/>
      <c r="AG427" s="358"/>
      <c r="AH427" s="358"/>
      <c r="AI427" s="358"/>
      <c r="AJ427" s="358"/>
      <c r="AK427" s="358"/>
      <c r="AL427" s="358"/>
      <c r="AM427" s="581"/>
    </row>
    <row r="428" spans="1:39" ht="12.75" hidden="1">
      <c r="A428" s="641"/>
      <c r="B428" s="644"/>
      <c r="C428" s="647"/>
      <c r="D428" s="650"/>
      <c r="E428" s="635"/>
      <c r="F428" s="359" t="s">
        <v>121</v>
      </c>
      <c r="G428" s="417" t="s">
        <v>124</v>
      </c>
      <c r="H428" s="360">
        <f aca="true" t="shared" si="104" ref="H428:AL428">H422+H424+H426</f>
        <v>0</v>
      </c>
      <c r="I428" s="361">
        <f t="shared" si="104"/>
        <v>0</v>
      </c>
      <c r="J428" s="361">
        <f t="shared" si="104"/>
        <v>0</v>
      </c>
      <c r="K428" s="361">
        <f t="shared" si="104"/>
        <v>0</v>
      </c>
      <c r="L428" s="361">
        <f t="shared" si="104"/>
        <v>0</v>
      </c>
      <c r="M428" s="361">
        <f t="shared" si="104"/>
        <v>0</v>
      </c>
      <c r="N428" s="361">
        <f t="shared" si="104"/>
        <v>0</v>
      </c>
      <c r="O428" s="361">
        <f t="shared" si="104"/>
        <v>0</v>
      </c>
      <c r="P428" s="361">
        <f t="shared" si="104"/>
        <v>0</v>
      </c>
      <c r="Q428" s="361">
        <f t="shared" si="104"/>
        <v>0</v>
      </c>
      <c r="R428" s="361">
        <f t="shared" si="104"/>
        <v>0</v>
      </c>
      <c r="S428" s="361">
        <f t="shared" si="104"/>
        <v>0</v>
      </c>
      <c r="T428" s="361">
        <f t="shared" si="104"/>
        <v>0</v>
      </c>
      <c r="U428" s="361">
        <f t="shared" si="104"/>
        <v>0</v>
      </c>
      <c r="V428" s="361">
        <f t="shared" si="104"/>
        <v>0</v>
      </c>
      <c r="W428" s="361">
        <f t="shared" si="104"/>
        <v>0</v>
      </c>
      <c r="X428" s="361">
        <f t="shared" si="104"/>
        <v>0</v>
      </c>
      <c r="Y428" s="361">
        <f t="shared" si="104"/>
        <v>0</v>
      </c>
      <c r="Z428" s="361">
        <f t="shared" si="104"/>
        <v>0</v>
      </c>
      <c r="AA428" s="361">
        <f t="shared" si="104"/>
        <v>0</v>
      </c>
      <c r="AB428" s="361">
        <f t="shared" si="104"/>
        <v>0</v>
      </c>
      <c r="AC428" s="361">
        <f t="shared" si="104"/>
        <v>0</v>
      </c>
      <c r="AD428" s="361">
        <f t="shared" si="104"/>
        <v>0</v>
      </c>
      <c r="AE428" s="361">
        <f t="shared" si="104"/>
        <v>0</v>
      </c>
      <c r="AF428" s="361">
        <f t="shared" si="104"/>
        <v>0</v>
      </c>
      <c r="AG428" s="361">
        <f t="shared" si="104"/>
        <v>0</v>
      </c>
      <c r="AH428" s="361">
        <f t="shared" si="104"/>
        <v>0</v>
      </c>
      <c r="AI428" s="361">
        <f t="shared" si="104"/>
        <v>0</v>
      </c>
      <c r="AJ428" s="361">
        <f t="shared" si="104"/>
        <v>0</v>
      </c>
      <c r="AK428" s="361">
        <f t="shared" si="104"/>
        <v>0</v>
      </c>
      <c r="AL428" s="361">
        <f t="shared" si="104"/>
        <v>0</v>
      </c>
      <c r="AM428" s="581"/>
    </row>
    <row r="429" spans="1:39" ht="13.5" hidden="1" thickBot="1">
      <c r="A429" s="642"/>
      <c r="B429" s="645"/>
      <c r="C429" s="648"/>
      <c r="D429" s="651"/>
      <c r="E429" s="639"/>
      <c r="F429" s="363">
        <f>F423+F426</f>
        <v>0</v>
      </c>
      <c r="G429" s="418" t="s">
        <v>125</v>
      </c>
      <c r="H429" s="365">
        <f aca="true" t="shared" si="105" ref="H429:AL429">H423+H425+H427</f>
        <v>0</v>
      </c>
      <c r="I429" s="366">
        <f t="shared" si="105"/>
        <v>0</v>
      </c>
      <c r="J429" s="366">
        <f t="shared" si="105"/>
        <v>0</v>
      </c>
      <c r="K429" s="366">
        <f t="shared" si="105"/>
        <v>0</v>
      </c>
      <c r="L429" s="366">
        <f t="shared" si="105"/>
        <v>0</v>
      </c>
      <c r="M429" s="366">
        <f t="shared" si="105"/>
        <v>0</v>
      </c>
      <c r="N429" s="366">
        <f t="shared" si="105"/>
        <v>0</v>
      </c>
      <c r="O429" s="366">
        <f t="shared" si="105"/>
        <v>0</v>
      </c>
      <c r="P429" s="366">
        <f t="shared" si="105"/>
        <v>0</v>
      </c>
      <c r="Q429" s="366">
        <f t="shared" si="105"/>
        <v>0</v>
      </c>
      <c r="R429" s="366">
        <f t="shared" si="105"/>
        <v>0</v>
      </c>
      <c r="S429" s="366">
        <f t="shared" si="105"/>
        <v>0</v>
      </c>
      <c r="T429" s="366">
        <f t="shared" si="105"/>
        <v>0</v>
      </c>
      <c r="U429" s="366">
        <f t="shared" si="105"/>
        <v>0</v>
      </c>
      <c r="V429" s="366">
        <f t="shared" si="105"/>
        <v>0</v>
      </c>
      <c r="W429" s="366">
        <f t="shared" si="105"/>
        <v>0</v>
      </c>
      <c r="X429" s="366">
        <f t="shared" si="105"/>
        <v>0</v>
      </c>
      <c r="Y429" s="366">
        <f t="shared" si="105"/>
        <v>0</v>
      </c>
      <c r="Z429" s="366">
        <f t="shared" si="105"/>
        <v>0</v>
      </c>
      <c r="AA429" s="366">
        <f t="shared" si="105"/>
        <v>0</v>
      </c>
      <c r="AB429" s="366">
        <f t="shared" si="105"/>
        <v>0</v>
      </c>
      <c r="AC429" s="366">
        <f t="shared" si="105"/>
        <v>0</v>
      </c>
      <c r="AD429" s="366">
        <f t="shared" si="105"/>
        <v>0</v>
      </c>
      <c r="AE429" s="366">
        <f t="shared" si="105"/>
        <v>0</v>
      </c>
      <c r="AF429" s="366">
        <f t="shared" si="105"/>
        <v>0</v>
      </c>
      <c r="AG429" s="366">
        <f t="shared" si="105"/>
        <v>0</v>
      </c>
      <c r="AH429" s="366">
        <f t="shared" si="105"/>
        <v>0</v>
      </c>
      <c r="AI429" s="366">
        <f t="shared" si="105"/>
        <v>0</v>
      </c>
      <c r="AJ429" s="366">
        <f t="shared" si="105"/>
        <v>0</v>
      </c>
      <c r="AK429" s="366">
        <f t="shared" si="105"/>
        <v>0</v>
      </c>
      <c r="AL429" s="366">
        <f t="shared" si="105"/>
        <v>0</v>
      </c>
      <c r="AM429" s="582"/>
    </row>
    <row r="430" spans="1:39" ht="12.75" customHeight="1" hidden="1">
      <c r="A430" s="640">
        <v>33</v>
      </c>
      <c r="B430" s="643"/>
      <c r="C430" s="646"/>
      <c r="D430" s="649"/>
      <c r="E430" s="634"/>
      <c r="F430" s="350" t="s">
        <v>113</v>
      </c>
      <c r="G430" s="416" t="s">
        <v>114</v>
      </c>
      <c r="H430" s="352"/>
      <c r="I430" s="353"/>
      <c r="J430" s="353"/>
      <c r="K430" s="353"/>
      <c r="L430" s="353"/>
      <c r="M430" s="353"/>
      <c r="N430" s="353"/>
      <c r="O430" s="353"/>
      <c r="P430" s="354"/>
      <c r="Q430" s="354"/>
      <c r="R430" s="354"/>
      <c r="S430" s="354"/>
      <c r="T430" s="354"/>
      <c r="U430" s="354"/>
      <c r="V430" s="354"/>
      <c r="W430" s="354"/>
      <c r="X430" s="354"/>
      <c r="Y430" s="354"/>
      <c r="Z430" s="354"/>
      <c r="AA430" s="354"/>
      <c r="AB430" s="354"/>
      <c r="AC430" s="354"/>
      <c r="AD430" s="354"/>
      <c r="AE430" s="354"/>
      <c r="AF430" s="354"/>
      <c r="AG430" s="354"/>
      <c r="AH430" s="354"/>
      <c r="AI430" s="354"/>
      <c r="AJ430" s="354"/>
      <c r="AK430" s="354"/>
      <c r="AL430" s="354"/>
      <c r="AM430" s="580">
        <f>SUM(J436:AL437)</f>
        <v>0</v>
      </c>
    </row>
    <row r="431" spans="1:39" ht="12.75" hidden="1">
      <c r="A431" s="641"/>
      <c r="B431" s="644"/>
      <c r="C431" s="647"/>
      <c r="D431" s="650"/>
      <c r="E431" s="635"/>
      <c r="F431" s="583">
        <f>SUM(H436:AL436)</f>
        <v>0</v>
      </c>
      <c r="G431" s="417" t="s">
        <v>115</v>
      </c>
      <c r="H431" s="356"/>
      <c r="I431" s="357"/>
      <c r="J431" s="357"/>
      <c r="K431" s="357"/>
      <c r="L431" s="357"/>
      <c r="M431" s="357"/>
      <c r="N431" s="357"/>
      <c r="O431" s="357"/>
      <c r="P431" s="358"/>
      <c r="Q431" s="358"/>
      <c r="R431" s="358"/>
      <c r="S431" s="358"/>
      <c r="T431" s="358"/>
      <c r="U431" s="358"/>
      <c r="V431" s="358"/>
      <c r="W431" s="358"/>
      <c r="X431" s="358"/>
      <c r="Y431" s="358"/>
      <c r="Z431" s="358"/>
      <c r="AA431" s="358"/>
      <c r="AB431" s="358"/>
      <c r="AC431" s="358"/>
      <c r="AD431" s="358"/>
      <c r="AE431" s="358"/>
      <c r="AF431" s="358"/>
      <c r="AG431" s="358"/>
      <c r="AH431" s="358"/>
      <c r="AI431" s="358"/>
      <c r="AJ431" s="358"/>
      <c r="AK431" s="358"/>
      <c r="AL431" s="358"/>
      <c r="AM431" s="581"/>
    </row>
    <row r="432" spans="1:39" ht="12.75" hidden="1">
      <c r="A432" s="641"/>
      <c r="B432" s="644"/>
      <c r="C432" s="647"/>
      <c r="D432" s="650"/>
      <c r="E432" s="635"/>
      <c r="F432" s="637"/>
      <c r="G432" s="417" t="s">
        <v>116</v>
      </c>
      <c r="H432" s="356"/>
      <c r="I432" s="357"/>
      <c r="J432" s="357"/>
      <c r="K432" s="357"/>
      <c r="L432" s="357"/>
      <c r="M432" s="357"/>
      <c r="N432" s="357"/>
      <c r="O432" s="357"/>
      <c r="P432" s="358"/>
      <c r="Q432" s="358"/>
      <c r="R432" s="358"/>
      <c r="S432" s="358"/>
      <c r="T432" s="358"/>
      <c r="U432" s="358"/>
      <c r="V432" s="358"/>
      <c r="W432" s="358"/>
      <c r="X432" s="358"/>
      <c r="Y432" s="358"/>
      <c r="Z432" s="358"/>
      <c r="AA432" s="358"/>
      <c r="AB432" s="358"/>
      <c r="AC432" s="358"/>
      <c r="AD432" s="358"/>
      <c r="AE432" s="358"/>
      <c r="AF432" s="358"/>
      <c r="AG432" s="358"/>
      <c r="AH432" s="358"/>
      <c r="AI432" s="358"/>
      <c r="AJ432" s="358"/>
      <c r="AK432" s="358"/>
      <c r="AL432" s="358"/>
      <c r="AM432" s="581"/>
    </row>
    <row r="433" spans="1:39" ht="12.75" hidden="1">
      <c r="A433" s="641"/>
      <c r="B433" s="644"/>
      <c r="C433" s="647"/>
      <c r="D433" s="650"/>
      <c r="E433" s="636"/>
      <c r="F433" s="359" t="s">
        <v>117</v>
      </c>
      <c r="G433" s="417" t="s">
        <v>118</v>
      </c>
      <c r="H433" s="356"/>
      <c r="I433" s="357"/>
      <c r="J433" s="357"/>
      <c r="K433" s="357"/>
      <c r="L433" s="357"/>
      <c r="M433" s="357"/>
      <c r="N433" s="357"/>
      <c r="O433" s="357"/>
      <c r="P433" s="358"/>
      <c r="Q433" s="358"/>
      <c r="R433" s="358"/>
      <c r="S433" s="358"/>
      <c r="T433" s="358"/>
      <c r="U433" s="358"/>
      <c r="V433" s="358"/>
      <c r="W433" s="358"/>
      <c r="X433" s="358"/>
      <c r="Y433" s="358"/>
      <c r="Z433" s="358"/>
      <c r="AA433" s="358"/>
      <c r="AB433" s="358"/>
      <c r="AC433" s="358"/>
      <c r="AD433" s="358"/>
      <c r="AE433" s="358"/>
      <c r="AF433" s="358"/>
      <c r="AG433" s="358"/>
      <c r="AH433" s="358"/>
      <c r="AI433" s="358"/>
      <c r="AJ433" s="358"/>
      <c r="AK433" s="358"/>
      <c r="AL433" s="358"/>
      <c r="AM433" s="581"/>
    </row>
    <row r="434" spans="1:39" ht="12.75" hidden="1">
      <c r="A434" s="641"/>
      <c r="B434" s="644"/>
      <c r="C434" s="647"/>
      <c r="D434" s="650"/>
      <c r="E434" s="638"/>
      <c r="F434" s="583">
        <f>SUM(H437:AL437)</f>
        <v>0</v>
      </c>
      <c r="G434" s="417" t="s">
        <v>122</v>
      </c>
      <c r="H434" s="356"/>
      <c r="I434" s="357"/>
      <c r="J434" s="357"/>
      <c r="K434" s="357"/>
      <c r="L434" s="357"/>
      <c r="M434" s="357"/>
      <c r="N434" s="357"/>
      <c r="O434" s="357"/>
      <c r="P434" s="358"/>
      <c r="Q434" s="358"/>
      <c r="R434" s="358"/>
      <c r="S434" s="358"/>
      <c r="T434" s="358"/>
      <c r="U434" s="358"/>
      <c r="V434" s="358"/>
      <c r="W434" s="358"/>
      <c r="X434" s="358"/>
      <c r="Y434" s="358"/>
      <c r="Z434" s="358"/>
      <c r="AA434" s="358"/>
      <c r="AB434" s="358"/>
      <c r="AC434" s="358"/>
      <c r="AD434" s="358"/>
      <c r="AE434" s="358"/>
      <c r="AF434" s="358"/>
      <c r="AG434" s="358"/>
      <c r="AH434" s="358"/>
      <c r="AI434" s="358"/>
      <c r="AJ434" s="358"/>
      <c r="AK434" s="358"/>
      <c r="AL434" s="358"/>
      <c r="AM434" s="581"/>
    </row>
    <row r="435" spans="1:39" ht="12.75" hidden="1">
      <c r="A435" s="641"/>
      <c r="B435" s="644"/>
      <c r="C435" s="647"/>
      <c r="D435" s="650"/>
      <c r="E435" s="635"/>
      <c r="F435" s="637"/>
      <c r="G435" s="417" t="s">
        <v>123</v>
      </c>
      <c r="H435" s="356"/>
      <c r="I435" s="357"/>
      <c r="J435" s="357"/>
      <c r="K435" s="357"/>
      <c r="L435" s="357"/>
      <c r="M435" s="357"/>
      <c r="N435" s="357"/>
      <c r="O435" s="357"/>
      <c r="P435" s="358"/>
      <c r="Q435" s="358"/>
      <c r="R435" s="358"/>
      <c r="S435" s="358"/>
      <c r="T435" s="358"/>
      <c r="U435" s="358"/>
      <c r="V435" s="358"/>
      <c r="W435" s="358"/>
      <c r="X435" s="358"/>
      <c r="Y435" s="358"/>
      <c r="Z435" s="358"/>
      <c r="AA435" s="358"/>
      <c r="AB435" s="358"/>
      <c r="AC435" s="358"/>
      <c r="AD435" s="358"/>
      <c r="AE435" s="358"/>
      <c r="AF435" s="358"/>
      <c r="AG435" s="358"/>
      <c r="AH435" s="358"/>
      <c r="AI435" s="358"/>
      <c r="AJ435" s="358"/>
      <c r="AK435" s="358"/>
      <c r="AL435" s="358"/>
      <c r="AM435" s="581"/>
    </row>
    <row r="436" spans="1:39" ht="12.75" hidden="1">
      <c r="A436" s="641"/>
      <c r="B436" s="644"/>
      <c r="C436" s="647"/>
      <c r="D436" s="650"/>
      <c r="E436" s="635"/>
      <c r="F436" s="359" t="s">
        <v>121</v>
      </c>
      <c r="G436" s="417" t="s">
        <v>124</v>
      </c>
      <c r="H436" s="360">
        <f aca="true" t="shared" si="106" ref="H436:AL436">H430+H432+H434</f>
        <v>0</v>
      </c>
      <c r="I436" s="361">
        <f t="shared" si="106"/>
        <v>0</v>
      </c>
      <c r="J436" s="361">
        <f t="shared" si="106"/>
        <v>0</v>
      </c>
      <c r="K436" s="361">
        <f t="shared" si="106"/>
        <v>0</v>
      </c>
      <c r="L436" s="361">
        <f t="shared" si="106"/>
        <v>0</v>
      </c>
      <c r="M436" s="361">
        <f t="shared" si="106"/>
        <v>0</v>
      </c>
      <c r="N436" s="361">
        <f t="shared" si="106"/>
        <v>0</v>
      </c>
      <c r="O436" s="361">
        <f t="shared" si="106"/>
        <v>0</v>
      </c>
      <c r="P436" s="361">
        <f t="shared" si="106"/>
        <v>0</v>
      </c>
      <c r="Q436" s="361">
        <f t="shared" si="106"/>
        <v>0</v>
      </c>
      <c r="R436" s="361">
        <f t="shared" si="106"/>
        <v>0</v>
      </c>
      <c r="S436" s="361">
        <f t="shared" si="106"/>
        <v>0</v>
      </c>
      <c r="T436" s="361">
        <f t="shared" si="106"/>
        <v>0</v>
      </c>
      <c r="U436" s="361">
        <f t="shared" si="106"/>
        <v>0</v>
      </c>
      <c r="V436" s="361">
        <f t="shared" si="106"/>
        <v>0</v>
      </c>
      <c r="W436" s="361">
        <f t="shared" si="106"/>
        <v>0</v>
      </c>
      <c r="X436" s="361">
        <f t="shared" si="106"/>
        <v>0</v>
      </c>
      <c r="Y436" s="361">
        <f t="shared" si="106"/>
        <v>0</v>
      </c>
      <c r="Z436" s="361">
        <f t="shared" si="106"/>
        <v>0</v>
      </c>
      <c r="AA436" s="361">
        <f t="shared" si="106"/>
        <v>0</v>
      </c>
      <c r="AB436" s="361">
        <f t="shared" si="106"/>
        <v>0</v>
      </c>
      <c r="AC436" s="361">
        <f t="shared" si="106"/>
        <v>0</v>
      </c>
      <c r="AD436" s="361">
        <f t="shared" si="106"/>
        <v>0</v>
      </c>
      <c r="AE436" s="361">
        <f t="shared" si="106"/>
        <v>0</v>
      </c>
      <c r="AF436" s="361">
        <f t="shared" si="106"/>
        <v>0</v>
      </c>
      <c r="AG436" s="361">
        <f t="shared" si="106"/>
        <v>0</v>
      </c>
      <c r="AH436" s="361">
        <f t="shared" si="106"/>
        <v>0</v>
      </c>
      <c r="AI436" s="361">
        <f t="shared" si="106"/>
        <v>0</v>
      </c>
      <c r="AJ436" s="361">
        <f t="shared" si="106"/>
        <v>0</v>
      </c>
      <c r="AK436" s="361">
        <f t="shared" si="106"/>
        <v>0</v>
      </c>
      <c r="AL436" s="361">
        <f t="shared" si="106"/>
        <v>0</v>
      </c>
      <c r="AM436" s="581"/>
    </row>
    <row r="437" spans="1:39" ht="13.5" hidden="1" thickBot="1">
      <c r="A437" s="642"/>
      <c r="B437" s="645"/>
      <c r="C437" s="648"/>
      <c r="D437" s="651"/>
      <c r="E437" s="639"/>
      <c r="F437" s="363">
        <f>F431+F434</f>
        <v>0</v>
      </c>
      <c r="G437" s="418" t="s">
        <v>125</v>
      </c>
      <c r="H437" s="365">
        <f aca="true" t="shared" si="107" ref="H437:AL437">H431+H433+H435</f>
        <v>0</v>
      </c>
      <c r="I437" s="366">
        <f t="shared" si="107"/>
        <v>0</v>
      </c>
      <c r="J437" s="366">
        <f t="shared" si="107"/>
        <v>0</v>
      </c>
      <c r="K437" s="366">
        <f t="shared" si="107"/>
        <v>0</v>
      </c>
      <c r="L437" s="366">
        <f t="shared" si="107"/>
        <v>0</v>
      </c>
      <c r="M437" s="366">
        <f t="shared" si="107"/>
        <v>0</v>
      </c>
      <c r="N437" s="366">
        <f t="shared" si="107"/>
        <v>0</v>
      </c>
      <c r="O437" s="366">
        <f t="shared" si="107"/>
        <v>0</v>
      </c>
      <c r="P437" s="366">
        <f t="shared" si="107"/>
        <v>0</v>
      </c>
      <c r="Q437" s="366">
        <f t="shared" si="107"/>
        <v>0</v>
      </c>
      <c r="R437" s="366">
        <f t="shared" si="107"/>
        <v>0</v>
      </c>
      <c r="S437" s="366">
        <f t="shared" si="107"/>
        <v>0</v>
      </c>
      <c r="T437" s="366">
        <f t="shared" si="107"/>
        <v>0</v>
      </c>
      <c r="U437" s="366">
        <f t="shared" si="107"/>
        <v>0</v>
      </c>
      <c r="V437" s="366">
        <f t="shared" si="107"/>
        <v>0</v>
      </c>
      <c r="W437" s="366">
        <f t="shared" si="107"/>
        <v>0</v>
      </c>
      <c r="X437" s="366">
        <f t="shared" si="107"/>
        <v>0</v>
      </c>
      <c r="Y437" s="366">
        <f t="shared" si="107"/>
        <v>0</v>
      </c>
      <c r="Z437" s="366">
        <f t="shared" si="107"/>
        <v>0</v>
      </c>
      <c r="AA437" s="366">
        <f t="shared" si="107"/>
        <v>0</v>
      </c>
      <c r="AB437" s="366">
        <f t="shared" si="107"/>
        <v>0</v>
      </c>
      <c r="AC437" s="366">
        <f t="shared" si="107"/>
        <v>0</v>
      </c>
      <c r="AD437" s="366">
        <f t="shared" si="107"/>
        <v>0</v>
      </c>
      <c r="AE437" s="366">
        <f t="shared" si="107"/>
        <v>0</v>
      </c>
      <c r="AF437" s="366">
        <f t="shared" si="107"/>
        <v>0</v>
      </c>
      <c r="AG437" s="366">
        <f t="shared" si="107"/>
        <v>0</v>
      </c>
      <c r="AH437" s="366">
        <f t="shared" si="107"/>
        <v>0</v>
      </c>
      <c r="AI437" s="366">
        <f t="shared" si="107"/>
        <v>0</v>
      </c>
      <c r="AJ437" s="366">
        <f t="shared" si="107"/>
        <v>0</v>
      </c>
      <c r="AK437" s="366">
        <f t="shared" si="107"/>
        <v>0</v>
      </c>
      <c r="AL437" s="366">
        <f t="shared" si="107"/>
        <v>0</v>
      </c>
      <c r="AM437" s="582"/>
    </row>
    <row r="438" spans="1:39" ht="12.75" customHeight="1" hidden="1">
      <c r="A438" s="640">
        <v>34</v>
      </c>
      <c r="B438" s="643"/>
      <c r="C438" s="646"/>
      <c r="D438" s="649"/>
      <c r="E438" s="634"/>
      <c r="F438" s="350" t="s">
        <v>113</v>
      </c>
      <c r="G438" s="416" t="s">
        <v>114</v>
      </c>
      <c r="H438" s="352"/>
      <c r="I438" s="353"/>
      <c r="J438" s="353"/>
      <c r="K438" s="353"/>
      <c r="L438" s="353"/>
      <c r="M438" s="353"/>
      <c r="N438" s="353"/>
      <c r="O438" s="353"/>
      <c r="P438" s="354"/>
      <c r="Q438" s="354"/>
      <c r="R438" s="354"/>
      <c r="S438" s="354"/>
      <c r="T438" s="354"/>
      <c r="U438" s="354"/>
      <c r="V438" s="354"/>
      <c r="W438" s="354"/>
      <c r="X438" s="354"/>
      <c r="Y438" s="354"/>
      <c r="Z438" s="354"/>
      <c r="AA438" s="354"/>
      <c r="AB438" s="354"/>
      <c r="AC438" s="354"/>
      <c r="AD438" s="354"/>
      <c r="AE438" s="354"/>
      <c r="AF438" s="354"/>
      <c r="AG438" s="354"/>
      <c r="AH438" s="354"/>
      <c r="AI438" s="354"/>
      <c r="AJ438" s="354"/>
      <c r="AK438" s="354"/>
      <c r="AL438" s="354"/>
      <c r="AM438" s="580">
        <f>SUM(J444:AL445)</f>
        <v>0</v>
      </c>
    </row>
    <row r="439" spans="1:39" ht="12.75" hidden="1">
      <c r="A439" s="641"/>
      <c r="B439" s="644"/>
      <c r="C439" s="647"/>
      <c r="D439" s="650"/>
      <c r="E439" s="635"/>
      <c r="F439" s="583">
        <f>SUM(H444:AL444)</f>
        <v>0</v>
      </c>
      <c r="G439" s="417" t="s">
        <v>115</v>
      </c>
      <c r="H439" s="356"/>
      <c r="I439" s="357"/>
      <c r="J439" s="357"/>
      <c r="K439" s="357"/>
      <c r="L439" s="357"/>
      <c r="M439" s="357"/>
      <c r="N439" s="357"/>
      <c r="O439" s="357"/>
      <c r="P439" s="358"/>
      <c r="Q439" s="358"/>
      <c r="R439" s="358"/>
      <c r="S439" s="358"/>
      <c r="T439" s="358"/>
      <c r="U439" s="358"/>
      <c r="V439" s="358"/>
      <c r="W439" s="358"/>
      <c r="X439" s="358"/>
      <c r="Y439" s="358"/>
      <c r="Z439" s="358"/>
      <c r="AA439" s="358"/>
      <c r="AB439" s="358"/>
      <c r="AC439" s="358"/>
      <c r="AD439" s="358"/>
      <c r="AE439" s="358"/>
      <c r="AF439" s="358"/>
      <c r="AG439" s="358"/>
      <c r="AH439" s="358"/>
      <c r="AI439" s="358"/>
      <c r="AJ439" s="358"/>
      <c r="AK439" s="358"/>
      <c r="AL439" s="358"/>
      <c r="AM439" s="581"/>
    </row>
    <row r="440" spans="1:39" ht="11.25" customHeight="1" hidden="1">
      <c r="A440" s="641"/>
      <c r="B440" s="644"/>
      <c r="C440" s="647"/>
      <c r="D440" s="650"/>
      <c r="E440" s="635"/>
      <c r="F440" s="637"/>
      <c r="G440" s="417" t="s">
        <v>116</v>
      </c>
      <c r="H440" s="356"/>
      <c r="I440" s="357"/>
      <c r="J440" s="357"/>
      <c r="K440" s="357"/>
      <c r="L440" s="357"/>
      <c r="M440" s="357"/>
      <c r="N440" s="357"/>
      <c r="O440" s="357"/>
      <c r="P440" s="358"/>
      <c r="Q440" s="358"/>
      <c r="R440" s="358"/>
      <c r="S440" s="358"/>
      <c r="T440" s="358"/>
      <c r="U440" s="358"/>
      <c r="V440" s="358"/>
      <c r="W440" s="358"/>
      <c r="X440" s="358"/>
      <c r="Y440" s="358"/>
      <c r="Z440" s="358"/>
      <c r="AA440" s="358"/>
      <c r="AB440" s="358"/>
      <c r="AC440" s="358"/>
      <c r="AD440" s="358"/>
      <c r="AE440" s="358"/>
      <c r="AF440" s="358"/>
      <c r="AG440" s="358"/>
      <c r="AH440" s="358"/>
      <c r="AI440" s="358"/>
      <c r="AJ440" s="358"/>
      <c r="AK440" s="358"/>
      <c r="AL440" s="358"/>
      <c r="AM440" s="581"/>
    </row>
    <row r="441" spans="1:39" ht="12.75" hidden="1">
      <c r="A441" s="641"/>
      <c r="B441" s="644"/>
      <c r="C441" s="647"/>
      <c r="D441" s="650"/>
      <c r="E441" s="636"/>
      <c r="F441" s="359" t="s">
        <v>117</v>
      </c>
      <c r="G441" s="417" t="s">
        <v>118</v>
      </c>
      <c r="H441" s="356"/>
      <c r="I441" s="357"/>
      <c r="J441" s="357"/>
      <c r="K441" s="357"/>
      <c r="L441" s="357"/>
      <c r="M441" s="357"/>
      <c r="N441" s="357"/>
      <c r="O441" s="357"/>
      <c r="P441" s="358"/>
      <c r="Q441" s="358"/>
      <c r="R441" s="358"/>
      <c r="S441" s="358"/>
      <c r="T441" s="358"/>
      <c r="U441" s="358"/>
      <c r="V441" s="358"/>
      <c r="W441" s="358"/>
      <c r="X441" s="358"/>
      <c r="Y441" s="358"/>
      <c r="Z441" s="358"/>
      <c r="AA441" s="358"/>
      <c r="AB441" s="358"/>
      <c r="AC441" s="358"/>
      <c r="AD441" s="358"/>
      <c r="AE441" s="358"/>
      <c r="AF441" s="358"/>
      <c r="AG441" s="358"/>
      <c r="AH441" s="358"/>
      <c r="AI441" s="358"/>
      <c r="AJ441" s="358"/>
      <c r="AK441" s="358"/>
      <c r="AL441" s="358"/>
      <c r="AM441" s="581"/>
    </row>
    <row r="442" spans="1:39" ht="12.75" hidden="1">
      <c r="A442" s="641"/>
      <c r="B442" s="644"/>
      <c r="C442" s="647"/>
      <c r="D442" s="650"/>
      <c r="E442" s="638"/>
      <c r="F442" s="583">
        <f>SUM(H445:AL445)</f>
        <v>0</v>
      </c>
      <c r="G442" s="417" t="s">
        <v>122</v>
      </c>
      <c r="H442" s="356"/>
      <c r="I442" s="357"/>
      <c r="J442" s="357"/>
      <c r="K442" s="357"/>
      <c r="L442" s="357"/>
      <c r="M442" s="357"/>
      <c r="N442" s="357"/>
      <c r="O442" s="357"/>
      <c r="P442" s="358"/>
      <c r="Q442" s="358"/>
      <c r="R442" s="358"/>
      <c r="S442" s="358"/>
      <c r="T442" s="358"/>
      <c r="U442" s="358"/>
      <c r="V442" s="358"/>
      <c r="W442" s="358"/>
      <c r="X442" s="358"/>
      <c r="Y442" s="358"/>
      <c r="Z442" s="358"/>
      <c r="AA442" s="358"/>
      <c r="AB442" s="358"/>
      <c r="AC442" s="358"/>
      <c r="AD442" s="358"/>
      <c r="AE442" s="358"/>
      <c r="AF442" s="358"/>
      <c r="AG442" s="358"/>
      <c r="AH442" s="358"/>
      <c r="AI442" s="358"/>
      <c r="AJ442" s="358"/>
      <c r="AK442" s="358"/>
      <c r="AL442" s="358"/>
      <c r="AM442" s="581"/>
    </row>
    <row r="443" spans="1:39" ht="12.75" hidden="1">
      <c r="A443" s="641"/>
      <c r="B443" s="644"/>
      <c r="C443" s="647"/>
      <c r="D443" s="650"/>
      <c r="E443" s="635"/>
      <c r="F443" s="637"/>
      <c r="G443" s="417" t="s">
        <v>123</v>
      </c>
      <c r="H443" s="356"/>
      <c r="I443" s="357"/>
      <c r="J443" s="357"/>
      <c r="K443" s="357"/>
      <c r="L443" s="357"/>
      <c r="M443" s="357"/>
      <c r="N443" s="357"/>
      <c r="O443" s="357"/>
      <c r="P443" s="358"/>
      <c r="Q443" s="358"/>
      <c r="R443" s="358"/>
      <c r="S443" s="358"/>
      <c r="T443" s="358"/>
      <c r="U443" s="358"/>
      <c r="V443" s="358"/>
      <c r="W443" s="358"/>
      <c r="X443" s="358"/>
      <c r="Y443" s="358"/>
      <c r="Z443" s="358"/>
      <c r="AA443" s="358"/>
      <c r="AB443" s="358"/>
      <c r="AC443" s="358"/>
      <c r="AD443" s="358"/>
      <c r="AE443" s="358"/>
      <c r="AF443" s="358"/>
      <c r="AG443" s="358"/>
      <c r="AH443" s="358"/>
      <c r="AI443" s="358"/>
      <c r="AJ443" s="358"/>
      <c r="AK443" s="358"/>
      <c r="AL443" s="358"/>
      <c r="AM443" s="581"/>
    </row>
    <row r="444" spans="1:39" ht="12.75" hidden="1">
      <c r="A444" s="641"/>
      <c r="B444" s="644"/>
      <c r="C444" s="647"/>
      <c r="D444" s="650"/>
      <c r="E444" s="635"/>
      <c r="F444" s="359" t="s">
        <v>121</v>
      </c>
      <c r="G444" s="417" t="s">
        <v>124</v>
      </c>
      <c r="H444" s="360">
        <f aca="true" t="shared" si="108" ref="H444:AL444">H438+H440+H442</f>
        <v>0</v>
      </c>
      <c r="I444" s="361">
        <f t="shared" si="108"/>
        <v>0</v>
      </c>
      <c r="J444" s="361">
        <f t="shared" si="108"/>
        <v>0</v>
      </c>
      <c r="K444" s="361">
        <f t="shared" si="108"/>
        <v>0</v>
      </c>
      <c r="L444" s="361">
        <f t="shared" si="108"/>
        <v>0</v>
      </c>
      <c r="M444" s="361">
        <f t="shared" si="108"/>
        <v>0</v>
      </c>
      <c r="N444" s="361">
        <f t="shared" si="108"/>
        <v>0</v>
      </c>
      <c r="O444" s="361">
        <f t="shared" si="108"/>
        <v>0</v>
      </c>
      <c r="P444" s="361">
        <f t="shared" si="108"/>
        <v>0</v>
      </c>
      <c r="Q444" s="361">
        <f t="shared" si="108"/>
        <v>0</v>
      </c>
      <c r="R444" s="361">
        <f t="shared" si="108"/>
        <v>0</v>
      </c>
      <c r="S444" s="361">
        <f t="shared" si="108"/>
        <v>0</v>
      </c>
      <c r="T444" s="361">
        <f t="shared" si="108"/>
        <v>0</v>
      </c>
      <c r="U444" s="361">
        <f t="shared" si="108"/>
        <v>0</v>
      </c>
      <c r="V444" s="361">
        <f t="shared" si="108"/>
        <v>0</v>
      </c>
      <c r="W444" s="361">
        <f t="shared" si="108"/>
        <v>0</v>
      </c>
      <c r="X444" s="361">
        <f t="shared" si="108"/>
        <v>0</v>
      </c>
      <c r="Y444" s="361">
        <f t="shared" si="108"/>
        <v>0</v>
      </c>
      <c r="Z444" s="361">
        <f t="shared" si="108"/>
        <v>0</v>
      </c>
      <c r="AA444" s="361">
        <f t="shared" si="108"/>
        <v>0</v>
      </c>
      <c r="AB444" s="361">
        <f t="shared" si="108"/>
        <v>0</v>
      </c>
      <c r="AC444" s="361">
        <f t="shared" si="108"/>
        <v>0</v>
      </c>
      <c r="AD444" s="361">
        <f t="shared" si="108"/>
        <v>0</v>
      </c>
      <c r="AE444" s="361">
        <f t="shared" si="108"/>
        <v>0</v>
      </c>
      <c r="AF444" s="361">
        <f t="shared" si="108"/>
        <v>0</v>
      </c>
      <c r="AG444" s="361">
        <f t="shared" si="108"/>
        <v>0</v>
      </c>
      <c r="AH444" s="361">
        <f t="shared" si="108"/>
        <v>0</v>
      </c>
      <c r="AI444" s="361">
        <f t="shared" si="108"/>
        <v>0</v>
      </c>
      <c r="AJ444" s="361">
        <f t="shared" si="108"/>
        <v>0</v>
      </c>
      <c r="AK444" s="361">
        <f t="shared" si="108"/>
        <v>0</v>
      </c>
      <c r="AL444" s="361">
        <f t="shared" si="108"/>
        <v>0</v>
      </c>
      <c r="AM444" s="581"/>
    </row>
    <row r="445" spans="1:39" ht="13.5" hidden="1" thickBot="1">
      <c r="A445" s="642"/>
      <c r="B445" s="645"/>
      <c r="C445" s="648"/>
      <c r="D445" s="651"/>
      <c r="E445" s="639"/>
      <c r="F445" s="363">
        <f>F439+F442</f>
        <v>0</v>
      </c>
      <c r="G445" s="418" t="s">
        <v>125</v>
      </c>
      <c r="H445" s="365">
        <f aca="true" t="shared" si="109" ref="H445:AL445">H439+H441+H443</f>
        <v>0</v>
      </c>
      <c r="I445" s="366">
        <f t="shared" si="109"/>
        <v>0</v>
      </c>
      <c r="J445" s="366">
        <f t="shared" si="109"/>
        <v>0</v>
      </c>
      <c r="K445" s="366">
        <f t="shared" si="109"/>
        <v>0</v>
      </c>
      <c r="L445" s="366">
        <f t="shared" si="109"/>
        <v>0</v>
      </c>
      <c r="M445" s="366">
        <f t="shared" si="109"/>
        <v>0</v>
      </c>
      <c r="N445" s="366">
        <f t="shared" si="109"/>
        <v>0</v>
      </c>
      <c r="O445" s="366">
        <f t="shared" si="109"/>
        <v>0</v>
      </c>
      <c r="P445" s="366">
        <f t="shared" si="109"/>
        <v>0</v>
      </c>
      <c r="Q445" s="366">
        <f t="shared" si="109"/>
        <v>0</v>
      </c>
      <c r="R445" s="366">
        <f t="shared" si="109"/>
        <v>0</v>
      </c>
      <c r="S445" s="366">
        <f t="shared" si="109"/>
        <v>0</v>
      </c>
      <c r="T445" s="366">
        <f t="shared" si="109"/>
        <v>0</v>
      </c>
      <c r="U445" s="366">
        <f t="shared" si="109"/>
        <v>0</v>
      </c>
      <c r="V445" s="366">
        <f t="shared" si="109"/>
        <v>0</v>
      </c>
      <c r="W445" s="366">
        <f t="shared" si="109"/>
        <v>0</v>
      </c>
      <c r="X445" s="366">
        <f t="shared" si="109"/>
        <v>0</v>
      </c>
      <c r="Y445" s="366">
        <f t="shared" si="109"/>
        <v>0</v>
      </c>
      <c r="Z445" s="366">
        <f t="shared" si="109"/>
        <v>0</v>
      </c>
      <c r="AA445" s="366">
        <f t="shared" si="109"/>
        <v>0</v>
      </c>
      <c r="AB445" s="366">
        <f t="shared" si="109"/>
        <v>0</v>
      </c>
      <c r="AC445" s="366">
        <f t="shared" si="109"/>
        <v>0</v>
      </c>
      <c r="AD445" s="366">
        <f t="shared" si="109"/>
        <v>0</v>
      </c>
      <c r="AE445" s="366">
        <f t="shared" si="109"/>
        <v>0</v>
      </c>
      <c r="AF445" s="366">
        <f t="shared" si="109"/>
        <v>0</v>
      </c>
      <c r="AG445" s="366">
        <f t="shared" si="109"/>
        <v>0</v>
      </c>
      <c r="AH445" s="366">
        <f t="shared" si="109"/>
        <v>0</v>
      </c>
      <c r="AI445" s="366">
        <f t="shared" si="109"/>
        <v>0</v>
      </c>
      <c r="AJ445" s="366">
        <f t="shared" si="109"/>
        <v>0</v>
      </c>
      <c r="AK445" s="366">
        <f t="shared" si="109"/>
        <v>0</v>
      </c>
      <c r="AL445" s="366">
        <f t="shared" si="109"/>
        <v>0</v>
      </c>
      <c r="AM445" s="582"/>
    </row>
    <row r="446" spans="1:39" ht="12.75" customHeight="1" hidden="1">
      <c r="A446" s="640">
        <v>35</v>
      </c>
      <c r="B446" s="643"/>
      <c r="C446" s="646"/>
      <c r="D446" s="649"/>
      <c r="E446" s="634"/>
      <c r="F446" s="350" t="s">
        <v>113</v>
      </c>
      <c r="G446" s="419" t="s">
        <v>114</v>
      </c>
      <c r="H446" s="352"/>
      <c r="I446" s="369"/>
      <c r="J446" s="369"/>
      <c r="K446" s="369"/>
      <c r="L446" s="369"/>
      <c r="M446" s="369"/>
      <c r="N446" s="369"/>
      <c r="O446" s="369"/>
      <c r="P446" s="370"/>
      <c r="Q446" s="370"/>
      <c r="R446" s="370"/>
      <c r="S446" s="370"/>
      <c r="T446" s="370"/>
      <c r="U446" s="370"/>
      <c r="V446" s="370"/>
      <c r="W446" s="370"/>
      <c r="X446" s="370"/>
      <c r="Y446" s="370"/>
      <c r="Z446" s="370"/>
      <c r="AA446" s="370"/>
      <c r="AB446" s="370"/>
      <c r="AC446" s="370"/>
      <c r="AD446" s="370"/>
      <c r="AE446" s="370"/>
      <c r="AF446" s="370"/>
      <c r="AG446" s="370"/>
      <c r="AH446" s="370"/>
      <c r="AI446" s="370"/>
      <c r="AJ446" s="370"/>
      <c r="AK446" s="370"/>
      <c r="AL446" s="370"/>
      <c r="AM446" s="580">
        <f>SUM(J452:AL453)</f>
        <v>0</v>
      </c>
    </row>
    <row r="447" spans="1:39" ht="12.75" hidden="1">
      <c r="A447" s="641"/>
      <c r="B447" s="644"/>
      <c r="C447" s="647"/>
      <c r="D447" s="650"/>
      <c r="E447" s="635"/>
      <c r="F447" s="583">
        <f>SUM(H452:AL452)</f>
        <v>0</v>
      </c>
      <c r="G447" s="417" t="s">
        <v>115</v>
      </c>
      <c r="H447" s="356"/>
      <c r="I447" s="357"/>
      <c r="J447" s="357"/>
      <c r="K447" s="357"/>
      <c r="L447" s="357"/>
      <c r="M447" s="357"/>
      <c r="N447" s="357"/>
      <c r="O447" s="357"/>
      <c r="P447" s="358"/>
      <c r="Q447" s="358"/>
      <c r="R447" s="358"/>
      <c r="S447" s="358"/>
      <c r="T447" s="358"/>
      <c r="U447" s="358"/>
      <c r="V447" s="358"/>
      <c r="W447" s="358"/>
      <c r="X447" s="358"/>
      <c r="Y447" s="358"/>
      <c r="Z447" s="358"/>
      <c r="AA447" s="358"/>
      <c r="AB447" s="358"/>
      <c r="AC447" s="358"/>
      <c r="AD447" s="358"/>
      <c r="AE447" s="358"/>
      <c r="AF447" s="358"/>
      <c r="AG447" s="358"/>
      <c r="AH447" s="358"/>
      <c r="AI447" s="358"/>
      <c r="AJ447" s="358"/>
      <c r="AK447" s="358"/>
      <c r="AL447" s="358"/>
      <c r="AM447" s="581"/>
    </row>
    <row r="448" spans="1:39" ht="12.75" hidden="1">
      <c r="A448" s="641"/>
      <c r="B448" s="644"/>
      <c r="C448" s="647"/>
      <c r="D448" s="650"/>
      <c r="E448" s="635"/>
      <c r="F448" s="637"/>
      <c r="G448" s="417" t="s">
        <v>116</v>
      </c>
      <c r="H448" s="356"/>
      <c r="I448" s="357"/>
      <c r="J448" s="357"/>
      <c r="K448" s="357"/>
      <c r="L448" s="357"/>
      <c r="M448" s="357"/>
      <c r="N448" s="357"/>
      <c r="O448" s="357"/>
      <c r="P448" s="358"/>
      <c r="Q448" s="358"/>
      <c r="R448" s="358"/>
      <c r="S448" s="358"/>
      <c r="T448" s="358"/>
      <c r="U448" s="358"/>
      <c r="V448" s="358"/>
      <c r="W448" s="358"/>
      <c r="X448" s="358"/>
      <c r="Y448" s="358"/>
      <c r="Z448" s="358"/>
      <c r="AA448" s="358"/>
      <c r="AB448" s="358"/>
      <c r="AC448" s="358"/>
      <c r="AD448" s="358"/>
      <c r="AE448" s="358"/>
      <c r="AF448" s="358"/>
      <c r="AG448" s="358"/>
      <c r="AH448" s="358"/>
      <c r="AI448" s="358"/>
      <c r="AJ448" s="358"/>
      <c r="AK448" s="358"/>
      <c r="AL448" s="358"/>
      <c r="AM448" s="581"/>
    </row>
    <row r="449" spans="1:39" ht="12.75" hidden="1">
      <c r="A449" s="641"/>
      <c r="B449" s="644"/>
      <c r="C449" s="647"/>
      <c r="D449" s="650"/>
      <c r="E449" s="636"/>
      <c r="F449" s="359" t="s">
        <v>117</v>
      </c>
      <c r="G449" s="417" t="s">
        <v>118</v>
      </c>
      <c r="H449" s="356"/>
      <c r="I449" s="357"/>
      <c r="J449" s="357"/>
      <c r="K449" s="357"/>
      <c r="L449" s="357"/>
      <c r="M449" s="357"/>
      <c r="N449" s="357"/>
      <c r="O449" s="357"/>
      <c r="P449" s="358"/>
      <c r="Q449" s="358"/>
      <c r="R449" s="358"/>
      <c r="S449" s="358"/>
      <c r="T449" s="358"/>
      <c r="U449" s="358"/>
      <c r="V449" s="358"/>
      <c r="W449" s="358"/>
      <c r="X449" s="358"/>
      <c r="Y449" s="358"/>
      <c r="Z449" s="358"/>
      <c r="AA449" s="358"/>
      <c r="AB449" s="358"/>
      <c r="AC449" s="358"/>
      <c r="AD449" s="358"/>
      <c r="AE449" s="358"/>
      <c r="AF449" s="358"/>
      <c r="AG449" s="358"/>
      <c r="AH449" s="358"/>
      <c r="AI449" s="358"/>
      <c r="AJ449" s="358"/>
      <c r="AK449" s="358"/>
      <c r="AL449" s="358"/>
      <c r="AM449" s="581"/>
    </row>
    <row r="450" spans="1:39" ht="12.75" hidden="1">
      <c r="A450" s="641"/>
      <c r="B450" s="644"/>
      <c r="C450" s="647"/>
      <c r="D450" s="650"/>
      <c r="E450" s="638"/>
      <c r="F450" s="583">
        <f>SUM(H453:AL453)</f>
        <v>0</v>
      </c>
      <c r="G450" s="417" t="s">
        <v>122</v>
      </c>
      <c r="H450" s="356"/>
      <c r="I450" s="357"/>
      <c r="J450" s="357"/>
      <c r="K450" s="357"/>
      <c r="L450" s="357"/>
      <c r="M450" s="357"/>
      <c r="N450" s="357"/>
      <c r="O450" s="357"/>
      <c r="P450" s="358"/>
      <c r="Q450" s="358"/>
      <c r="R450" s="358"/>
      <c r="S450" s="358"/>
      <c r="T450" s="358"/>
      <c r="U450" s="358"/>
      <c r="V450" s="358"/>
      <c r="W450" s="358"/>
      <c r="X450" s="358"/>
      <c r="Y450" s="358"/>
      <c r="Z450" s="358"/>
      <c r="AA450" s="358"/>
      <c r="AB450" s="358"/>
      <c r="AC450" s="358"/>
      <c r="AD450" s="358"/>
      <c r="AE450" s="358"/>
      <c r="AF450" s="358"/>
      <c r="AG450" s="358"/>
      <c r="AH450" s="358"/>
      <c r="AI450" s="358"/>
      <c r="AJ450" s="358"/>
      <c r="AK450" s="358"/>
      <c r="AL450" s="358"/>
      <c r="AM450" s="581"/>
    </row>
    <row r="451" spans="1:39" ht="12.75" hidden="1">
      <c r="A451" s="641"/>
      <c r="B451" s="644"/>
      <c r="C451" s="647"/>
      <c r="D451" s="650"/>
      <c r="E451" s="635"/>
      <c r="F451" s="637"/>
      <c r="G451" s="417" t="s">
        <v>123</v>
      </c>
      <c r="H451" s="356"/>
      <c r="I451" s="357"/>
      <c r="J451" s="357"/>
      <c r="K451" s="357"/>
      <c r="L451" s="357"/>
      <c r="M451" s="357"/>
      <c r="N451" s="357"/>
      <c r="O451" s="357"/>
      <c r="P451" s="358"/>
      <c r="Q451" s="358"/>
      <c r="R451" s="358"/>
      <c r="S451" s="358"/>
      <c r="T451" s="358"/>
      <c r="U451" s="358"/>
      <c r="V451" s="358"/>
      <c r="W451" s="358"/>
      <c r="X451" s="358"/>
      <c r="Y451" s="358"/>
      <c r="Z451" s="358"/>
      <c r="AA451" s="358"/>
      <c r="AB451" s="358"/>
      <c r="AC451" s="358"/>
      <c r="AD451" s="358"/>
      <c r="AE451" s="358"/>
      <c r="AF451" s="358"/>
      <c r="AG451" s="358"/>
      <c r="AH451" s="358"/>
      <c r="AI451" s="358"/>
      <c r="AJ451" s="358"/>
      <c r="AK451" s="358"/>
      <c r="AL451" s="358"/>
      <c r="AM451" s="581"/>
    </row>
    <row r="452" spans="1:39" ht="12.75" hidden="1">
      <c r="A452" s="641"/>
      <c r="B452" s="644"/>
      <c r="C452" s="647"/>
      <c r="D452" s="650"/>
      <c r="E452" s="635"/>
      <c r="F452" s="359" t="s">
        <v>121</v>
      </c>
      <c r="G452" s="417" t="s">
        <v>124</v>
      </c>
      <c r="H452" s="360">
        <f aca="true" t="shared" si="110" ref="H452:AL452">H446+H448+H450</f>
        <v>0</v>
      </c>
      <c r="I452" s="361">
        <f t="shared" si="110"/>
        <v>0</v>
      </c>
      <c r="J452" s="361">
        <f t="shared" si="110"/>
        <v>0</v>
      </c>
      <c r="K452" s="361">
        <f t="shared" si="110"/>
        <v>0</v>
      </c>
      <c r="L452" s="361">
        <f t="shared" si="110"/>
        <v>0</v>
      </c>
      <c r="M452" s="361">
        <f t="shared" si="110"/>
        <v>0</v>
      </c>
      <c r="N452" s="361">
        <f t="shared" si="110"/>
        <v>0</v>
      </c>
      <c r="O452" s="361">
        <f t="shared" si="110"/>
        <v>0</v>
      </c>
      <c r="P452" s="361">
        <f t="shared" si="110"/>
        <v>0</v>
      </c>
      <c r="Q452" s="361">
        <f t="shared" si="110"/>
        <v>0</v>
      </c>
      <c r="R452" s="361">
        <f t="shared" si="110"/>
        <v>0</v>
      </c>
      <c r="S452" s="361">
        <f t="shared" si="110"/>
        <v>0</v>
      </c>
      <c r="T452" s="361">
        <f t="shared" si="110"/>
        <v>0</v>
      </c>
      <c r="U452" s="361">
        <f t="shared" si="110"/>
        <v>0</v>
      </c>
      <c r="V452" s="361">
        <f t="shared" si="110"/>
        <v>0</v>
      </c>
      <c r="W452" s="361">
        <f t="shared" si="110"/>
        <v>0</v>
      </c>
      <c r="X452" s="361">
        <f t="shared" si="110"/>
        <v>0</v>
      </c>
      <c r="Y452" s="361">
        <f t="shared" si="110"/>
        <v>0</v>
      </c>
      <c r="Z452" s="361">
        <f t="shared" si="110"/>
        <v>0</v>
      </c>
      <c r="AA452" s="361">
        <f t="shared" si="110"/>
        <v>0</v>
      </c>
      <c r="AB452" s="361">
        <f t="shared" si="110"/>
        <v>0</v>
      </c>
      <c r="AC452" s="361">
        <f t="shared" si="110"/>
        <v>0</v>
      </c>
      <c r="AD452" s="361">
        <f t="shared" si="110"/>
        <v>0</v>
      </c>
      <c r="AE452" s="361">
        <f t="shared" si="110"/>
        <v>0</v>
      </c>
      <c r="AF452" s="361">
        <f t="shared" si="110"/>
        <v>0</v>
      </c>
      <c r="AG452" s="361">
        <f t="shared" si="110"/>
        <v>0</v>
      </c>
      <c r="AH452" s="361">
        <f t="shared" si="110"/>
        <v>0</v>
      </c>
      <c r="AI452" s="361">
        <f t="shared" si="110"/>
        <v>0</v>
      </c>
      <c r="AJ452" s="361">
        <f t="shared" si="110"/>
        <v>0</v>
      </c>
      <c r="AK452" s="361">
        <f t="shared" si="110"/>
        <v>0</v>
      </c>
      <c r="AL452" s="361">
        <f t="shared" si="110"/>
        <v>0</v>
      </c>
      <c r="AM452" s="581"/>
    </row>
    <row r="453" spans="1:39" ht="13.5" hidden="1" thickBot="1">
      <c r="A453" s="642"/>
      <c r="B453" s="645"/>
      <c r="C453" s="648"/>
      <c r="D453" s="651"/>
      <c r="E453" s="639"/>
      <c r="F453" s="363">
        <f>F447+F450</f>
        <v>0</v>
      </c>
      <c r="G453" s="420" t="s">
        <v>125</v>
      </c>
      <c r="H453" s="365">
        <f aca="true" t="shared" si="111" ref="H453:AL453">H447+H449+H451</f>
        <v>0</v>
      </c>
      <c r="I453" s="371">
        <f t="shared" si="111"/>
        <v>0</v>
      </c>
      <c r="J453" s="371">
        <f t="shared" si="111"/>
        <v>0</v>
      </c>
      <c r="K453" s="371">
        <f t="shared" si="111"/>
        <v>0</v>
      </c>
      <c r="L453" s="371">
        <f t="shared" si="111"/>
        <v>0</v>
      </c>
      <c r="M453" s="371">
        <f t="shared" si="111"/>
        <v>0</v>
      </c>
      <c r="N453" s="371">
        <f t="shared" si="111"/>
        <v>0</v>
      </c>
      <c r="O453" s="371">
        <f t="shared" si="111"/>
        <v>0</v>
      </c>
      <c r="P453" s="371">
        <f t="shared" si="111"/>
        <v>0</v>
      </c>
      <c r="Q453" s="371">
        <f t="shared" si="111"/>
        <v>0</v>
      </c>
      <c r="R453" s="371">
        <f t="shared" si="111"/>
        <v>0</v>
      </c>
      <c r="S453" s="371">
        <f t="shared" si="111"/>
        <v>0</v>
      </c>
      <c r="T453" s="371">
        <f t="shared" si="111"/>
        <v>0</v>
      </c>
      <c r="U453" s="371">
        <f t="shared" si="111"/>
        <v>0</v>
      </c>
      <c r="V453" s="371">
        <f t="shared" si="111"/>
        <v>0</v>
      </c>
      <c r="W453" s="371">
        <f t="shared" si="111"/>
        <v>0</v>
      </c>
      <c r="X453" s="371">
        <f t="shared" si="111"/>
        <v>0</v>
      </c>
      <c r="Y453" s="371">
        <f t="shared" si="111"/>
        <v>0</v>
      </c>
      <c r="Z453" s="371">
        <f t="shared" si="111"/>
        <v>0</v>
      </c>
      <c r="AA453" s="371">
        <f t="shared" si="111"/>
        <v>0</v>
      </c>
      <c r="AB453" s="371">
        <f t="shared" si="111"/>
        <v>0</v>
      </c>
      <c r="AC453" s="371">
        <f t="shared" si="111"/>
        <v>0</v>
      </c>
      <c r="AD453" s="371">
        <f t="shared" si="111"/>
        <v>0</v>
      </c>
      <c r="AE453" s="371">
        <f t="shared" si="111"/>
        <v>0</v>
      </c>
      <c r="AF453" s="371">
        <f t="shared" si="111"/>
        <v>0</v>
      </c>
      <c r="AG453" s="371">
        <f t="shared" si="111"/>
        <v>0</v>
      </c>
      <c r="AH453" s="371">
        <f t="shared" si="111"/>
        <v>0</v>
      </c>
      <c r="AI453" s="371">
        <f t="shared" si="111"/>
        <v>0</v>
      </c>
      <c r="AJ453" s="371">
        <f t="shared" si="111"/>
        <v>0</v>
      </c>
      <c r="AK453" s="371">
        <f t="shared" si="111"/>
        <v>0</v>
      </c>
      <c r="AL453" s="371">
        <f t="shared" si="111"/>
        <v>0</v>
      </c>
      <c r="AM453" s="582"/>
    </row>
    <row r="454" spans="1:39" ht="12.75" customHeight="1" hidden="1">
      <c r="A454" s="640">
        <v>36</v>
      </c>
      <c r="B454" s="643"/>
      <c r="C454" s="646"/>
      <c r="D454" s="649"/>
      <c r="E454" s="634"/>
      <c r="F454" s="350" t="s">
        <v>113</v>
      </c>
      <c r="G454" s="416" t="s">
        <v>114</v>
      </c>
      <c r="H454" s="352"/>
      <c r="I454" s="353"/>
      <c r="J454" s="353"/>
      <c r="K454" s="353"/>
      <c r="L454" s="353"/>
      <c r="M454" s="353"/>
      <c r="N454" s="353"/>
      <c r="O454" s="353"/>
      <c r="P454" s="354"/>
      <c r="Q454" s="354"/>
      <c r="R454" s="354"/>
      <c r="S454" s="354"/>
      <c r="T454" s="354"/>
      <c r="U454" s="354"/>
      <c r="V454" s="354"/>
      <c r="W454" s="354"/>
      <c r="X454" s="354"/>
      <c r="Y454" s="354"/>
      <c r="Z454" s="354"/>
      <c r="AA454" s="354"/>
      <c r="AB454" s="354"/>
      <c r="AC454" s="354"/>
      <c r="AD454" s="354"/>
      <c r="AE454" s="354"/>
      <c r="AF454" s="354"/>
      <c r="AG454" s="354"/>
      <c r="AH454" s="354"/>
      <c r="AI454" s="354"/>
      <c r="AJ454" s="354"/>
      <c r="AK454" s="354"/>
      <c r="AL454" s="354"/>
      <c r="AM454" s="580">
        <f>SUM(J460:AL461)</f>
        <v>0</v>
      </c>
    </row>
    <row r="455" spans="1:39" ht="12.75" hidden="1">
      <c r="A455" s="641"/>
      <c r="B455" s="644"/>
      <c r="C455" s="647"/>
      <c r="D455" s="650"/>
      <c r="E455" s="635"/>
      <c r="F455" s="583">
        <f>SUM(H460:AL460)</f>
        <v>0</v>
      </c>
      <c r="G455" s="417" t="s">
        <v>115</v>
      </c>
      <c r="H455" s="356"/>
      <c r="I455" s="357"/>
      <c r="J455" s="357"/>
      <c r="K455" s="357"/>
      <c r="L455" s="357"/>
      <c r="M455" s="357"/>
      <c r="N455" s="357"/>
      <c r="O455" s="357"/>
      <c r="P455" s="358"/>
      <c r="Q455" s="358"/>
      <c r="R455" s="358"/>
      <c r="S455" s="358"/>
      <c r="T455" s="358"/>
      <c r="U455" s="358"/>
      <c r="V455" s="358"/>
      <c r="W455" s="358"/>
      <c r="X455" s="358"/>
      <c r="Y455" s="358"/>
      <c r="Z455" s="358"/>
      <c r="AA455" s="358"/>
      <c r="AB455" s="358"/>
      <c r="AC455" s="358"/>
      <c r="AD455" s="358"/>
      <c r="AE455" s="358"/>
      <c r="AF455" s="358"/>
      <c r="AG455" s="358"/>
      <c r="AH455" s="358"/>
      <c r="AI455" s="358"/>
      <c r="AJ455" s="358"/>
      <c r="AK455" s="358"/>
      <c r="AL455" s="358"/>
      <c r="AM455" s="581"/>
    </row>
    <row r="456" spans="1:39" ht="12.75" hidden="1">
      <c r="A456" s="641"/>
      <c r="B456" s="644"/>
      <c r="C456" s="647"/>
      <c r="D456" s="650"/>
      <c r="E456" s="635"/>
      <c r="F456" s="637"/>
      <c r="G456" s="417" t="s">
        <v>116</v>
      </c>
      <c r="H456" s="356"/>
      <c r="I456" s="357"/>
      <c r="J456" s="357"/>
      <c r="K456" s="357"/>
      <c r="L456" s="357"/>
      <c r="M456" s="357"/>
      <c r="N456" s="357"/>
      <c r="O456" s="357"/>
      <c r="P456" s="358"/>
      <c r="Q456" s="358"/>
      <c r="R456" s="358"/>
      <c r="S456" s="358"/>
      <c r="T456" s="358"/>
      <c r="U456" s="358"/>
      <c r="V456" s="358"/>
      <c r="W456" s="358"/>
      <c r="X456" s="358"/>
      <c r="Y456" s="358"/>
      <c r="Z456" s="358"/>
      <c r="AA456" s="358"/>
      <c r="AB456" s="358"/>
      <c r="AC456" s="358"/>
      <c r="AD456" s="358"/>
      <c r="AE456" s="358"/>
      <c r="AF456" s="358"/>
      <c r="AG456" s="358"/>
      <c r="AH456" s="358"/>
      <c r="AI456" s="358"/>
      <c r="AJ456" s="358"/>
      <c r="AK456" s="358"/>
      <c r="AL456" s="358"/>
      <c r="AM456" s="581"/>
    </row>
    <row r="457" spans="1:39" ht="12.75" hidden="1">
      <c r="A457" s="641"/>
      <c r="B457" s="644"/>
      <c r="C457" s="647"/>
      <c r="D457" s="650"/>
      <c r="E457" s="636"/>
      <c r="F457" s="359" t="s">
        <v>117</v>
      </c>
      <c r="G457" s="417" t="s">
        <v>118</v>
      </c>
      <c r="H457" s="356"/>
      <c r="I457" s="357"/>
      <c r="J457" s="357"/>
      <c r="K457" s="357"/>
      <c r="L457" s="357"/>
      <c r="M457" s="357"/>
      <c r="N457" s="357"/>
      <c r="O457" s="357"/>
      <c r="P457" s="358"/>
      <c r="Q457" s="358"/>
      <c r="R457" s="358"/>
      <c r="S457" s="358"/>
      <c r="T457" s="358"/>
      <c r="U457" s="358"/>
      <c r="V457" s="358"/>
      <c r="W457" s="358"/>
      <c r="X457" s="358"/>
      <c r="Y457" s="358"/>
      <c r="Z457" s="358"/>
      <c r="AA457" s="358"/>
      <c r="AB457" s="358"/>
      <c r="AC457" s="358"/>
      <c r="AD457" s="358"/>
      <c r="AE457" s="358"/>
      <c r="AF457" s="358"/>
      <c r="AG457" s="358"/>
      <c r="AH457" s="358"/>
      <c r="AI457" s="358"/>
      <c r="AJ457" s="358"/>
      <c r="AK457" s="358"/>
      <c r="AL457" s="358"/>
      <c r="AM457" s="581"/>
    </row>
    <row r="458" spans="1:39" ht="12.75" hidden="1">
      <c r="A458" s="641"/>
      <c r="B458" s="644"/>
      <c r="C458" s="647"/>
      <c r="D458" s="650"/>
      <c r="E458" s="638"/>
      <c r="F458" s="583">
        <f>SUM(H461:AL461)</f>
        <v>0</v>
      </c>
      <c r="G458" s="417" t="s">
        <v>122</v>
      </c>
      <c r="H458" s="356"/>
      <c r="I458" s="357"/>
      <c r="J458" s="357"/>
      <c r="K458" s="357"/>
      <c r="L458" s="357"/>
      <c r="M458" s="357"/>
      <c r="N458" s="357"/>
      <c r="O458" s="357"/>
      <c r="P458" s="358"/>
      <c r="Q458" s="358"/>
      <c r="R458" s="358"/>
      <c r="S458" s="358"/>
      <c r="T458" s="358"/>
      <c r="U458" s="358"/>
      <c r="V458" s="358"/>
      <c r="W458" s="358"/>
      <c r="X458" s="358"/>
      <c r="Y458" s="358"/>
      <c r="Z458" s="358"/>
      <c r="AA458" s="358"/>
      <c r="AB458" s="358"/>
      <c r="AC458" s="358"/>
      <c r="AD458" s="358"/>
      <c r="AE458" s="358"/>
      <c r="AF458" s="358"/>
      <c r="AG458" s="358"/>
      <c r="AH458" s="358"/>
      <c r="AI458" s="358"/>
      <c r="AJ458" s="358"/>
      <c r="AK458" s="358"/>
      <c r="AL458" s="358"/>
      <c r="AM458" s="581"/>
    </row>
    <row r="459" spans="1:39" ht="12.75" hidden="1">
      <c r="A459" s="641"/>
      <c r="B459" s="644"/>
      <c r="C459" s="647"/>
      <c r="D459" s="650"/>
      <c r="E459" s="635"/>
      <c r="F459" s="637"/>
      <c r="G459" s="417" t="s">
        <v>123</v>
      </c>
      <c r="H459" s="356"/>
      <c r="I459" s="357"/>
      <c r="J459" s="357"/>
      <c r="K459" s="357"/>
      <c r="L459" s="357"/>
      <c r="M459" s="357"/>
      <c r="N459" s="357"/>
      <c r="O459" s="357"/>
      <c r="P459" s="358"/>
      <c r="Q459" s="358"/>
      <c r="R459" s="358"/>
      <c r="S459" s="358"/>
      <c r="T459" s="358"/>
      <c r="U459" s="358"/>
      <c r="V459" s="358"/>
      <c r="W459" s="358"/>
      <c r="X459" s="358"/>
      <c r="Y459" s="358"/>
      <c r="Z459" s="358"/>
      <c r="AA459" s="358"/>
      <c r="AB459" s="358"/>
      <c r="AC459" s="358"/>
      <c r="AD459" s="358"/>
      <c r="AE459" s="358"/>
      <c r="AF459" s="358"/>
      <c r="AG459" s="358"/>
      <c r="AH459" s="358"/>
      <c r="AI459" s="358"/>
      <c r="AJ459" s="358"/>
      <c r="AK459" s="358"/>
      <c r="AL459" s="358"/>
      <c r="AM459" s="581"/>
    </row>
    <row r="460" spans="1:39" ht="12.75" hidden="1">
      <c r="A460" s="641"/>
      <c r="B460" s="644"/>
      <c r="C460" s="647"/>
      <c r="D460" s="650"/>
      <c r="E460" s="635"/>
      <c r="F460" s="359" t="s">
        <v>121</v>
      </c>
      <c r="G460" s="417" t="s">
        <v>124</v>
      </c>
      <c r="H460" s="360">
        <f aca="true" t="shared" si="112" ref="H460:AL460">H454+H456+H458</f>
        <v>0</v>
      </c>
      <c r="I460" s="361">
        <f t="shared" si="112"/>
        <v>0</v>
      </c>
      <c r="J460" s="361">
        <f t="shared" si="112"/>
        <v>0</v>
      </c>
      <c r="K460" s="361">
        <f t="shared" si="112"/>
        <v>0</v>
      </c>
      <c r="L460" s="361">
        <f t="shared" si="112"/>
        <v>0</v>
      </c>
      <c r="M460" s="361">
        <f t="shared" si="112"/>
        <v>0</v>
      </c>
      <c r="N460" s="361">
        <f t="shared" si="112"/>
        <v>0</v>
      </c>
      <c r="O460" s="361">
        <f t="shared" si="112"/>
        <v>0</v>
      </c>
      <c r="P460" s="361">
        <f t="shared" si="112"/>
        <v>0</v>
      </c>
      <c r="Q460" s="361">
        <f t="shared" si="112"/>
        <v>0</v>
      </c>
      <c r="R460" s="361">
        <f t="shared" si="112"/>
        <v>0</v>
      </c>
      <c r="S460" s="361">
        <f t="shared" si="112"/>
        <v>0</v>
      </c>
      <c r="T460" s="361">
        <f t="shared" si="112"/>
        <v>0</v>
      </c>
      <c r="U460" s="361">
        <f t="shared" si="112"/>
        <v>0</v>
      </c>
      <c r="V460" s="361">
        <f t="shared" si="112"/>
        <v>0</v>
      </c>
      <c r="W460" s="361">
        <f t="shared" si="112"/>
        <v>0</v>
      </c>
      <c r="X460" s="361">
        <f t="shared" si="112"/>
        <v>0</v>
      </c>
      <c r="Y460" s="361">
        <f t="shared" si="112"/>
        <v>0</v>
      </c>
      <c r="Z460" s="361">
        <f t="shared" si="112"/>
        <v>0</v>
      </c>
      <c r="AA460" s="361">
        <f t="shared" si="112"/>
        <v>0</v>
      </c>
      <c r="AB460" s="361">
        <f t="shared" si="112"/>
        <v>0</v>
      </c>
      <c r="AC460" s="361">
        <f t="shared" si="112"/>
        <v>0</v>
      </c>
      <c r="AD460" s="361">
        <f t="shared" si="112"/>
        <v>0</v>
      </c>
      <c r="AE460" s="361">
        <f t="shared" si="112"/>
        <v>0</v>
      </c>
      <c r="AF460" s="361">
        <f t="shared" si="112"/>
        <v>0</v>
      </c>
      <c r="AG460" s="361">
        <f t="shared" si="112"/>
        <v>0</v>
      </c>
      <c r="AH460" s="361">
        <f t="shared" si="112"/>
        <v>0</v>
      </c>
      <c r="AI460" s="361">
        <f t="shared" si="112"/>
        <v>0</v>
      </c>
      <c r="AJ460" s="361">
        <f t="shared" si="112"/>
        <v>0</v>
      </c>
      <c r="AK460" s="361">
        <f t="shared" si="112"/>
        <v>0</v>
      </c>
      <c r="AL460" s="361">
        <f t="shared" si="112"/>
        <v>0</v>
      </c>
      <c r="AM460" s="581"/>
    </row>
    <row r="461" spans="1:39" ht="18" customHeight="1" hidden="1" thickBot="1">
      <c r="A461" s="642"/>
      <c r="B461" s="645"/>
      <c r="C461" s="648"/>
      <c r="D461" s="651"/>
      <c r="E461" s="639"/>
      <c r="F461" s="363">
        <f>F455+F458</f>
        <v>0</v>
      </c>
      <c r="G461" s="418" t="s">
        <v>125</v>
      </c>
      <c r="H461" s="365">
        <f aca="true" t="shared" si="113" ref="H461:AL461">H455+H457+H459</f>
        <v>0</v>
      </c>
      <c r="I461" s="366">
        <f t="shared" si="113"/>
        <v>0</v>
      </c>
      <c r="J461" s="366">
        <f t="shared" si="113"/>
        <v>0</v>
      </c>
      <c r="K461" s="366">
        <f t="shared" si="113"/>
        <v>0</v>
      </c>
      <c r="L461" s="366">
        <f t="shared" si="113"/>
        <v>0</v>
      </c>
      <c r="M461" s="366">
        <f t="shared" si="113"/>
        <v>0</v>
      </c>
      <c r="N461" s="366">
        <f t="shared" si="113"/>
        <v>0</v>
      </c>
      <c r="O461" s="366">
        <f t="shared" si="113"/>
        <v>0</v>
      </c>
      <c r="P461" s="366">
        <f t="shared" si="113"/>
        <v>0</v>
      </c>
      <c r="Q461" s="366">
        <f t="shared" si="113"/>
        <v>0</v>
      </c>
      <c r="R461" s="366">
        <f t="shared" si="113"/>
        <v>0</v>
      </c>
      <c r="S461" s="366">
        <f t="shared" si="113"/>
        <v>0</v>
      </c>
      <c r="T461" s="366">
        <f t="shared" si="113"/>
        <v>0</v>
      </c>
      <c r="U461" s="366">
        <f t="shared" si="113"/>
        <v>0</v>
      </c>
      <c r="V461" s="366">
        <f t="shared" si="113"/>
        <v>0</v>
      </c>
      <c r="W461" s="366">
        <f t="shared" si="113"/>
        <v>0</v>
      </c>
      <c r="X461" s="366">
        <f t="shared" si="113"/>
        <v>0</v>
      </c>
      <c r="Y461" s="366">
        <f t="shared" si="113"/>
        <v>0</v>
      </c>
      <c r="Z461" s="366">
        <f t="shared" si="113"/>
        <v>0</v>
      </c>
      <c r="AA461" s="366">
        <f t="shared" si="113"/>
        <v>0</v>
      </c>
      <c r="AB461" s="366">
        <f t="shared" si="113"/>
        <v>0</v>
      </c>
      <c r="AC461" s="366">
        <f t="shared" si="113"/>
        <v>0</v>
      </c>
      <c r="AD461" s="366">
        <f t="shared" si="113"/>
        <v>0</v>
      </c>
      <c r="AE461" s="366">
        <f t="shared" si="113"/>
        <v>0</v>
      </c>
      <c r="AF461" s="366">
        <f t="shared" si="113"/>
        <v>0</v>
      </c>
      <c r="AG461" s="366">
        <f t="shared" si="113"/>
        <v>0</v>
      </c>
      <c r="AH461" s="366">
        <f t="shared" si="113"/>
        <v>0</v>
      </c>
      <c r="AI461" s="366">
        <f t="shared" si="113"/>
        <v>0</v>
      </c>
      <c r="AJ461" s="366">
        <f t="shared" si="113"/>
        <v>0</v>
      </c>
      <c r="AK461" s="366">
        <f t="shared" si="113"/>
        <v>0</v>
      </c>
      <c r="AL461" s="366">
        <f t="shared" si="113"/>
        <v>0</v>
      </c>
      <c r="AM461" s="582"/>
    </row>
    <row r="462" spans="1:39" ht="12.75" customHeight="1" hidden="1">
      <c r="A462" s="640">
        <v>37</v>
      </c>
      <c r="B462" s="643"/>
      <c r="C462" s="646"/>
      <c r="D462" s="649"/>
      <c r="E462" s="634"/>
      <c r="F462" s="350" t="s">
        <v>113</v>
      </c>
      <c r="G462" s="416" t="s">
        <v>200</v>
      </c>
      <c r="H462" s="352"/>
      <c r="I462" s="353"/>
      <c r="J462" s="353"/>
      <c r="K462" s="353"/>
      <c r="L462" s="353"/>
      <c r="M462" s="353"/>
      <c r="N462" s="353"/>
      <c r="O462" s="353"/>
      <c r="P462" s="354"/>
      <c r="Q462" s="354"/>
      <c r="R462" s="354"/>
      <c r="S462" s="354"/>
      <c r="T462" s="354"/>
      <c r="U462" s="354"/>
      <c r="V462" s="354"/>
      <c r="W462" s="354"/>
      <c r="X462" s="354"/>
      <c r="Y462" s="354"/>
      <c r="Z462" s="354"/>
      <c r="AA462" s="354"/>
      <c r="AB462" s="354"/>
      <c r="AC462" s="354"/>
      <c r="AD462" s="354"/>
      <c r="AE462" s="354"/>
      <c r="AF462" s="354"/>
      <c r="AG462" s="354"/>
      <c r="AH462" s="354"/>
      <c r="AI462" s="354"/>
      <c r="AJ462" s="354"/>
      <c r="AK462" s="354"/>
      <c r="AL462" s="354"/>
      <c r="AM462" s="580">
        <f>SUM(J468:AL469)</f>
        <v>0</v>
      </c>
    </row>
    <row r="463" spans="1:39" ht="12.75" hidden="1">
      <c r="A463" s="641"/>
      <c r="B463" s="644"/>
      <c r="C463" s="647"/>
      <c r="D463" s="650"/>
      <c r="E463" s="635"/>
      <c r="F463" s="583">
        <f>SUM(H468:AL468)</f>
        <v>0</v>
      </c>
      <c r="G463" s="417" t="s">
        <v>201</v>
      </c>
      <c r="H463" s="356"/>
      <c r="I463" s="357"/>
      <c r="J463" s="357"/>
      <c r="K463" s="357"/>
      <c r="L463" s="357"/>
      <c r="M463" s="357"/>
      <c r="N463" s="357"/>
      <c r="O463" s="357"/>
      <c r="P463" s="358"/>
      <c r="Q463" s="358"/>
      <c r="R463" s="358"/>
      <c r="S463" s="358"/>
      <c r="T463" s="358"/>
      <c r="U463" s="358"/>
      <c r="V463" s="358"/>
      <c r="W463" s="358"/>
      <c r="X463" s="358"/>
      <c r="Y463" s="358"/>
      <c r="Z463" s="358"/>
      <c r="AA463" s="358"/>
      <c r="AB463" s="358"/>
      <c r="AC463" s="358"/>
      <c r="AD463" s="358"/>
      <c r="AE463" s="358"/>
      <c r="AF463" s="358"/>
      <c r="AG463" s="358"/>
      <c r="AH463" s="358"/>
      <c r="AI463" s="358"/>
      <c r="AJ463" s="358"/>
      <c r="AK463" s="358"/>
      <c r="AL463" s="358"/>
      <c r="AM463" s="581"/>
    </row>
    <row r="464" spans="1:39" ht="12.75" hidden="1">
      <c r="A464" s="641"/>
      <c r="B464" s="644"/>
      <c r="C464" s="647"/>
      <c r="D464" s="650"/>
      <c r="E464" s="635"/>
      <c r="F464" s="637"/>
      <c r="G464" s="417" t="s">
        <v>116</v>
      </c>
      <c r="H464" s="356"/>
      <c r="I464" s="357"/>
      <c r="J464" s="357"/>
      <c r="K464" s="357"/>
      <c r="L464" s="357"/>
      <c r="M464" s="357"/>
      <c r="N464" s="357"/>
      <c r="O464" s="357"/>
      <c r="P464" s="358"/>
      <c r="Q464" s="358"/>
      <c r="R464" s="358"/>
      <c r="S464" s="358"/>
      <c r="T464" s="358"/>
      <c r="U464" s="358"/>
      <c r="V464" s="358"/>
      <c r="W464" s="358"/>
      <c r="X464" s="358"/>
      <c r="Y464" s="358"/>
      <c r="Z464" s="358"/>
      <c r="AA464" s="358"/>
      <c r="AB464" s="358"/>
      <c r="AC464" s="358"/>
      <c r="AD464" s="358"/>
      <c r="AE464" s="358"/>
      <c r="AF464" s="358"/>
      <c r="AG464" s="358"/>
      <c r="AH464" s="358"/>
      <c r="AI464" s="358"/>
      <c r="AJ464" s="358"/>
      <c r="AK464" s="358"/>
      <c r="AL464" s="358"/>
      <c r="AM464" s="581"/>
    </row>
    <row r="465" spans="1:39" ht="12.75" hidden="1">
      <c r="A465" s="641"/>
      <c r="B465" s="644"/>
      <c r="C465" s="647"/>
      <c r="D465" s="650"/>
      <c r="E465" s="636"/>
      <c r="F465" s="359" t="s">
        <v>117</v>
      </c>
      <c r="G465" s="417" t="s">
        <v>118</v>
      </c>
      <c r="H465" s="356"/>
      <c r="I465" s="357"/>
      <c r="J465" s="357"/>
      <c r="K465" s="357"/>
      <c r="L465" s="357"/>
      <c r="M465" s="357"/>
      <c r="N465" s="357"/>
      <c r="O465" s="357"/>
      <c r="P465" s="358"/>
      <c r="Q465" s="358"/>
      <c r="R465" s="358"/>
      <c r="S465" s="358"/>
      <c r="T465" s="358"/>
      <c r="U465" s="358"/>
      <c r="V465" s="358"/>
      <c r="W465" s="358"/>
      <c r="X465" s="358"/>
      <c r="Y465" s="358"/>
      <c r="Z465" s="358"/>
      <c r="AA465" s="358"/>
      <c r="AB465" s="358"/>
      <c r="AC465" s="358"/>
      <c r="AD465" s="358"/>
      <c r="AE465" s="358"/>
      <c r="AF465" s="358"/>
      <c r="AG465" s="358"/>
      <c r="AH465" s="358"/>
      <c r="AI465" s="358"/>
      <c r="AJ465" s="358"/>
      <c r="AK465" s="358"/>
      <c r="AL465" s="358"/>
      <c r="AM465" s="581"/>
    </row>
    <row r="466" spans="1:39" ht="12.75" hidden="1">
      <c r="A466" s="641"/>
      <c r="B466" s="644"/>
      <c r="C466" s="647"/>
      <c r="D466" s="650"/>
      <c r="E466" s="638"/>
      <c r="F466" s="583">
        <f>SUM(H469:AL469)</f>
        <v>0</v>
      </c>
      <c r="G466" s="417" t="s">
        <v>122</v>
      </c>
      <c r="H466" s="356"/>
      <c r="I466" s="357"/>
      <c r="J466" s="357"/>
      <c r="K466" s="357"/>
      <c r="L466" s="357"/>
      <c r="M466" s="357"/>
      <c r="N466" s="357"/>
      <c r="O466" s="357"/>
      <c r="P466" s="358"/>
      <c r="Q466" s="358"/>
      <c r="R466" s="358"/>
      <c r="S466" s="358"/>
      <c r="T466" s="358"/>
      <c r="U466" s="358"/>
      <c r="V466" s="358"/>
      <c r="W466" s="358"/>
      <c r="X466" s="358"/>
      <c r="Y466" s="358"/>
      <c r="Z466" s="358"/>
      <c r="AA466" s="358"/>
      <c r="AB466" s="358"/>
      <c r="AC466" s="358"/>
      <c r="AD466" s="358"/>
      <c r="AE466" s="358"/>
      <c r="AF466" s="358"/>
      <c r="AG466" s="358"/>
      <c r="AH466" s="358"/>
      <c r="AI466" s="358"/>
      <c r="AJ466" s="358"/>
      <c r="AK466" s="358"/>
      <c r="AL466" s="358"/>
      <c r="AM466" s="581"/>
    </row>
    <row r="467" spans="1:39" ht="12.75" hidden="1">
      <c r="A467" s="641"/>
      <c r="B467" s="644"/>
      <c r="C467" s="647"/>
      <c r="D467" s="650"/>
      <c r="E467" s="635"/>
      <c r="F467" s="637"/>
      <c r="G467" s="417" t="s">
        <v>123</v>
      </c>
      <c r="H467" s="356"/>
      <c r="I467" s="357"/>
      <c r="J467" s="357"/>
      <c r="K467" s="357"/>
      <c r="L467" s="357"/>
      <c r="M467" s="357"/>
      <c r="N467" s="357"/>
      <c r="O467" s="357"/>
      <c r="P467" s="358"/>
      <c r="Q467" s="358"/>
      <c r="R467" s="358"/>
      <c r="S467" s="358"/>
      <c r="T467" s="358"/>
      <c r="U467" s="358"/>
      <c r="V467" s="358"/>
      <c r="W467" s="358"/>
      <c r="X467" s="358"/>
      <c r="Y467" s="358"/>
      <c r="Z467" s="358"/>
      <c r="AA467" s="358"/>
      <c r="AB467" s="358"/>
      <c r="AC467" s="358"/>
      <c r="AD467" s="358"/>
      <c r="AE467" s="358"/>
      <c r="AF467" s="358"/>
      <c r="AG467" s="358"/>
      <c r="AH467" s="358"/>
      <c r="AI467" s="358"/>
      <c r="AJ467" s="358"/>
      <c r="AK467" s="358"/>
      <c r="AL467" s="358"/>
      <c r="AM467" s="581"/>
    </row>
    <row r="468" spans="1:39" ht="12.75" hidden="1">
      <c r="A468" s="641"/>
      <c r="B468" s="644"/>
      <c r="C468" s="647"/>
      <c r="D468" s="650"/>
      <c r="E468" s="635"/>
      <c r="F468" s="359" t="s">
        <v>121</v>
      </c>
      <c r="G468" s="417" t="s">
        <v>124</v>
      </c>
      <c r="H468" s="360">
        <f aca="true" t="shared" si="114" ref="H468:AL468">H462+H464+H466</f>
        <v>0</v>
      </c>
      <c r="I468" s="361">
        <f t="shared" si="114"/>
        <v>0</v>
      </c>
      <c r="J468" s="361">
        <f t="shared" si="114"/>
        <v>0</v>
      </c>
      <c r="K468" s="361">
        <f t="shared" si="114"/>
        <v>0</v>
      </c>
      <c r="L468" s="361">
        <f t="shared" si="114"/>
        <v>0</v>
      </c>
      <c r="M468" s="361">
        <f t="shared" si="114"/>
        <v>0</v>
      </c>
      <c r="N468" s="361">
        <f t="shared" si="114"/>
        <v>0</v>
      </c>
      <c r="O468" s="361">
        <f t="shared" si="114"/>
        <v>0</v>
      </c>
      <c r="P468" s="361">
        <f t="shared" si="114"/>
        <v>0</v>
      </c>
      <c r="Q468" s="361">
        <f t="shared" si="114"/>
        <v>0</v>
      </c>
      <c r="R468" s="361">
        <f t="shared" si="114"/>
        <v>0</v>
      </c>
      <c r="S468" s="361">
        <f t="shared" si="114"/>
        <v>0</v>
      </c>
      <c r="T468" s="361">
        <f t="shared" si="114"/>
        <v>0</v>
      </c>
      <c r="U468" s="361">
        <f t="shared" si="114"/>
        <v>0</v>
      </c>
      <c r="V468" s="361">
        <f t="shared" si="114"/>
        <v>0</v>
      </c>
      <c r="W468" s="361">
        <f t="shared" si="114"/>
        <v>0</v>
      </c>
      <c r="X468" s="361">
        <f t="shared" si="114"/>
        <v>0</v>
      </c>
      <c r="Y468" s="361">
        <f t="shared" si="114"/>
        <v>0</v>
      </c>
      <c r="Z468" s="361">
        <f t="shared" si="114"/>
        <v>0</v>
      </c>
      <c r="AA468" s="361">
        <f t="shared" si="114"/>
        <v>0</v>
      </c>
      <c r="AB468" s="361">
        <f t="shared" si="114"/>
        <v>0</v>
      </c>
      <c r="AC468" s="361">
        <f t="shared" si="114"/>
        <v>0</v>
      </c>
      <c r="AD468" s="361">
        <f t="shared" si="114"/>
        <v>0</v>
      </c>
      <c r="AE468" s="361">
        <f t="shared" si="114"/>
        <v>0</v>
      </c>
      <c r="AF468" s="361">
        <f t="shared" si="114"/>
        <v>0</v>
      </c>
      <c r="AG468" s="361">
        <f t="shared" si="114"/>
        <v>0</v>
      </c>
      <c r="AH468" s="361">
        <f t="shared" si="114"/>
        <v>0</v>
      </c>
      <c r="AI468" s="361">
        <f t="shared" si="114"/>
        <v>0</v>
      </c>
      <c r="AJ468" s="361">
        <f t="shared" si="114"/>
        <v>0</v>
      </c>
      <c r="AK468" s="361">
        <f t="shared" si="114"/>
        <v>0</v>
      </c>
      <c r="AL468" s="361">
        <f t="shared" si="114"/>
        <v>0</v>
      </c>
      <c r="AM468" s="581"/>
    </row>
    <row r="469" spans="1:39" ht="13.5" hidden="1" thickBot="1">
      <c r="A469" s="642"/>
      <c r="B469" s="645"/>
      <c r="C469" s="648"/>
      <c r="D469" s="651"/>
      <c r="E469" s="639"/>
      <c r="F469" s="363">
        <f>F463+F466</f>
        <v>0</v>
      </c>
      <c r="G469" s="418" t="s">
        <v>125</v>
      </c>
      <c r="H469" s="365">
        <f aca="true" t="shared" si="115" ref="H469:AL469">H463+H465+H467</f>
        <v>0</v>
      </c>
      <c r="I469" s="366">
        <f t="shared" si="115"/>
        <v>0</v>
      </c>
      <c r="J469" s="366">
        <f t="shared" si="115"/>
        <v>0</v>
      </c>
      <c r="K469" s="366">
        <f t="shared" si="115"/>
        <v>0</v>
      </c>
      <c r="L469" s="366">
        <f t="shared" si="115"/>
        <v>0</v>
      </c>
      <c r="M469" s="366">
        <f t="shared" si="115"/>
        <v>0</v>
      </c>
      <c r="N469" s="366">
        <f t="shared" si="115"/>
        <v>0</v>
      </c>
      <c r="O469" s="366">
        <f t="shared" si="115"/>
        <v>0</v>
      </c>
      <c r="P469" s="366">
        <f t="shared" si="115"/>
        <v>0</v>
      </c>
      <c r="Q469" s="366">
        <f t="shared" si="115"/>
        <v>0</v>
      </c>
      <c r="R469" s="366">
        <f t="shared" si="115"/>
        <v>0</v>
      </c>
      <c r="S469" s="366">
        <f t="shared" si="115"/>
        <v>0</v>
      </c>
      <c r="T469" s="366">
        <f t="shared" si="115"/>
        <v>0</v>
      </c>
      <c r="U469" s="366">
        <f t="shared" si="115"/>
        <v>0</v>
      </c>
      <c r="V469" s="366">
        <f t="shared" si="115"/>
        <v>0</v>
      </c>
      <c r="W469" s="366">
        <f t="shared" si="115"/>
        <v>0</v>
      </c>
      <c r="X469" s="366">
        <f t="shared" si="115"/>
        <v>0</v>
      </c>
      <c r="Y469" s="366">
        <f t="shared" si="115"/>
        <v>0</v>
      </c>
      <c r="Z469" s="366">
        <f t="shared" si="115"/>
        <v>0</v>
      </c>
      <c r="AA469" s="366">
        <f t="shared" si="115"/>
        <v>0</v>
      </c>
      <c r="AB469" s="366">
        <f t="shared" si="115"/>
        <v>0</v>
      </c>
      <c r="AC469" s="366">
        <f t="shared" si="115"/>
        <v>0</v>
      </c>
      <c r="AD469" s="366">
        <f t="shared" si="115"/>
        <v>0</v>
      </c>
      <c r="AE469" s="366">
        <f t="shared" si="115"/>
        <v>0</v>
      </c>
      <c r="AF469" s="366">
        <f t="shared" si="115"/>
        <v>0</v>
      </c>
      <c r="AG469" s="366">
        <f t="shared" si="115"/>
        <v>0</v>
      </c>
      <c r="AH469" s="366">
        <f t="shared" si="115"/>
        <v>0</v>
      </c>
      <c r="AI469" s="366">
        <f t="shared" si="115"/>
        <v>0</v>
      </c>
      <c r="AJ469" s="366">
        <f t="shared" si="115"/>
        <v>0</v>
      </c>
      <c r="AK469" s="366">
        <f t="shared" si="115"/>
        <v>0</v>
      </c>
      <c r="AL469" s="366">
        <f t="shared" si="115"/>
        <v>0</v>
      </c>
      <c r="AM469" s="582"/>
    </row>
    <row r="470" spans="1:39" ht="12.75">
      <c r="A470" s="449"/>
      <c r="B470" s="450"/>
      <c r="C470" s="451"/>
      <c r="D470" s="452"/>
      <c r="E470" s="453"/>
      <c r="F470" s="382"/>
      <c r="G470" s="454"/>
      <c r="H470" s="384"/>
      <c r="I470" s="384"/>
      <c r="J470" s="384"/>
      <c r="K470" s="384"/>
      <c r="L470" s="384"/>
      <c r="M470" s="384"/>
      <c r="N470" s="384"/>
      <c r="O470" s="384"/>
      <c r="P470" s="384"/>
      <c r="Q470" s="384"/>
      <c r="R470" s="384"/>
      <c r="S470" s="384"/>
      <c r="T470" s="384"/>
      <c r="U470" s="384"/>
      <c r="V470" s="384"/>
      <c r="W470" s="384"/>
      <c r="X470" s="384"/>
      <c r="Y470" s="384"/>
      <c r="Z470" s="384"/>
      <c r="AA470" s="384"/>
      <c r="AB470" s="384"/>
      <c r="AC470" s="384"/>
      <c r="AD470" s="384"/>
      <c r="AE470" s="384"/>
      <c r="AF470" s="384"/>
      <c r="AG470" s="384"/>
      <c r="AH470" s="384"/>
      <c r="AI470" s="384"/>
      <c r="AJ470" s="384"/>
      <c r="AK470" s="384"/>
      <c r="AL470" s="384"/>
      <c r="AM470" s="385"/>
    </row>
    <row r="471" spans="1:39" ht="13.5" thickBot="1">
      <c r="A471" s="455"/>
      <c r="B471" s="456"/>
      <c r="C471" s="457"/>
      <c r="D471" s="458"/>
      <c r="E471" s="459"/>
      <c r="F471" s="382"/>
      <c r="G471" s="454"/>
      <c r="H471" s="391"/>
      <c r="I471" s="391"/>
      <c r="J471" s="391"/>
      <c r="K471" s="391"/>
      <c r="L471" s="391"/>
      <c r="M471" s="391"/>
      <c r="N471" s="391"/>
      <c r="O471" s="391"/>
      <c r="P471" s="391"/>
      <c r="Q471" s="391"/>
      <c r="R471" s="391"/>
      <c r="S471" s="391"/>
      <c r="T471" s="391"/>
      <c r="U471" s="391"/>
      <c r="V471" s="391"/>
      <c r="W471" s="391"/>
      <c r="X471" s="391"/>
      <c r="Y471" s="391"/>
      <c r="Z471" s="391"/>
      <c r="AA471" s="391"/>
      <c r="AB471" s="391"/>
      <c r="AC471" s="391"/>
      <c r="AD471" s="391"/>
      <c r="AE471" s="391"/>
      <c r="AF471" s="391"/>
      <c r="AG471" s="391"/>
      <c r="AH471" s="391"/>
      <c r="AI471" s="391"/>
      <c r="AJ471" s="391"/>
      <c r="AK471" s="391"/>
      <c r="AL471" s="391"/>
      <c r="AM471" s="393"/>
    </row>
    <row r="472" spans="1:39" ht="12.75">
      <c r="A472" s="616" t="s">
        <v>227</v>
      </c>
      <c r="B472" s="617"/>
      <c r="C472" s="617"/>
      <c r="D472" s="617"/>
      <c r="E472" s="618"/>
      <c r="F472" s="350" t="s">
        <v>113</v>
      </c>
      <c r="G472" s="460" t="s">
        <v>114</v>
      </c>
      <c r="H472" s="461">
        <f aca="true" t="shared" si="116" ref="H472:M477">SUM(H6,H14,H22,H30,H38,H46,H54,H62,H70,H78,H86,H94,H102,H110,H118,H126,H134,H142,H150,H158,H166,H174,H182,H190,H198)+SUM(H206,H214,H222,H230,H238,H246,H254,H270,H278,H286,H294,H302,H310,H318,H326,H334,H342,H350,H358,H366)</f>
        <v>16841356</v>
      </c>
      <c r="I472" s="462">
        <f t="shared" si="116"/>
        <v>12011535</v>
      </c>
      <c r="J472" s="462">
        <f t="shared" si="116"/>
        <v>7389147</v>
      </c>
      <c r="K472" s="462">
        <f t="shared" si="116"/>
        <v>2311734</v>
      </c>
      <c r="L472" s="462">
        <f t="shared" si="116"/>
        <v>1553378</v>
      </c>
      <c r="M472" s="463">
        <f t="shared" si="116"/>
        <v>184800</v>
      </c>
      <c r="N472" s="353">
        <f aca="true" t="shared" si="117" ref="N472:AL472">SUM(N6,N14,N22,N30,N38,N46,N54,N62,N70,N78,N86,N94,N102,N110,N118,N126,N134,N302,N310,N318)+SUM(N334,N342,N350,N358,N366,N374,N382,N390,N398,N406,N414,N422,N430,N438,N446,N454,N462)</f>
        <v>0</v>
      </c>
      <c r="O472" s="353">
        <f t="shared" si="117"/>
        <v>0</v>
      </c>
      <c r="P472" s="353">
        <f t="shared" si="117"/>
        <v>0</v>
      </c>
      <c r="Q472" s="353">
        <f t="shared" si="117"/>
        <v>0</v>
      </c>
      <c r="R472" s="353">
        <f t="shared" si="117"/>
        <v>0</v>
      </c>
      <c r="S472" s="353">
        <f t="shared" si="117"/>
        <v>0</v>
      </c>
      <c r="T472" s="353">
        <f t="shared" si="117"/>
        <v>0</v>
      </c>
      <c r="U472" s="353">
        <f t="shared" si="117"/>
        <v>0</v>
      </c>
      <c r="V472" s="353">
        <f t="shared" si="117"/>
        <v>0</v>
      </c>
      <c r="W472" s="353">
        <f t="shared" si="117"/>
        <v>0</v>
      </c>
      <c r="X472" s="353">
        <f t="shared" si="117"/>
        <v>0</v>
      </c>
      <c r="Y472" s="353">
        <f t="shared" si="117"/>
        <v>0</v>
      </c>
      <c r="Z472" s="353">
        <f t="shared" si="117"/>
        <v>0</v>
      </c>
      <c r="AA472" s="353">
        <f t="shared" si="117"/>
        <v>0</v>
      </c>
      <c r="AB472" s="353">
        <f t="shared" si="117"/>
        <v>0</v>
      </c>
      <c r="AC472" s="353">
        <f t="shared" si="117"/>
        <v>0</v>
      </c>
      <c r="AD472" s="353">
        <f t="shared" si="117"/>
        <v>0</v>
      </c>
      <c r="AE472" s="353">
        <f t="shared" si="117"/>
        <v>0</v>
      </c>
      <c r="AF472" s="353">
        <f t="shared" si="117"/>
        <v>0</v>
      </c>
      <c r="AG472" s="353">
        <f t="shared" si="117"/>
        <v>0</v>
      </c>
      <c r="AH472" s="353">
        <f t="shared" si="117"/>
        <v>0</v>
      </c>
      <c r="AI472" s="353">
        <f t="shared" si="117"/>
        <v>0</v>
      </c>
      <c r="AJ472" s="353">
        <f t="shared" si="117"/>
        <v>0</v>
      </c>
      <c r="AK472" s="353">
        <f t="shared" si="117"/>
        <v>0</v>
      </c>
      <c r="AL472" s="395">
        <f t="shared" si="117"/>
        <v>0</v>
      </c>
      <c r="AM472" s="580">
        <f>SUM(AM6:AM469)</f>
        <v>11455615</v>
      </c>
    </row>
    <row r="473" spans="1:39" ht="12.75">
      <c r="A473" s="619"/>
      <c r="B473" s="612"/>
      <c r="C473" s="612"/>
      <c r="D473" s="612"/>
      <c r="E473" s="620"/>
      <c r="F473" s="583">
        <f>SUM(H478:M478)</f>
        <v>40737329</v>
      </c>
      <c r="G473" s="464" t="s">
        <v>115</v>
      </c>
      <c r="H473" s="465">
        <f t="shared" si="116"/>
        <v>33648</v>
      </c>
      <c r="I473" s="466">
        <f t="shared" si="116"/>
        <v>30000</v>
      </c>
      <c r="J473" s="466">
        <f t="shared" si="116"/>
        <v>0</v>
      </c>
      <c r="K473" s="466">
        <f t="shared" si="116"/>
        <v>0</v>
      </c>
      <c r="L473" s="466">
        <f t="shared" si="116"/>
        <v>0</v>
      </c>
      <c r="M473" s="467">
        <f t="shared" si="116"/>
        <v>0</v>
      </c>
      <c r="N473" s="357">
        <f aca="true" t="shared" si="118" ref="N473:AL473">SUM(N7,N15,N23,N31,N39,N47,N55,N63,N71,N79,N87,N95,N103,N111,N119,N127,N135,N303,N311,N319)+SUM(N335,N343,N351,N359,N367,N375,N383,N391,N399,N407,N415,N423,N431,N439,N447,N455,N463)</f>
        <v>0</v>
      </c>
      <c r="O473" s="357">
        <f t="shared" si="118"/>
        <v>0</v>
      </c>
      <c r="P473" s="357">
        <f t="shared" si="118"/>
        <v>0</v>
      </c>
      <c r="Q473" s="357">
        <f t="shared" si="118"/>
        <v>0</v>
      </c>
      <c r="R473" s="357">
        <f t="shared" si="118"/>
        <v>0</v>
      </c>
      <c r="S473" s="357">
        <f t="shared" si="118"/>
        <v>0</v>
      </c>
      <c r="T473" s="357">
        <f t="shared" si="118"/>
        <v>0</v>
      </c>
      <c r="U473" s="357">
        <f t="shared" si="118"/>
        <v>0</v>
      </c>
      <c r="V473" s="357">
        <f t="shared" si="118"/>
        <v>0</v>
      </c>
      <c r="W473" s="357">
        <f t="shared" si="118"/>
        <v>0</v>
      </c>
      <c r="X473" s="357">
        <f t="shared" si="118"/>
        <v>0</v>
      </c>
      <c r="Y473" s="357">
        <f t="shared" si="118"/>
        <v>0</v>
      </c>
      <c r="Z473" s="357">
        <f t="shared" si="118"/>
        <v>0</v>
      </c>
      <c r="AA473" s="357">
        <f t="shared" si="118"/>
        <v>0</v>
      </c>
      <c r="AB473" s="357">
        <f t="shared" si="118"/>
        <v>0</v>
      </c>
      <c r="AC473" s="357">
        <f t="shared" si="118"/>
        <v>0</v>
      </c>
      <c r="AD473" s="357">
        <f t="shared" si="118"/>
        <v>0</v>
      </c>
      <c r="AE473" s="357">
        <f t="shared" si="118"/>
        <v>0</v>
      </c>
      <c r="AF473" s="357">
        <f t="shared" si="118"/>
        <v>0</v>
      </c>
      <c r="AG473" s="357">
        <f t="shared" si="118"/>
        <v>0</v>
      </c>
      <c r="AH473" s="357">
        <f t="shared" si="118"/>
        <v>0</v>
      </c>
      <c r="AI473" s="357">
        <f t="shared" si="118"/>
        <v>0</v>
      </c>
      <c r="AJ473" s="357">
        <f t="shared" si="118"/>
        <v>0</v>
      </c>
      <c r="AK473" s="357">
        <f t="shared" si="118"/>
        <v>0</v>
      </c>
      <c r="AL473" s="397">
        <f t="shared" si="118"/>
        <v>0</v>
      </c>
      <c r="AM473" s="581"/>
    </row>
    <row r="474" spans="1:39" ht="12.75">
      <c r="A474" s="619"/>
      <c r="B474" s="612"/>
      <c r="C474" s="612"/>
      <c r="D474" s="612"/>
      <c r="E474" s="620"/>
      <c r="F474" s="584"/>
      <c r="G474" s="464" t="s">
        <v>116</v>
      </c>
      <c r="H474" s="465">
        <f t="shared" si="116"/>
        <v>0</v>
      </c>
      <c r="I474" s="466">
        <f t="shared" si="116"/>
        <v>0</v>
      </c>
      <c r="J474" s="466">
        <f t="shared" si="116"/>
        <v>0</v>
      </c>
      <c r="K474" s="466">
        <f t="shared" si="116"/>
        <v>0</v>
      </c>
      <c r="L474" s="466">
        <f t="shared" si="116"/>
        <v>0</v>
      </c>
      <c r="M474" s="467">
        <f t="shared" si="116"/>
        <v>0</v>
      </c>
      <c r="N474" s="357">
        <f aca="true" t="shared" si="119" ref="N474:AL474">SUM(N8,N16,N24,N32,N40,N48,N56,N64,N72,N80,N88,N96,N104,N112,N120,N128,N136,N304,N312,N320)+SUM(N336,N344,N352,N360,N368,N376,N384,N392,N400,N408,N416,N424,N432,N440,N448,N456,N464)</f>
        <v>0</v>
      </c>
      <c r="O474" s="357">
        <f t="shared" si="119"/>
        <v>0</v>
      </c>
      <c r="P474" s="357">
        <f t="shared" si="119"/>
        <v>0</v>
      </c>
      <c r="Q474" s="357">
        <f t="shared" si="119"/>
        <v>0</v>
      </c>
      <c r="R474" s="357">
        <f t="shared" si="119"/>
        <v>0</v>
      </c>
      <c r="S474" s="357">
        <f t="shared" si="119"/>
        <v>0</v>
      </c>
      <c r="T474" s="357">
        <f t="shared" si="119"/>
        <v>0</v>
      </c>
      <c r="U474" s="357">
        <f t="shared" si="119"/>
        <v>0</v>
      </c>
      <c r="V474" s="357">
        <f t="shared" si="119"/>
        <v>0</v>
      </c>
      <c r="W474" s="357">
        <f t="shared" si="119"/>
        <v>0</v>
      </c>
      <c r="X474" s="357">
        <f t="shared" si="119"/>
        <v>0</v>
      </c>
      <c r="Y474" s="357">
        <f t="shared" si="119"/>
        <v>0</v>
      </c>
      <c r="Z474" s="357">
        <f t="shared" si="119"/>
        <v>0</v>
      </c>
      <c r="AA474" s="357">
        <f t="shared" si="119"/>
        <v>0</v>
      </c>
      <c r="AB474" s="357">
        <f t="shared" si="119"/>
        <v>0</v>
      </c>
      <c r="AC474" s="357">
        <f t="shared" si="119"/>
        <v>0</v>
      </c>
      <c r="AD474" s="357">
        <f t="shared" si="119"/>
        <v>0</v>
      </c>
      <c r="AE474" s="357">
        <f t="shared" si="119"/>
        <v>0</v>
      </c>
      <c r="AF474" s="357">
        <f t="shared" si="119"/>
        <v>0</v>
      </c>
      <c r="AG474" s="357">
        <f t="shared" si="119"/>
        <v>0</v>
      </c>
      <c r="AH474" s="357">
        <f t="shared" si="119"/>
        <v>0</v>
      </c>
      <c r="AI474" s="357">
        <f t="shared" si="119"/>
        <v>0</v>
      </c>
      <c r="AJ474" s="357">
        <f t="shared" si="119"/>
        <v>0</v>
      </c>
      <c r="AK474" s="357">
        <f t="shared" si="119"/>
        <v>0</v>
      </c>
      <c r="AL474" s="397">
        <f t="shared" si="119"/>
        <v>0</v>
      </c>
      <c r="AM474" s="581"/>
    </row>
    <row r="475" spans="1:39" ht="12.75">
      <c r="A475" s="619"/>
      <c r="B475" s="612"/>
      <c r="C475" s="612"/>
      <c r="D475" s="612"/>
      <c r="E475" s="620"/>
      <c r="F475" s="359" t="s">
        <v>117</v>
      </c>
      <c r="G475" s="464" t="s">
        <v>118</v>
      </c>
      <c r="H475" s="465">
        <f t="shared" si="116"/>
        <v>0</v>
      </c>
      <c r="I475" s="466">
        <f t="shared" si="116"/>
        <v>0</v>
      </c>
      <c r="J475" s="466">
        <f t="shared" si="116"/>
        <v>0</v>
      </c>
      <c r="K475" s="466">
        <f t="shared" si="116"/>
        <v>0</v>
      </c>
      <c r="L475" s="466">
        <f t="shared" si="116"/>
        <v>0</v>
      </c>
      <c r="M475" s="467">
        <f t="shared" si="116"/>
        <v>0</v>
      </c>
      <c r="N475" s="357">
        <f aca="true" t="shared" si="120" ref="N475:AL475">SUM(N9,N17,N25,N33,N41,N49,N57,N65,N73,N81,N89,N97,N105,N113,N121,N129,N137,N305,N313,N321)+SUM(N337,N345,N353,N361,N369,N377,N385,N393,N401,N409,N417,N425,N433,N441,N449,N457,N465)</f>
        <v>0</v>
      </c>
      <c r="O475" s="357">
        <f t="shared" si="120"/>
        <v>0</v>
      </c>
      <c r="P475" s="357">
        <f t="shared" si="120"/>
        <v>0</v>
      </c>
      <c r="Q475" s="357">
        <f t="shared" si="120"/>
        <v>0</v>
      </c>
      <c r="R475" s="357">
        <f t="shared" si="120"/>
        <v>0</v>
      </c>
      <c r="S475" s="357">
        <f t="shared" si="120"/>
        <v>0</v>
      </c>
      <c r="T475" s="357">
        <f t="shared" si="120"/>
        <v>0</v>
      </c>
      <c r="U475" s="357">
        <f t="shared" si="120"/>
        <v>0</v>
      </c>
      <c r="V475" s="357">
        <f t="shared" si="120"/>
        <v>0</v>
      </c>
      <c r="W475" s="357">
        <f t="shared" si="120"/>
        <v>0</v>
      </c>
      <c r="X475" s="357">
        <f t="shared" si="120"/>
        <v>0</v>
      </c>
      <c r="Y475" s="357">
        <f t="shared" si="120"/>
        <v>0</v>
      </c>
      <c r="Z475" s="357">
        <f t="shared" si="120"/>
        <v>0</v>
      </c>
      <c r="AA475" s="357">
        <f t="shared" si="120"/>
        <v>0</v>
      </c>
      <c r="AB475" s="357">
        <f t="shared" si="120"/>
        <v>0</v>
      </c>
      <c r="AC475" s="357">
        <f t="shared" si="120"/>
        <v>0</v>
      </c>
      <c r="AD475" s="357">
        <f t="shared" si="120"/>
        <v>0</v>
      </c>
      <c r="AE475" s="357">
        <f t="shared" si="120"/>
        <v>0</v>
      </c>
      <c r="AF475" s="357">
        <f t="shared" si="120"/>
        <v>0</v>
      </c>
      <c r="AG475" s="357">
        <f t="shared" si="120"/>
        <v>0</v>
      </c>
      <c r="AH475" s="357">
        <f t="shared" si="120"/>
        <v>0</v>
      </c>
      <c r="AI475" s="357">
        <f t="shared" si="120"/>
        <v>0</v>
      </c>
      <c r="AJ475" s="357">
        <f t="shared" si="120"/>
        <v>0</v>
      </c>
      <c r="AK475" s="357">
        <f t="shared" si="120"/>
        <v>0</v>
      </c>
      <c r="AL475" s="397">
        <f t="shared" si="120"/>
        <v>0</v>
      </c>
      <c r="AM475" s="581"/>
    </row>
    <row r="476" spans="1:39" ht="12.75">
      <c r="A476" s="619"/>
      <c r="B476" s="612"/>
      <c r="C476" s="612"/>
      <c r="D476" s="612"/>
      <c r="E476" s="620"/>
      <c r="F476" s="583">
        <f>SUM(H479:AL479)</f>
        <v>63648</v>
      </c>
      <c r="G476" s="464" t="s">
        <v>122</v>
      </c>
      <c r="H476" s="465">
        <f t="shared" si="116"/>
        <v>51992</v>
      </c>
      <c r="I476" s="466">
        <f t="shared" si="116"/>
        <v>376831</v>
      </c>
      <c r="J476" s="466">
        <f t="shared" si="116"/>
        <v>16556</v>
      </c>
      <c r="K476" s="466">
        <f t="shared" si="116"/>
        <v>0</v>
      </c>
      <c r="L476" s="466">
        <f t="shared" si="116"/>
        <v>0</v>
      </c>
      <c r="M476" s="467">
        <f t="shared" si="116"/>
        <v>0</v>
      </c>
      <c r="N476" s="357">
        <f aca="true" t="shared" si="121" ref="N476:AL476">SUM(N10,N18,N26,N34,N42,N50,N58,N66,N74,N82,N90,N98,N106,N114,N122,N130,N138,N306,N314,N322)+SUM(N338,N346,N354,N362,N370,N378,N386,N394,N402,N410,N418,N426,N434,N442,N450,N458,N466)</f>
        <v>0</v>
      </c>
      <c r="O476" s="357">
        <f t="shared" si="121"/>
        <v>0</v>
      </c>
      <c r="P476" s="357">
        <f t="shared" si="121"/>
        <v>0</v>
      </c>
      <c r="Q476" s="357">
        <f t="shared" si="121"/>
        <v>0</v>
      </c>
      <c r="R476" s="357">
        <f t="shared" si="121"/>
        <v>0</v>
      </c>
      <c r="S476" s="357">
        <f t="shared" si="121"/>
        <v>0</v>
      </c>
      <c r="T476" s="357">
        <f t="shared" si="121"/>
        <v>0</v>
      </c>
      <c r="U476" s="357">
        <f t="shared" si="121"/>
        <v>0</v>
      </c>
      <c r="V476" s="357">
        <f t="shared" si="121"/>
        <v>0</v>
      </c>
      <c r="W476" s="357">
        <f t="shared" si="121"/>
        <v>0</v>
      </c>
      <c r="X476" s="357">
        <f t="shared" si="121"/>
        <v>0</v>
      </c>
      <c r="Y476" s="357">
        <f t="shared" si="121"/>
        <v>0</v>
      </c>
      <c r="Z476" s="357">
        <f t="shared" si="121"/>
        <v>0</v>
      </c>
      <c r="AA476" s="357">
        <f t="shared" si="121"/>
        <v>0</v>
      </c>
      <c r="AB476" s="357">
        <f t="shared" si="121"/>
        <v>0</v>
      </c>
      <c r="AC476" s="357">
        <f t="shared" si="121"/>
        <v>0</v>
      </c>
      <c r="AD476" s="357">
        <f t="shared" si="121"/>
        <v>0</v>
      </c>
      <c r="AE476" s="357">
        <f t="shared" si="121"/>
        <v>0</v>
      </c>
      <c r="AF476" s="357">
        <f t="shared" si="121"/>
        <v>0</v>
      </c>
      <c r="AG476" s="357">
        <f t="shared" si="121"/>
        <v>0</v>
      </c>
      <c r="AH476" s="357">
        <f t="shared" si="121"/>
        <v>0</v>
      </c>
      <c r="AI476" s="357">
        <f t="shared" si="121"/>
        <v>0</v>
      </c>
      <c r="AJ476" s="357">
        <f t="shared" si="121"/>
        <v>0</v>
      </c>
      <c r="AK476" s="357">
        <f t="shared" si="121"/>
        <v>0</v>
      </c>
      <c r="AL476" s="397">
        <f t="shared" si="121"/>
        <v>0</v>
      </c>
      <c r="AM476" s="581"/>
    </row>
    <row r="477" spans="1:39" ht="12.75">
      <c r="A477" s="619"/>
      <c r="B477" s="612"/>
      <c r="C477" s="612"/>
      <c r="D477" s="612"/>
      <c r="E477" s="620"/>
      <c r="F477" s="584"/>
      <c r="G477" s="464" t="s">
        <v>123</v>
      </c>
      <c r="H477" s="468">
        <f t="shared" si="116"/>
        <v>0</v>
      </c>
      <c r="I477" s="469">
        <f t="shared" si="116"/>
        <v>0</v>
      </c>
      <c r="J477" s="469">
        <f t="shared" si="116"/>
        <v>0</v>
      </c>
      <c r="K477" s="469">
        <f t="shared" si="116"/>
        <v>0</v>
      </c>
      <c r="L477" s="469">
        <f t="shared" si="116"/>
        <v>0</v>
      </c>
      <c r="M477" s="470">
        <f t="shared" si="116"/>
        <v>0</v>
      </c>
      <c r="N477" s="357">
        <f aca="true" t="shared" si="122" ref="N477:AL477">SUM(N11,N19,N27,N35,N43,N51,N59,N67,N75,N83,N91,N99,N107,N115,N123,N131,N139,N307,N315,N323)+SUM(N339,N347,N355,N363,N371,N379,N387,N395,N403,N411,N419,N427,N435,N443,N451,N459,N467)</f>
        <v>0</v>
      </c>
      <c r="O477" s="357">
        <f t="shared" si="122"/>
        <v>0</v>
      </c>
      <c r="P477" s="357">
        <f t="shared" si="122"/>
        <v>0</v>
      </c>
      <c r="Q477" s="357">
        <f t="shared" si="122"/>
        <v>0</v>
      </c>
      <c r="R477" s="357">
        <f t="shared" si="122"/>
        <v>0</v>
      </c>
      <c r="S477" s="357">
        <f t="shared" si="122"/>
        <v>0</v>
      </c>
      <c r="T477" s="357">
        <f t="shared" si="122"/>
        <v>0</v>
      </c>
      <c r="U477" s="357">
        <f t="shared" si="122"/>
        <v>0</v>
      </c>
      <c r="V477" s="357">
        <f t="shared" si="122"/>
        <v>0</v>
      </c>
      <c r="W477" s="357">
        <f t="shared" si="122"/>
        <v>0</v>
      </c>
      <c r="X477" s="357">
        <f t="shared" si="122"/>
        <v>0</v>
      </c>
      <c r="Y477" s="357">
        <f t="shared" si="122"/>
        <v>0</v>
      </c>
      <c r="Z477" s="357">
        <f t="shared" si="122"/>
        <v>0</v>
      </c>
      <c r="AA477" s="357">
        <f t="shared" si="122"/>
        <v>0</v>
      </c>
      <c r="AB477" s="357">
        <f t="shared" si="122"/>
        <v>0</v>
      </c>
      <c r="AC477" s="357">
        <f t="shared" si="122"/>
        <v>0</v>
      </c>
      <c r="AD477" s="357">
        <f t="shared" si="122"/>
        <v>0</v>
      </c>
      <c r="AE477" s="357">
        <f t="shared" si="122"/>
        <v>0</v>
      </c>
      <c r="AF477" s="357">
        <f t="shared" si="122"/>
        <v>0</v>
      </c>
      <c r="AG477" s="357">
        <f t="shared" si="122"/>
        <v>0</v>
      </c>
      <c r="AH477" s="357">
        <f t="shared" si="122"/>
        <v>0</v>
      </c>
      <c r="AI477" s="357">
        <f t="shared" si="122"/>
        <v>0</v>
      </c>
      <c r="AJ477" s="357">
        <f t="shared" si="122"/>
        <v>0</v>
      </c>
      <c r="AK477" s="357">
        <f t="shared" si="122"/>
        <v>0</v>
      </c>
      <c r="AL477" s="397">
        <f t="shared" si="122"/>
        <v>0</v>
      </c>
      <c r="AM477" s="581"/>
    </row>
    <row r="478" spans="1:39" ht="12.75">
      <c r="A478" s="619"/>
      <c r="B478" s="612"/>
      <c r="C478" s="612"/>
      <c r="D478" s="612"/>
      <c r="E478" s="620"/>
      <c r="F478" s="359" t="s">
        <v>121</v>
      </c>
      <c r="G478" s="464" t="s">
        <v>124</v>
      </c>
      <c r="H478" s="357">
        <f aca="true" t="shared" si="123" ref="H478:M479">SUM(H472,H474,H476)</f>
        <v>16893348</v>
      </c>
      <c r="I478" s="357">
        <f t="shared" si="123"/>
        <v>12388366</v>
      </c>
      <c r="J478" s="357">
        <f t="shared" si="123"/>
        <v>7405703</v>
      </c>
      <c r="K478" s="357">
        <f t="shared" si="123"/>
        <v>2311734</v>
      </c>
      <c r="L478" s="357">
        <f t="shared" si="123"/>
        <v>1553378</v>
      </c>
      <c r="M478" s="357">
        <f t="shared" si="123"/>
        <v>184800</v>
      </c>
      <c r="N478" s="357">
        <f aca="true" t="shared" si="124" ref="N478:AL478">SUM(N12,N20,N28,N36,N44,N52,N60,N68,N76,N84,N92,N100,N108,N116,N124,N132,N140,N308,N316,N324)+SUM(N340,N348,N356,N364,N372,N380,N388,N396,N404,N412,N420,N428,N436,N444,N452,N460,N468)</f>
        <v>0</v>
      </c>
      <c r="O478" s="357">
        <f t="shared" si="124"/>
        <v>0</v>
      </c>
      <c r="P478" s="357">
        <f t="shared" si="124"/>
        <v>0</v>
      </c>
      <c r="Q478" s="357">
        <f t="shared" si="124"/>
        <v>0</v>
      </c>
      <c r="R478" s="357">
        <f t="shared" si="124"/>
        <v>0</v>
      </c>
      <c r="S478" s="357">
        <f t="shared" si="124"/>
        <v>0</v>
      </c>
      <c r="T478" s="357">
        <f t="shared" si="124"/>
        <v>0</v>
      </c>
      <c r="U478" s="357">
        <f t="shared" si="124"/>
        <v>0</v>
      </c>
      <c r="V478" s="357">
        <f t="shared" si="124"/>
        <v>0</v>
      </c>
      <c r="W478" s="357">
        <f t="shared" si="124"/>
        <v>0</v>
      </c>
      <c r="X478" s="357">
        <f t="shared" si="124"/>
        <v>0</v>
      </c>
      <c r="Y478" s="357">
        <f t="shared" si="124"/>
        <v>0</v>
      </c>
      <c r="Z478" s="357">
        <f t="shared" si="124"/>
        <v>0</v>
      </c>
      <c r="AA478" s="357">
        <f t="shared" si="124"/>
        <v>0</v>
      </c>
      <c r="AB478" s="357">
        <f t="shared" si="124"/>
        <v>0</v>
      </c>
      <c r="AC478" s="357">
        <f t="shared" si="124"/>
        <v>0</v>
      </c>
      <c r="AD478" s="357">
        <f t="shared" si="124"/>
        <v>0</v>
      </c>
      <c r="AE478" s="357">
        <f t="shared" si="124"/>
        <v>0</v>
      </c>
      <c r="AF478" s="357">
        <f t="shared" si="124"/>
        <v>0</v>
      </c>
      <c r="AG478" s="357">
        <f t="shared" si="124"/>
        <v>0</v>
      </c>
      <c r="AH478" s="357">
        <f t="shared" si="124"/>
        <v>0</v>
      </c>
      <c r="AI478" s="357">
        <f t="shared" si="124"/>
        <v>0</v>
      </c>
      <c r="AJ478" s="357">
        <f t="shared" si="124"/>
        <v>0</v>
      </c>
      <c r="AK478" s="357">
        <f t="shared" si="124"/>
        <v>0</v>
      </c>
      <c r="AL478" s="397">
        <f t="shared" si="124"/>
        <v>0</v>
      </c>
      <c r="AM478" s="581"/>
    </row>
    <row r="479" spans="1:39" ht="13.5" thickBot="1">
      <c r="A479" s="621"/>
      <c r="B479" s="622"/>
      <c r="C479" s="622"/>
      <c r="D479" s="622"/>
      <c r="E479" s="623"/>
      <c r="F479" s="363">
        <f>F473+F476</f>
        <v>40800977</v>
      </c>
      <c r="G479" s="471" t="s">
        <v>125</v>
      </c>
      <c r="H479" s="399">
        <f t="shared" si="123"/>
        <v>33648</v>
      </c>
      <c r="I479" s="399">
        <f t="shared" si="123"/>
        <v>30000</v>
      </c>
      <c r="J479" s="399">
        <f t="shared" si="123"/>
        <v>0</v>
      </c>
      <c r="K479" s="399">
        <f t="shared" si="123"/>
        <v>0</v>
      </c>
      <c r="L479" s="399">
        <f t="shared" si="123"/>
        <v>0</v>
      </c>
      <c r="M479" s="399">
        <f t="shared" si="123"/>
        <v>0</v>
      </c>
      <c r="N479" s="399">
        <f aca="true" t="shared" si="125" ref="N479:AL479">SUM(N13,N21,N29,N37,N45,N53,N61,N69,N77,N85,N93,N101,N109,N117,N125,N133,N141,N309,N317,N325)+SUM(N341,N349,N357,N365,N373,N381,N389,N397,N405,N413,N421,N429,N437,N445,N453,N461,N469)</f>
        <v>0</v>
      </c>
      <c r="O479" s="399">
        <f t="shared" si="125"/>
        <v>0</v>
      </c>
      <c r="P479" s="399">
        <f t="shared" si="125"/>
        <v>0</v>
      </c>
      <c r="Q479" s="399">
        <f t="shared" si="125"/>
        <v>0</v>
      </c>
      <c r="R479" s="399">
        <f t="shared" si="125"/>
        <v>0</v>
      </c>
      <c r="S479" s="399">
        <f t="shared" si="125"/>
        <v>0</v>
      </c>
      <c r="T479" s="399">
        <f t="shared" si="125"/>
        <v>0</v>
      </c>
      <c r="U479" s="399">
        <f t="shared" si="125"/>
        <v>0</v>
      </c>
      <c r="V479" s="399">
        <f t="shared" si="125"/>
        <v>0</v>
      </c>
      <c r="W479" s="399">
        <f t="shared" si="125"/>
        <v>0</v>
      </c>
      <c r="X479" s="399">
        <f t="shared" si="125"/>
        <v>0</v>
      </c>
      <c r="Y479" s="399">
        <f t="shared" si="125"/>
        <v>0</v>
      </c>
      <c r="Z479" s="399">
        <f t="shared" si="125"/>
        <v>0</v>
      </c>
      <c r="AA479" s="399">
        <f t="shared" si="125"/>
        <v>0</v>
      </c>
      <c r="AB479" s="399">
        <f t="shared" si="125"/>
        <v>0</v>
      </c>
      <c r="AC479" s="399">
        <f t="shared" si="125"/>
        <v>0</v>
      </c>
      <c r="AD479" s="399">
        <f t="shared" si="125"/>
        <v>0</v>
      </c>
      <c r="AE479" s="399">
        <f t="shared" si="125"/>
        <v>0</v>
      </c>
      <c r="AF479" s="399">
        <f t="shared" si="125"/>
        <v>0</v>
      </c>
      <c r="AG479" s="399">
        <f t="shared" si="125"/>
        <v>0</v>
      </c>
      <c r="AH479" s="399">
        <f t="shared" si="125"/>
        <v>0</v>
      </c>
      <c r="AI479" s="399">
        <f t="shared" si="125"/>
        <v>0</v>
      </c>
      <c r="AJ479" s="399">
        <f t="shared" si="125"/>
        <v>0</v>
      </c>
      <c r="AK479" s="399">
        <f t="shared" si="125"/>
        <v>0</v>
      </c>
      <c r="AL479" s="400">
        <f t="shared" si="125"/>
        <v>0</v>
      </c>
      <c r="AM479" s="582"/>
    </row>
    <row r="480" spans="1:39" ht="12.75">
      <c r="A480" s="630"/>
      <c r="B480" s="631"/>
      <c r="C480" s="632"/>
      <c r="D480" s="633"/>
      <c r="E480" s="629"/>
      <c r="F480" s="626"/>
      <c r="G480" s="454"/>
      <c r="H480" s="384"/>
      <c r="I480" s="384"/>
      <c r="J480" s="384"/>
      <c r="K480" s="384"/>
      <c r="L480" s="384"/>
      <c r="M480" s="384"/>
      <c r="N480" s="384"/>
      <c r="O480" s="384"/>
      <c r="P480" s="384"/>
      <c r="Q480" s="384"/>
      <c r="R480" s="384"/>
      <c r="S480" s="384"/>
      <c r="T480" s="384"/>
      <c r="U480" s="384"/>
      <c r="V480" s="384"/>
      <c r="W480" s="384"/>
      <c r="X480" s="384"/>
      <c r="Y480" s="384"/>
      <c r="Z480" s="384"/>
      <c r="AA480" s="384"/>
      <c r="AB480" s="384"/>
      <c r="AC480" s="384"/>
      <c r="AD480" s="384"/>
      <c r="AE480" s="384"/>
      <c r="AF480" s="384"/>
      <c r="AG480" s="384"/>
      <c r="AH480" s="384"/>
      <c r="AI480" s="384"/>
      <c r="AJ480" s="384"/>
      <c r="AK480" s="384"/>
      <c r="AL480" s="384"/>
      <c r="AM480" s="624"/>
    </row>
    <row r="481" spans="1:39" ht="13.5" hidden="1" thickBot="1">
      <c r="A481" s="630"/>
      <c r="B481" s="631"/>
      <c r="C481" s="632"/>
      <c r="D481" s="633"/>
      <c r="E481" s="629"/>
      <c r="F481" s="627"/>
      <c r="G481" s="454"/>
      <c r="H481" s="384"/>
      <c r="I481" s="384"/>
      <c r="J481" s="384"/>
      <c r="K481" s="384"/>
      <c r="L481" s="384"/>
      <c r="M481" s="384"/>
      <c r="N481" s="384"/>
      <c r="O481" s="384"/>
      <c r="P481" s="384"/>
      <c r="Q481" s="384"/>
      <c r="R481" s="384"/>
      <c r="S481" s="384"/>
      <c r="T481" s="384"/>
      <c r="U481" s="384"/>
      <c r="V481" s="384"/>
      <c r="W481" s="384"/>
      <c r="X481" s="384"/>
      <c r="Y481" s="384"/>
      <c r="Z481" s="384"/>
      <c r="AA481" s="384"/>
      <c r="AB481" s="384"/>
      <c r="AC481" s="384"/>
      <c r="AD481" s="384"/>
      <c r="AE481" s="384"/>
      <c r="AF481" s="384"/>
      <c r="AG481" s="384"/>
      <c r="AH481" s="384"/>
      <c r="AI481" s="384"/>
      <c r="AJ481" s="384"/>
      <c r="AK481" s="384"/>
      <c r="AL481" s="384"/>
      <c r="AM481" s="624"/>
    </row>
    <row r="482" spans="1:39" ht="12.75" hidden="1">
      <c r="A482" s="630"/>
      <c r="B482" s="631"/>
      <c r="C482" s="632"/>
      <c r="D482" s="633"/>
      <c r="E482" s="629"/>
      <c r="F482" s="382"/>
      <c r="G482" s="473" t="s">
        <v>114</v>
      </c>
      <c r="H482" s="474">
        <f>H472-'[2]zał. nr 2 do URM cz. 3 (28.03)'!H472</f>
        <v>0</v>
      </c>
      <c r="I482" s="474">
        <f>I472-'[2]zał. nr 2 do URM cz. 3 (28.03)'!I472</f>
        <v>93496</v>
      </c>
      <c r="J482" s="474">
        <f>J472-'[2]zał. nr 2 do URM cz. 3 (28.03)'!J472</f>
        <v>157000</v>
      </c>
      <c r="K482" s="474">
        <f>K472-'[2]zał. nr 2 do URM cz. 3 (28.03)'!K472</f>
        <v>150000</v>
      </c>
      <c r="L482" s="474">
        <f>L472-'[2]zał. nr 2 do URM cz. 3 (28.03)'!L472</f>
        <v>75000</v>
      </c>
      <c r="M482" s="474">
        <f>M472-'[2]zał. nr 2 do URM cz. 3 (22.02)'!M472</f>
        <v>0</v>
      </c>
      <c r="N482" s="384"/>
      <c r="O482" s="384"/>
      <c r="P482" s="384"/>
      <c r="Q482" s="384"/>
      <c r="R482" s="384"/>
      <c r="S482" s="384"/>
      <c r="T482" s="384"/>
      <c r="U482" s="384"/>
      <c r="V482" s="384"/>
      <c r="W482" s="384"/>
      <c r="X482" s="384"/>
      <c r="Y482" s="384"/>
      <c r="Z482" s="384"/>
      <c r="AA482" s="384"/>
      <c r="AB482" s="384"/>
      <c r="AC482" s="384"/>
      <c r="AD482" s="384"/>
      <c r="AE482" s="384"/>
      <c r="AF482" s="384"/>
      <c r="AG482" s="384"/>
      <c r="AH482" s="384"/>
      <c r="AI482" s="384"/>
      <c r="AJ482" s="384"/>
      <c r="AK482" s="384"/>
      <c r="AL482" s="384"/>
      <c r="AM482" s="624"/>
    </row>
    <row r="483" spans="1:39" ht="12.75" hidden="1">
      <c r="A483" s="630"/>
      <c r="B483" s="631"/>
      <c r="C483" s="632"/>
      <c r="D483" s="633"/>
      <c r="E483" s="629"/>
      <c r="F483" s="382"/>
      <c r="G483" s="475" t="s">
        <v>115</v>
      </c>
      <c r="H483" s="474">
        <f>H473-'[2]zał. nr 2 do URM cz. 3 (28.03)'!H473</f>
        <v>0</v>
      </c>
      <c r="I483" s="474">
        <f>I473-'[2]zał. nr 2 do URM cz. 3 (28.03)'!I473</f>
        <v>0</v>
      </c>
      <c r="J483" s="474">
        <f>J473-'[2]zał. nr 2 do URM cz. 3 (28.03)'!J473</f>
        <v>0</v>
      </c>
      <c r="K483" s="474">
        <f>K473-'[2]zał. nr 2 do URM cz. 3 (28.03)'!K473</f>
        <v>0</v>
      </c>
      <c r="L483" s="474">
        <f>L473-'[2]zał. nr 2 do URM cz. 3 (28.03)'!L473</f>
        <v>0</v>
      </c>
      <c r="M483" s="474">
        <f>M473-'[2]zał. nr 2 do URM cz. 3 (22.02)'!M473</f>
        <v>0</v>
      </c>
      <c r="N483" s="384"/>
      <c r="O483" s="384"/>
      <c r="P483" s="384"/>
      <c r="Q483" s="384"/>
      <c r="R483" s="384"/>
      <c r="S483" s="384"/>
      <c r="T483" s="384"/>
      <c r="U483" s="384"/>
      <c r="V483" s="384"/>
      <c r="W483" s="384"/>
      <c r="X483" s="384"/>
      <c r="Y483" s="384"/>
      <c r="Z483" s="384"/>
      <c r="AA483" s="384"/>
      <c r="AB483" s="384"/>
      <c r="AC483" s="384"/>
      <c r="AD483" s="384"/>
      <c r="AE483" s="384"/>
      <c r="AF483" s="384"/>
      <c r="AG483" s="384"/>
      <c r="AH483" s="384"/>
      <c r="AI483" s="384"/>
      <c r="AJ483" s="384"/>
      <c r="AK483" s="384"/>
      <c r="AL483" s="384"/>
      <c r="AM483" s="624"/>
    </row>
    <row r="484" spans="1:39" ht="12.75" hidden="1">
      <c r="A484" s="630"/>
      <c r="B484" s="631"/>
      <c r="C484" s="632"/>
      <c r="D484" s="633"/>
      <c r="E484" s="459"/>
      <c r="F484" s="382" t="s">
        <v>228</v>
      </c>
      <c r="G484" s="475" t="s">
        <v>116</v>
      </c>
      <c r="H484" s="474">
        <f>H474-'[2]zał. nr 2 do URM cz. 3 (28.03)'!H474</f>
        <v>0</v>
      </c>
      <c r="I484" s="474">
        <f>I474-'[2]zał. nr 2 do URM cz. 3 (28.03)'!I474</f>
        <v>0</v>
      </c>
      <c r="J484" s="474">
        <f>J474-'[2]zał. nr 2 do URM cz. 3 (28.03)'!J474</f>
        <v>0</v>
      </c>
      <c r="K484" s="474">
        <f>K474-'[2]zał. nr 2 do URM cz. 3 (28.03)'!K474</f>
        <v>0</v>
      </c>
      <c r="L484" s="474">
        <f>L474-'[2]zał. nr 2 do URM cz. 3 (28.03)'!L474</f>
        <v>0</v>
      </c>
      <c r="M484" s="474">
        <f>M474-'[2]zał. nr 2 do URM cz. 3 (22.02)'!M474</f>
        <v>0</v>
      </c>
      <c r="N484" s="384"/>
      <c r="O484" s="384"/>
      <c r="P484" s="384"/>
      <c r="Q484" s="384"/>
      <c r="R484" s="384"/>
      <c r="S484" s="384"/>
      <c r="T484" s="384"/>
      <c r="U484" s="384"/>
      <c r="V484" s="384"/>
      <c r="W484" s="384"/>
      <c r="X484" s="384"/>
      <c r="Y484" s="384"/>
      <c r="Z484" s="384"/>
      <c r="AA484" s="384"/>
      <c r="AB484" s="384"/>
      <c r="AC484" s="384"/>
      <c r="AD484" s="384"/>
      <c r="AE484" s="384"/>
      <c r="AF484" s="384"/>
      <c r="AG484" s="384"/>
      <c r="AH484" s="384"/>
      <c r="AI484" s="384"/>
      <c r="AJ484" s="384"/>
      <c r="AK484" s="384"/>
      <c r="AL484" s="384"/>
      <c r="AM484" s="624"/>
    </row>
    <row r="485" spans="1:39" ht="12.75" hidden="1">
      <c r="A485" s="630"/>
      <c r="B485" s="631"/>
      <c r="C485" s="632"/>
      <c r="D485" s="633"/>
      <c r="E485" s="629"/>
      <c r="F485" s="626"/>
      <c r="G485" s="475" t="s">
        <v>118</v>
      </c>
      <c r="H485" s="474">
        <f>H475-'[2]zał. nr 2 do URM cz. 3 (28.03)'!H475</f>
        <v>0</v>
      </c>
      <c r="I485" s="474">
        <f>I475-'[2]zał. nr 2 do URM cz. 3 (28.03)'!I475</f>
        <v>0</v>
      </c>
      <c r="J485" s="474">
        <f>J475-'[2]zał. nr 2 do URM cz. 3 (28.03)'!J475</f>
        <v>0</v>
      </c>
      <c r="K485" s="474">
        <f>K475-'[2]zał. nr 2 do URM cz. 3 (28.03)'!K475</f>
        <v>0</v>
      </c>
      <c r="L485" s="474">
        <f>L475-'[2]zał. nr 2 do URM cz. 3 (28.03)'!L475</f>
        <v>0</v>
      </c>
      <c r="M485" s="474">
        <f>M475-'[2]zał. nr 2 do URM cz. 3 (22.02)'!M475</f>
        <v>0</v>
      </c>
      <c r="N485" s="384"/>
      <c r="O485" s="384"/>
      <c r="P485" s="384"/>
      <c r="Q485" s="384"/>
      <c r="R485" s="384"/>
      <c r="S485" s="384"/>
      <c r="T485" s="384"/>
      <c r="U485" s="384"/>
      <c r="V485" s="384"/>
      <c r="W485" s="384"/>
      <c r="X485" s="384"/>
      <c r="Y485" s="384"/>
      <c r="Z485" s="384"/>
      <c r="AA485" s="384"/>
      <c r="AB485" s="384"/>
      <c r="AC485" s="384"/>
      <c r="AD485" s="384"/>
      <c r="AE485" s="384"/>
      <c r="AF485" s="384"/>
      <c r="AG485" s="384"/>
      <c r="AH485" s="384"/>
      <c r="AI485" s="384"/>
      <c r="AJ485" s="384"/>
      <c r="AK485" s="384"/>
      <c r="AL485" s="384"/>
      <c r="AM485" s="624"/>
    </row>
    <row r="486" spans="1:39" ht="12.75" hidden="1">
      <c r="A486" s="630"/>
      <c r="B486" s="631"/>
      <c r="C486" s="632"/>
      <c r="D486" s="633"/>
      <c r="E486" s="629"/>
      <c r="F486" s="627"/>
      <c r="G486" s="475" t="s">
        <v>122</v>
      </c>
      <c r="H486" s="474">
        <f>H476-'[2]zał. nr 2 do URM cz. 3 (28.03)'!H476</f>
        <v>0</v>
      </c>
      <c r="I486" s="474">
        <f>I476-'[2]zał. nr 2 do URM cz. 3 (28.03)'!I476</f>
        <v>0</v>
      </c>
      <c r="J486" s="474">
        <f>J476-'[2]zał. nr 2 do URM cz. 3 (28.03)'!J476</f>
        <v>0</v>
      </c>
      <c r="K486" s="474">
        <f>K476-'[2]zał. nr 2 do URM cz. 3 (28.03)'!K476</f>
        <v>0</v>
      </c>
      <c r="L486" s="474">
        <f>L476-'[2]zał. nr 2 do URM cz. 3 (28.03)'!L476</f>
        <v>0</v>
      </c>
      <c r="M486" s="474">
        <f>M476-'[2]zał. nr 2 do URM cz. 3 (22.02)'!M476</f>
        <v>0</v>
      </c>
      <c r="N486" s="384"/>
      <c r="O486" s="384"/>
      <c r="P486" s="384"/>
      <c r="Q486" s="384"/>
      <c r="R486" s="384"/>
      <c r="S486" s="384"/>
      <c r="T486" s="384"/>
      <c r="U486" s="384"/>
      <c r="V486" s="384"/>
      <c r="W486" s="384"/>
      <c r="X486" s="384"/>
      <c r="Y486" s="384"/>
      <c r="Z486" s="384"/>
      <c r="AA486" s="384"/>
      <c r="AB486" s="384"/>
      <c r="AC486" s="384"/>
      <c r="AD486" s="384"/>
      <c r="AE486" s="384"/>
      <c r="AF486" s="384"/>
      <c r="AG486" s="384"/>
      <c r="AH486" s="384"/>
      <c r="AI486" s="384"/>
      <c r="AJ486" s="384"/>
      <c r="AK486" s="384"/>
      <c r="AL486" s="384"/>
      <c r="AM486" s="624"/>
    </row>
    <row r="487" spans="1:39" ht="12.75" hidden="1">
      <c r="A487" s="630"/>
      <c r="B487" s="631"/>
      <c r="C487" s="632"/>
      <c r="D487" s="633"/>
      <c r="E487" s="629"/>
      <c r="F487" s="382"/>
      <c r="G487" s="475" t="s">
        <v>123</v>
      </c>
      <c r="H487" s="474">
        <f>H477-'[2]zał. nr 2 do URM cz. 3 (28.03)'!H477</f>
        <v>0</v>
      </c>
      <c r="I487" s="474">
        <f>I477-'[2]zał. nr 2 do URM cz. 3 (28.03)'!I477</f>
        <v>0</v>
      </c>
      <c r="J487" s="474">
        <f>J477-'[2]zał. nr 2 do URM cz. 3 (28.03)'!J477</f>
        <v>0</v>
      </c>
      <c r="K487" s="474">
        <f>K477-'[2]zał. nr 2 do URM cz. 3 (28.03)'!K477</f>
        <v>0</v>
      </c>
      <c r="L487" s="474">
        <f>L477-'[2]zał. nr 2 do URM cz. 3 (28.03)'!L477</f>
        <v>0</v>
      </c>
      <c r="M487" s="474">
        <f>M477-'[2]zał. nr 2 do URM cz. 3 (22.02)'!M477</f>
        <v>0</v>
      </c>
      <c r="N487" s="384"/>
      <c r="O487" s="384"/>
      <c r="P487" s="384"/>
      <c r="Q487" s="384"/>
      <c r="R487" s="384"/>
      <c r="S487" s="384"/>
      <c r="T487" s="384"/>
      <c r="U487" s="384"/>
      <c r="V487" s="384"/>
      <c r="W487" s="384"/>
      <c r="X487" s="384"/>
      <c r="Y487" s="384"/>
      <c r="Z487" s="384"/>
      <c r="AA487" s="384"/>
      <c r="AB487" s="384"/>
      <c r="AC487" s="384"/>
      <c r="AD487" s="384"/>
      <c r="AE487" s="384"/>
      <c r="AF487" s="384"/>
      <c r="AG487" s="384"/>
      <c r="AH487" s="384"/>
      <c r="AI487" s="384"/>
      <c r="AJ487" s="384"/>
      <c r="AK487" s="384"/>
      <c r="AL487" s="384"/>
      <c r="AM487" s="624"/>
    </row>
    <row r="488" spans="1:39" ht="12.75" hidden="1">
      <c r="A488" s="630"/>
      <c r="B488" s="631"/>
      <c r="C488" s="632"/>
      <c r="D488" s="633"/>
      <c r="E488" s="629"/>
      <c r="F488" s="382"/>
      <c r="G488" s="475" t="s">
        <v>124</v>
      </c>
      <c r="H488" s="474">
        <f>H478-'[2]zał. nr 2 do URM cz. 3 (28.03)'!H478</f>
        <v>0</v>
      </c>
      <c r="I488" s="474">
        <f>I478-'[2]zał. nr 2 do URM cz. 3 (28.03)'!I478</f>
        <v>93496</v>
      </c>
      <c r="J488" s="474">
        <f>J478-'[2]zał. nr 2 do URM cz. 3 (28.03)'!J478</f>
        <v>157000</v>
      </c>
      <c r="K488" s="474">
        <f>K478-'[2]zał. nr 2 do URM cz. 3 (28.03)'!K478</f>
        <v>150000</v>
      </c>
      <c r="L488" s="474">
        <f>L478-'[2]zał. nr 2 do URM cz. 3 (28.03)'!L478</f>
        <v>75000</v>
      </c>
      <c r="M488" s="474">
        <f>M478-'[2]zał. nr 2 do URM cz. 3 (22.02)'!M478</f>
        <v>0</v>
      </c>
      <c r="N488" s="391"/>
      <c r="O488" s="391"/>
      <c r="P488" s="391"/>
      <c r="Q488" s="391"/>
      <c r="R488" s="391"/>
      <c r="S488" s="391"/>
      <c r="T488" s="391"/>
      <c r="U488" s="391"/>
      <c r="V488" s="391"/>
      <c r="W488" s="391"/>
      <c r="X488" s="391"/>
      <c r="Y488" s="391"/>
      <c r="Z488" s="391"/>
      <c r="AA488" s="391"/>
      <c r="AB488" s="391"/>
      <c r="AC488" s="391"/>
      <c r="AD488" s="391"/>
      <c r="AE488" s="391"/>
      <c r="AF488" s="391"/>
      <c r="AG488" s="391"/>
      <c r="AH488" s="391"/>
      <c r="AI488" s="391"/>
      <c r="AJ488" s="391"/>
      <c r="AK488" s="391"/>
      <c r="AL488" s="391"/>
      <c r="AM488" s="624"/>
    </row>
    <row r="489" spans="1:39" ht="13.5" hidden="1" thickBot="1">
      <c r="A489" s="630"/>
      <c r="B489" s="631"/>
      <c r="C489" s="632"/>
      <c r="D489" s="633"/>
      <c r="E489" s="629"/>
      <c r="F489" s="382"/>
      <c r="G489" s="476" t="s">
        <v>125</v>
      </c>
      <c r="H489" s="474">
        <f>H479-'[2]zał. nr 2 do URM cz. 3 (28.03)'!H479</f>
        <v>0</v>
      </c>
      <c r="I489" s="474">
        <f>I479-'[2]zał. nr 2 do URM cz. 3 (28.03)'!I479</f>
        <v>0</v>
      </c>
      <c r="J489" s="474">
        <f>J479-'[2]zał. nr 2 do URM cz. 3 (28.03)'!J479</f>
        <v>0</v>
      </c>
      <c r="K489" s="474">
        <f>K479-'[2]zał. nr 2 do URM cz. 3 (28.03)'!K479</f>
        <v>0</v>
      </c>
      <c r="L489" s="474">
        <f>L479-'[2]zał. nr 2 do URM cz. 3 (28.03)'!L479</f>
        <v>0</v>
      </c>
      <c r="M489" s="474">
        <f>M479-'[2]zał. nr 2 do URM cz. 3 (22.02)'!M479</f>
        <v>0</v>
      </c>
      <c r="N489" s="384"/>
      <c r="O489" s="384"/>
      <c r="P489" s="384"/>
      <c r="Q489" s="384"/>
      <c r="R489" s="384"/>
      <c r="S489" s="384"/>
      <c r="T489" s="384"/>
      <c r="U489" s="384"/>
      <c r="V489" s="384"/>
      <c r="W489" s="384"/>
      <c r="X489" s="384"/>
      <c r="Y489" s="384"/>
      <c r="Z489" s="384"/>
      <c r="AA489" s="384"/>
      <c r="AB489" s="384"/>
      <c r="AC489" s="384"/>
      <c r="AD489" s="384"/>
      <c r="AE489" s="384"/>
      <c r="AF489" s="384"/>
      <c r="AG489" s="384"/>
      <c r="AH489" s="384"/>
      <c r="AI489" s="384"/>
      <c r="AJ489" s="384"/>
      <c r="AK489" s="384"/>
      <c r="AL489" s="384"/>
      <c r="AM489" s="624"/>
    </row>
    <row r="490" spans="1:39" ht="12.75">
      <c r="A490" s="630"/>
      <c r="B490" s="631"/>
      <c r="C490" s="632"/>
      <c r="D490" s="633"/>
      <c r="E490" s="629"/>
      <c r="F490" s="626"/>
      <c r="G490" s="454"/>
      <c r="H490" s="384"/>
      <c r="I490" s="384"/>
      <c r="J490" s="384"/>
      <c r="K490" s="384"/>
      <c r="L490" s="384"/>
      <c r="M490" s="384"/>
      <c r="N490" s="384"/>
      <c r="O490" s="384"/>
      <c r="P490" s="384"/>
      <c r="Q490" s="384"/>
      <c r="R490" s="384"/>
      <c r="S490" s="384"/>
      <c r="T490" s="384"/>
      <c r="U490" s="384"/>
      <c r="V490" s="384"/>
      <c r="W490" s="384"/>
      <c r="X490" s="384"/>
      <c r="Y490" s="384"/>
      <c r="Z490" s="384"/>
      <c r="AA490" s="384"/>
      <c r="AB490" s="384"/>
      <c r="AC490" s="384"/>
      <c r="AD490" s="384"/>
      <c r="AE490" s="384"/>
      <c r="AF490" s="384"/>
      <c r="AG490" s="384"/>
      <c r="AH490" s="384"/>
      <c r="AI490" s="384"/>
      <c r="AJ490" s="384"/>
      <c r="AK490" s="384"/>
      <c r="AL490" s="384"/>
      <c r="AM490" s="628"/>
    </row>
    <row r="491" spans="1:39" ht="12.75">
      <c r="A491" s="630"/>
      <c r="B491" s="631"/>
      <c r="C491" s="632"/>
      <c r="D491" s="633"/>
      <c r="E491" s="629"/>
      <c r="F491" s="627"/>
      <c r="G491" s="454"/>
      <c r="H491" s="384"/>
      <c r="I491" s="384"/>
      <c r="J491" s="384"/>
      <c r="K491" s="384"/>
      <c r="L491" s="384"/>
      <c r="M491" s="384"/>
      <c r="N491" s="384"/>
      <c r="O491" s="384"/>
      <c r="P491" s="384"/>
      <c r="Q491" s="384"/>
      <c r="R491" s="384"/>
      <c r="S491" s="384"/>
      <c r="T491" s="384"/>
      <c r="U491" s="384"/>
      <c r="V491" s="384"/>
      <c r="W491" s="384"/>
      <c r="X491" s="384"/>
      <c r="Y491" s="384"/>
      <c r="Z491" s="384"/>
      <c r="AA491" s="384"/>
      <c r="AB491" s="384"/>
      <c r="AC491" s="384"/>
      <c r="AD491" s="384"/>
      <c r="AE491" s="384"/>
      <c r="AF491" s="384"/>
      <c r="AG491" s="384"/>
      <c r="AH491" s="384"/>
      <c r="AI491" s="384"/>
      <c r="AJ491" s="384"/>
      <c r="AK491" s="384"/>
      <c r="AL491" s="384"/>
      <c r="AM491" s="628"/>
    </row>
    <row r="492" spans="1:39" ht="12.75">
      <c r="A492" s="630"/>
      <c r="B492" s="631"/>
      <c r="C492" s="632"/>
      <c r="D492" s="633"/>
      <c r="E492" s="629"/>
      <c r="F492" s="382"/>
      <c r="G492" s="454"/>
      <c r="H492" s="384"/>
      <c r="I492" s="384"/>
      <c r="J492" s="384"/>
      <c r="K492" s="384"/>
      <c r="L492" s="384"/>
      <c r="M492" s="384"/>
      <c r="N492" s="384"/>
      <c r="O492" s="384"/>
      <c r="P492" s="384"/>
      <c r="Q492" s="384"/>
      <c r="R492" s="384"/>
      <c r="S492" s="384"/>
      <c r="T492" s="384"/>
      <c r="U492" s="384"/>
      <c r="V492" s="384"/>
      <c r="W492" s="384"/>
      <c r="X492" s="384"/>
      <c r="Y492" s="384"/>
      <c r="Z492" s="384"/>
      <c r="AA492" s="384"/>
      <c r="AB492" s="384"/>
      <c r="AC492" s="384"/>
      <c r="AD492" s="384"/>
      <c r="AE492" s="384"/>
      <c r="AF492" s="384"/>
      <c r="AG492" s="384"/>
      <c r="AH492" s="384"/>
      <c r="AI492" s="384"/>
      <c r="AJ492" s="384"/>
      <c r="AK492" s="384"/>
      <c r="AL492" s="384"/>
      <c r="AM492" s="628"/>
    </row>
    <row r="493" spans="1:39" ht="12.75">
      <c r="A493" s="630"/>
      <c r="B493" s="631"/>
      <c r="C493" s="632"/>
      <c r="D493" s="633"/>
      <c r="E493" s="629"/>
      <c r="F493" s="626"/>
      <c r="G493" s="454"/>
      <c r="H493" s="384"/>
      <c r="I493" s="384"/>
      <c r="J493" s="384"/>
      <c r="K493" s="384"/>
      <c r="L493" s="384"/>
      <c r="M493" s="384"/>
      <c r="N493" s="384"/>
      <c r="O493" s="384"/>
      <c r="P493" s="384"/>
      <c r="Q493" s="384"/>
      <c r="R493" s="384"/>
      <c r="S493" s="384"/>
      <c r="T493" s="384"/>
      <c r="U493" s="384"/>
      <c r="V493" s="384"/>
      <c r="W493" s="384"/>
      <c r="X493" s="384"/>
      <c r="Y493" s="384"/>
      <c r="Z493" s="384"/>
      <c r="AA493" s="384"/>
      <c r="AB493" s="384"/>
      <c r="AC493" s="384"/>
      <c r="AD493" s="384"/>
      <c r="AE493" s="384"/>
      <c r="AF493" s="384"/>
      <c r="AG493" s="384"/>
      <c r="AH493" s="384"/>
      <c r="AI493" s="384"/>
      <c r="AJ493" s="384"/>
      <c r="AK493" s="384"/>
      <c r="AL493" s="384"/>
      <c r="AM493" s="628"/>
    </row>
    <row r="494" spans="1:39" ht="12.75">
      <c r="A494" s="630"/>
      <c r="B494" s="631"/>
      <c r="C494" s="632"/>
      <c r="D494" s="633"/>
      <c r="E494" s="629"/>
      <c r="F494" s="627"/>
      <c r="G494" s="454"/>
      <c r="H494" s="384"/>
      <c r="I494" s="384"/>
      <c r="J494" s="384"/>
      <c r="K494" s="384"/>
      <c r="L494" s="384"/>
      <c r="M494" s="384"/>
      <c r="N494" s="384"/>
      <c r="O494" s="384"/>
      <c r="P494" s="384"/>
      <c r="Q494" s="384"/>
      <c r="R494" s="384"/>
      <c r="S494" s="384"/>
      <c r="T494" s="384"/>
      <c r="U494" s="384"/>
      <c r="V494" s="384"/>
      <c r="W494" s="384"/>
      <c r="X494" s="384"/>
      <c r="Y494" s="384"/>
      <c r="Z494" s="384"/>
      <c r="AA494" s="384"/>
      <c r="AB494" s="384"/>
      <c r="AC494" s="384"/>
      <c r="AD494" s="384"/>
      <c r="AE494" s="384"/>
      <c r="AF494" s="384"/>
      <c r="AG494" s="384"/>
      <c r="AH494" s="384"/>
      <c r="AI494" s="384"/>
      <c r="AJ494" s="384"/>
      <c r="AK494" s="384"/>
      <c r="AL494" s="384"/>
      <c r="AM494" s="628"/>
    </row>
    <row r="495" spans="1:39" ht="12.75">
      <c r="A495" s="630"/>
      <c r="B495" s="631"/>
      <c r="C495" s="632"/>
      <c r="D495" s="633"/>
      <c r="E495" s="629"/>
      <c r="F495" s="382"/>
      <c r="G495" s="454"/>
      <c r="H495" s="391"/>
      <c r="I495" s="391"/>
      <c r="J495" s="391"/>
      <c r="K495" s="391"/>
      <c r="L495" s="391"/>
      <c r="M495" s="391"/>
      <c r="N495" s="391"/>
      <c r="O495" s="391"/>
      <c r="P495" s="391"/>
      <c r="Q495" s="391"/>
      <c r="R495" s="391"/>
      <c r="S495" s="391"/>
      <c r="T495" s="391"/>
      <c r="U495" s="391"/>
      <c r="V495" s="391"/>
      <c r="W495" s="391"/>
      <c r="X495" s="391"/>
      <c r="Y495" s="391"/>
      <c r="Z495" s="391"/>
      <c r="AA495" s="391"/>
      <c r="AB495" s="391"/>
      <c r="AC495" s="391"/>
      <c r="AD495" s="391"/>
      <c r="AE495" s="391"/>
      <c r="AF495" s="391"/>
      <c r="AG495" s="391"/>
      <c r="AH495" s="391"/>
      <c r="AI495" s="391"/>
      <c r="AJ495" s="391"/>
      <c r="AK495" s="391"/>
      <c r="AL495" s="391"/>
      <c r="AM495" s="628"/>
    </row>
    <row r="496" spans="1:39" ht="12.75">
      <c r="A496" s="630"/>
      <c r="B496" s="631"/>
      <c r="C496" s="632"/>
      <c r="D496" s="633"/>
      <c r="E496" s="629"/>
      <c r="F496" s="382"/>
      <c r="G496" s="454"/>
      <c r="H496" s="391"/>
      <c r="I496" s="391"/>
      <c r="J496" s="391"/>
      <c r="K496" s="391"/>
      <c r="L496" s="391"/>
      <c r="M496" s="391"/>
      <c r="N496" s="391"/>
      <c r="O496" s="391"/>
      <c r="P496" s="391"/>
      <c r="Q496" s="391"/>
      <c r="R496" s="391"/>
      <c r="S496" s="391"/>
      <c r="T496" s="391"/>
      <c r="U496" s="391"/>
      <c r="V496" s="391"/>
      <c r="W496" s="391"/>
      <c r="X496" s="391"/>
      <c r="Y496" s="391"/>
      <c r="Z496" s="391"/>
      <c r="AA496" s="391"/>
      <c r="AB496" s="391"/>
      <c r="AC496" s="391"/>
      <c r="AD496" s="391"/>
      <c r="AE496" s="391"/>
      <c r="AF496" s="391"/>
      <c r="AG496" s="391"/>
      <c r="AH496" s="391"/>
      <c r="AI496" s="391"/>
      <c r="AJ496" s="391"/>
      <c r="AK496" s="391"/>
      <c r="AL496" s="391"/>
      <c r="AM496" s="628"/>
    </row>
    <row r="497" spans="1:39" ht="12.75">
      <c r="A497" s="630"/>
      <c r="B497" s="631"/>
      <c r="C497" s="632"/>
      <c r="D497" s="633"/>
      <c r="E497" s="629"/>
      <c r="F497" s="382"/>
      <c r="G497" s="454"/>
      <c r="H497" s="384"/>
      <c r="I497" s="384"/>
      <c r="J497" s="384"/>
      <c r="K497" s="384"/>
      <c r="L497" s="384"/>
      <c r="M497" s="384"/>
      <c r="N497" s="384"/>
      <c r="O497" s="384"/>
      <c r="P497" s="384"/>
      <c r="Q497" s="384"/>
      <c r="R497" s="384"/>
      <c r="S497" s="384"/>
      <c r="T497" s="384"/>
      <c r="U497" s="384"/>
      <c r="V497" s="384"/>
      <c r="W497" s="384"/>
      <c r="X497" s="384"/>
      <c r="Y497" s="384"/>
      <c r="Z497" s="384"/>
      <c r="AA497" s="384"/>
      <c r="AB497" s="384"/>
      <c r="AC497" s="384"/>
      <c r="AD497" s="384"/>
      <c r="AE497" s="384"/>
      <c r="AF497" s="384"/>
      <c r="AG497" s="384"/>
      <c r="AH497" s="384"/>
      <c r="AI497" s="384"/>
      <c r="AJ497" s="384"/>
      <c r="AK497" s="384"/>
      <c r="AL497" s="384"/>
      <c r="AM497" s="624"/>
    </row>
    <row r="498" spans="1:39" ht="12.75">
      <c r="A498" s="630"/>
      <c r="B498" s="631"/>
      <c r="C498" s="632"/>
      <c r="D498" s="633"/>
      <c r="E498" s="629"/>
      <c r="F498" s="626"/>
      <c r="G498" s="454"/>
      <c r="H498" s="384"/>
      <c r="I498" s="384"/>
      <c r="J498" s="384"/>
      <c r="K498" s="384"/>
      <c r="L498" s="384"/>
      <c r="M498" s="384"/>
      <c r="N498" s="384"/>
      <c r="O498" s="384"/>
      <c r="P498" s="384"/>
      <c r="Q498" s="384"/>
      <c r="R498" s="384"/>
      <c r="S498" s="384"/>
      <c r="T498" s="384"/>
      <c r="U498" s="384"/>
      <c r="V498" s="384"/>
      <c r="W498" s="384"/>
      <c r="X498" s="384"/>
      <c r="Y498" s="384"/>
      <c r="Z498" s="384"/>
      <c r="AA498" s="384"/>
      <c r="AB498" s="384"/>
      <c r="AC498" s="384"/>
      <c r="AD498" s="384"/>
      <c r="AE498" s="384"/>
      <c r="AF498" s="384"/>
      <c r="AG498" s="384"/>
      <c r="AH498" s="384"/>
      <c r="AI498" s="384"/>
      <c r="AJ498" s="384"/>
      <c r="AK498" s="384"/>
      <c r="AL498" s="384"/>
      <c r="AM498" s="628"/>
    </row>
    <row r="499" spans="1:39" ht="12.75">
      <c r="A499" s="630"/>
      <c r="B499" s="631"/>
      <c r="C499" s="632"/>
      <c r="D499" s="633"/>
      <c r="E499" s="629"/>
      <c r="F499" s="627"/>
      <c r="G499" s="454"/>
      <c r="H499" s="384"/>
      <c r="I499" s="384"/>
      <c r="J499" s="384"/>
      <c r="K499" s="384"/>
      <c r="L499" s="384"/>
      <c r="M499" s="384"/>
      <c r="N499" s="384"/>
      <c r="O499" s="384"/>
      <c r="P499" s="384"/>
      <c r="Q499" s="384"/>
      <c r="R499" s="384"/>
      <c r="S499" s="384"/>
      <c r="T499" s="384"/>
      <c r="U499" s="384"/>
      <c r="V499" s="384"/>
      <c r="W499" s="384"/>
      <c r="X499" s="384"/>
      <c r="Y499" s="384"/>
      <c r="Z499" s="384"/>
      <c r="AA499" s="384"/>
      <c r="AB499" s="384"/>
      <c r="AC499" s="384"/>
      <c r="AD499" s="384"/>
      <c r="AE499" s="384"/>
      <c r="AF499" s="384"/>
      <c r="AG499" s="384"/>
      <c r="AH499" s="384"/>
      <c r="AI499" s="384"/>
      <c r="AJ499" s="384"/>
      <c r="AK499" s="384"/>
      <c r="AL499" s="384"/>
      <c r="AM499" s="628"/>
    </row>
    <row r="500" spans="1:39" ht="12.75">
      <c r="A500" s="630"/>
      <c r="B500" s="631"/>
      <c r="C500" s="632"/>
      <c r="D500" s="633"/>
      <c r="E500" s="629"/>
      <c r="F500" s="382"/>
      <c r="G500" s="454"/>
      <c r="H500" s="384"/>
      <c r="I500" s="384"/>
      <c r="J500" s="384"/>
      <c r="K500" s="384"/>
      <c r="L500" s="384"/>
      <c r="M500" s="384"/>
      <c r="N500" s="384"/>
      <c r="O500" s="384"/>
      <c r="P500" s="384"/>
      <c r="Q500" s="384"/>
      <c r="R500" s="384"/>
      <c r="S500" s="384"/>
      <c r="T500" s="384"/>
      <c r="U500" s="384"/>
      <c r="V500" s="384"/>
      <c r="W500" s="384"/>
      <c r="X500" s="384"/>
      <c r="Y500" s="384"/>
      <c r="Z500" s="384"/>
      <c r="AA500" s="384"/>
      <c r="AB500" s="384"/>
      <c r="AC500" s="384"/>
      <c r="AD500" s="384"/>
      <c r="AE500" s="384"/>
      <c r="AF500" s="384"/>
      <c r="AG500" s="384"/>
      <c r="AH500" s="384"/>
      <c r="AI500" s="384"/>
      <c r="AJ500" s="384"/>
      <c r="AK500" s="384"/>
      <c r="AL500" s="384"/>
      <c r="AM500" s="628"/>
    </row>
    <row r="501" spans="1:39" ht="12.75">
      <c r="A501" s="630"/>
      <c r="B501" s="631"/>
      <c r="C501" s="632"/>
      <c r="D501" s="633"/>
      <c r="E501" s="629"/>
      <c r="F501" s="626"/>
      <c r="G501" s="454"/>
      <c r="H501" s="384"/>
      <c r="I501" s="384"/>
      <c r="J501" s="384"/>
      <c r="K501" s="384"/>
      <c r="L501" s="384"/>
      <c r="M501" s="384"/>
      <c r="N501" s="384"/>
      <c r="O501" s="384"/>
      <c r="P501" s="384"/>
      <c r="Q501" s="384"/>
      <c r="R501" s="384"/>
      <c r="S501" s="384"/>
      <c r="T501" s="384"/>
      <c r="U501" s="384"/>
      <c r="V501" s="384"/>
      <c r="W501" s="384"/>
      <c r="X501" s="384"/>
      <c r="Y501" s="384"/>
      <c r="Z501" s="384"/>
      <c r="AA501" s="384"/>
      <c r="AB501" s="384"/>
      <c r="AC501" s="384"/>
      <c r="AD501" s="384"/>
      <c r="AE501" s="384"/>
      <c r="AF501" s="384"/>
      <c r="AG501" s="384"/>
      <c r="AH501" s="384"/>
      <c r="AI501" s="384"/>
      <c r="AJ501" s="384"/>
      <c r="AK501" s="384"/>
      <c r="AL501" s="384"/>
      <c r="AM501" s="628"/>
    </row>
    <row r="502" spans="1:39" ht="12.75">
      <c r="A502" s="630"/>
      <c r="B502" s="631"/>
      <c r="C502" s="632"/>
      <c r="D502" s="633"/>
      <c r="E502" s="629"/>
      <c r="F502" s="627"/>
      <c r="G502" s="454"/>
      <c r="H502" s="384"/>
      <c r="I502" s="384"/>
      <c r="J502" s="384"/>
      <c r="K502" s="384"/>
      <c r="L502" s="384"/>
      <c r="M502" s="384"/>
      <c r="N502" s="384"/>
      <c r="O502" s="384"/>
      <c r="P502" s="384"/>
      <c r="Q502" s="384"/>
      <c r="R502" s="384"/>
      <c r="S502" s="384"/>
      <c r="T502" s="384"/>
      <c r="U502" s="384"/>
      <c r="V502" s="384"/>
      <c r="W502" s="384"/>
      <c r="X502" s="384"/>
      <c r="Y502" s="384"/>
      <c r="Z502" s="384"/>
      <c r="AA502" s="384"/>
      <c r="AB502" s="384"/>
      <c r="AC502" s="384"/>
      <c r="AD502" s="384"/>
      <c r="AE502" s="384"/>
      <c r="AF502" s="384"/>
      <c r="AG502" s="384"/>
      <c r="AH502" s="384"/>
      <c r="AI502" s="384"/>
      <c r="AJ502" s="384"/>
      <c r="AK502" s="384"/>
      <c r="AL502" s="384"/>
      <c r="AM502" s="628"/>
    </row>
    <row r="503" spans="1:39" ht="12.75">
      <c r="A503" s="630"/>
      <c r="B503" s="631"/>
      <c r="C503" s="632"/>
      <c r="D503" s="633"/>
      <c r="E503" s="629"/>
      <c r="F503" s="382"/>
      <c r="G503" s="454"/>
      <c r="H503" s="391"/>
      <c r="I503" s="391"/>
      <c r="J503" s="391"/>
      <c r="K503" s="391"/>
      <c r="L503" s="391"/>
      <c r="M503" s="391"/>
      <c r="N503" s="391"/>
      <c r="O503" s="391"/>
      <c r="P503" s="391"/>
      <c r="Q503" s="391"/>
      <c r="R503" s="391"/>
      <c r="S503" s="391"/>
      <c r="T503" s="391"/>
      <c r="U503" s="391"/>
      <c r="V503" s="391"/>
      <c r="W503" s="391"/>
      <c r="X503" s="391"/>
      <c r="Y503" s="391"/>
      <c r="Z503" s="391"/>
      <c r="AA503" s="391"/>
      <c r="AB503" s="391"/>
      <c r="AC503" s="391"/>
      <c r="AD503" s="391"/>
      <c r="AE503" s="391"/>
      <c r="AF503" s="391"/>
      <c r="AG503" s="391"/>
      <c r="AH503" s="391"/>
      <c r="AI503" s="391"/>
      <c r="AJ503" s="391"/>
      <c r="AK503" s="391"/>
      <c r="AL503" s="391"/>
      <c r="AM503" s="628"/>
    </row>
    <row r="504" spans="1:39" ht="12.75">
      <c r="A504" s="630"/>
      <c r="B504" s="631"/>
      <c r="C504" s="632"/>
      <c r="D504" s="633"/>
      <c r="E504" s="629"/>
      <c r="F504" s="382"/>
      <c r="G504" s="454"/>
      <c r="H504" s="391"/>
      <c r="I504" s="391"/>
      <c r="J504" s="391"/>
      <c r="K504" s="391"/>
      <c r="L504" s="391"/>
      <c r="M504" s="391"/>
      <c r="N504" s="391"/>
      <c r="O504" s="391"/>
      <c r="P504" s="391"/>
      <c r="Q504" s="391"/>
      <c r="R504" s="391"/>
      <c r="S504" s="391"/>
      <c r="T504" s="391"/>
      <c r="U504" s="391"/>
      <c r="V504" s="391"/>
      <c r="W504" s="391"/>
      <c r="X504" s="391"/>
      <c r="Y504" s="391"/>
      <c r="Z504" s="391"/>
      <c r="AA504" s="391"/>
      <c r="AB504" s="391"/>
      <c r="AC504" s="391"/>
      <c r="AD504" s="391"/>
      <c r="AE504" s="391"/>
      <c r="AF504" s="391"/>
      <c r="AG504" s="391"/>
      <c r="AH504" s="391"/>
      <c r="AI504" s="391"/>
      <c r="AJ504" s="391"/>
      <c r="AK504" s="391"/>
      <c r="AL504" s="391"/>
      <c r="AM504" s="628"/>
    </row>
    <row r="505" spans="1:39" ht="12.75">
      <c r="A505" s="630"/>
      <c r="B505" s="631"/>
      <c r="C505" s="632"/>
      <c r="D505" s="633"/>
      <c r="E505" s="629"/>
      <c r="F505" s="382"/>
      <c r="G505" s="454"/>
      <c r="H505" s="384"/>
      <c r="I505" s="384"/>
      <c r="J505" s="384"/>
      <c r="K505" s="384"/>
      <c r="L505" s="384"/>
      <c r="M505" s="384"/>
      <c r="N505" s="384"/>
      <c r="O505" s="384"/>
      <c r="P505" s="384"/>
      <c r="Q505" s="384"/>
      <c r="R505" s="384"/>
      <c r="S505" s="384"/>
      <c r="T505" s="384"/>
      <c r="U505" s="384"/>
      <c r="V505" s="384"/>
      <c r="W505" s="384"/>
      <c r="X505" s="384"/>
      <c r="Y505" s="384"/>
      <c r="Z505" s="384"/>
      <c r="AA505" s="384"/>
      <c r="AB505" s="384"/>
      <c r="AC505" s="384"/>
      <c r="AD505" s="384"/>
      <c r="AE505" s="384"/>
      <c r="AF505" s="384"/>
      <c r="AG505" s="384"/>
      <c r="AH505" s="384"/>
      <c r="AI505" s="384"/>
      <c r="AJ505" s="384"/>
      <c r="AK505" s="384"/>
      <c r="AL505" s="384"/>
      <c r="AM505" s="624"/>
    </row>
    <row r="506" spans="1:39" ht="12.75">
      <c r="A506" s="630"/>
      <c r="B506" s="631"/>
      <c r="C506" s="632"/>
      <c r="D506" s="633"/>
      <c r="E506" s="629"/>
      <c r="F506" s="626"/>
      <c r="G506" s="454"/>
      <c r="H506" s="384"/>
      <c r="I506" s="384"/>
      <c r="J506" s="384"/>
      <c r="K506" s="384"/>
      <c r="L506" s="384"/>
      <c r="M506" s="384"/>
      <c r="N506" s="384"/>
      <c r="O506" s="384"/>
      <c r="P506" s="384"/>
      <c r="Q506" s="384"/>
      <c r="R506" s="384"/>
      <c r="S506" s="384"/>
      <c r="T506" s="384"/>
      <c r="U506" s="384"/>
      <c r="V506" s="384"/>
      <c r="W506" s="384"/>
      <c r="X506" s="384"/>
      <c r="Y506" s="384"/>
      <c r="Z506" s="384"/>
      <c r="AA506" s="384"/>
      <c r="AB506" s="384"/>
      <c r="AC506" s="384"/>
      <c r="AD506" s="384"/>
      <c r="AE506" s="384"/>
      <c r="AF506" s="384"/>
      <c r="AG506" s="384"/>
      <c r="AH506" s="384"/>
      <c r="AI506" s="384"/>
      <c r="AJ506" s="384"/>
      <c r="AK506" s="384"/>
      <c r="AL506" s="384"/>
      <c r="AM506" s="628"/>
    </row>
    <row r="507" spans="1:39" ht="12.75">
      <c r="A507" s="630"/>
      <c r="B507" s="631"/>
      <c r="C507" s="632"/>
      <c r="D507" s="633"/>
      <c r="E507" s="629"/>
      <c r="F507" s="627"/>
      <c r="G507" s="454"/>
      <c r="H507" s="384"/>
      <c r="I507" s="384"/>
      <c r="J507" s="384"/>
      <c r="K507" s="384"/>
      <c r="L507" s="384"/>
      <c r="M507" s="384"/>
      <c r="N507" s="384"/>
      <c r="O507" s="384"/>
      <c r="P507" s="384"/>
      <c r="Q507" s="384"/>
      <c r="R507" s="384"/>
      <c r="S507" s="384"/>
      <c r="T507" s="384"/>
      <c r="U507" s="384"/>
      <c r="V507" s="384"/>
      <c r="W507" s="384"/>
      <c r="X507" s="384"/>
      <c r="Y507" s="384"/>
      <c r="Z507" s="384"/>
      <c r="AA507" s="384"/>
      <c r="AB507" s="384"/>
      <c r="AC507" s="384"/>
      <c r="AD507" s="384"/>
      <c r="AE507" s="384"/>
      <c r="AF507" s="384"/>
      <c r="AG507" s="384"/>
      <c r="AH507" s="384"/>
      <c r="AI507" s="384"/>
      <c r="AJ507" s="384"/>
      <c r="AK507" s="384"/>
      <c r="AL507" s="384"/>
      <c r="AM507" s="628"/>
    </row>
    <row r="508" spans="1:39" ht="12.75">
      <c r="A508" s="630"/>
      <c r="B508" s="631"/>
      <c r="C508" s="632"/>
      <c r="D508" s="633"/>
      <c r="E508" s="629"/>
      <c r="F508" s="382"/>
      <c r="G508" s="454"/>
      <c r="H508" s="384"/>
      <c r="I508" s="384"/>
      <c r="J508" s="384"/>
      <c r="K508" s="384"/>
      <c r="L508" s="384"/>
      <c r="M508" s="384"/>
      <c r="N508" s="384"/>
      <c r="O508" s="384"/>
      <c r="P508" s="384"/>
      <c r="Q508" s="384"/>
      <c r="R508" s="384"/>
      <c r="S508" s="384"/>
      <c r="T508" s="384"/>
      <c r="U508" s="384"/>
      <c r="V508" s="384"/>
      <c r="W508" s="384"/>
      <c r="X508" s="384"/>
      <c r="Y508" s="384"/>
      <c r="Z508" s="384"/>
      <c r="AA508" s="384"/>
      <c r="AB508" s="384"/>
      <c r="AC508" s="384"/>
      <c r="AD508" s="384"/>
      <c r="AE508" s="384"/>
      <c r="AF508" s="384"/>
      <c r="AG508" s="384"/>
      <c r="AH508" s="384"/>
      <c r="AI508" s="384"/>
      <c r="AJ508" s="384"/>
      <c r="AK508" s="384"/>
      <c r="AL508" s="384"/>
      <c r="AM508" s="628"/>
    </row>
    <row r="509" spans="1:39" ht="12.75">
      <c r="A509" s="630"/>
      <c r="B509" s="631"/>
      <c r="C509" s="632"/>
      <c r="D509" s="633"/>
      <c r="E509" s="629"/>
      <c r="F509" s="626"/>
      <c r="G509" s="454"/>
      <c r="H509" s="384"/>
      <c r="I509" s="384"/>
      <c r="J509" s="384"/>
      <c r="K509" s="384"/>
      <c r="L509" s="384"/>
      <c r="M509" s="384"/>
      <c r="N509" s="384"/>
      <c r="O509" s="384"/>
      <c r="P509" s="384"/>
      <c r="Q509" s="384"/>
      <c r="R509" s="384"/>
      <c r="S509" s="384"/>
      <c r="T509" s="384"/>
      <c r="U509" s="384"/>
      <c r="V509" s="384"/>
      <c r="W509" s="384"/>
      <c r="X509" s="384"/>
      <c r="Y509" s="384"/>
      <c r="Z509" s="384"/>
      <c r="AA509" s="384"/>
      <c r="AB509" s="384"/>
      <c r="AC509" s="384"/>
      <c r="AD509" s="384"/>
      <c r="AE509" s="384"/>
      <c r="AF509" s="384"/>
      <c r="AG509" s="384"/>
      <c r="AH509" s="384"/>
      <c r="AI509" s="384"/>
      <c r="AJ509" s="384"/>
      <c r="AK509" s="384"/>
      <c r="AL509" s="384"/>
      <c r="AM509" s="628"/>
    </row>
    <row r="510" spans="1:39" ht="12.75">
      <c r="A510" s="630"/>
      <c r="B510" s="631"/>
      <c r="C510" s="632"/>
      <c r="D510" s="633"/>
      <c r="E510" s="629"/>
      <c r="F510" s="627"/>
      <c r="G510" s="454"/>
      <c r="H510" s="384"/>
      <c r="I510" s="384"/>
      <c r="J510" s="384"/>
      <c r="K510" s="384"/>
      <c r="L510" s="384"/>
      <c r="M510" s="384"/>
      <c r="N510" s="384"/>
      <c r="O510" s="384"/>
      <c r="P510" s="384"/>
      <c r="Q510" s="384"/>
      <c r="R510" s="384"/>
      <c r="S510" s="384"/>
      <c r="T510" s="384"/>
      <c r="U510" s="384"/>
      <c r="V510" s="384"/>
      <c r="W510" s="384"/>
      <c r="X510" s="384"/>
      <c r="Y510" s="384"/>
      <c r="Z510" s="384"/>
      <c r="AA510" s="384"/>
      <c r="AB510" s="384"/>
      <c r="AC510" s="384"/>
      <c r="AD510" s="384"/>
      <c r="AE510" s="384"/>
      <c r="AF510" s="384"/>
      <c r="AG510" s="384"/>
      <c r="AH510" s="384"/>
      <c r="AI510" s="384"/>
      <c r="AJ510" s="384"/>
      <c r="AK510" s="384"/>
      <c r="AL510" s="384"/>
      <c r="AM510" s="628"/>
    </row>
    <row r="511" spans="1:39" ht="12.75">
      <c r="A511" s="630"/>
      <c r="B511" s="631"/>
      <c r="C511" s="632"/>
      <c r="D511" s="633"/>
      <c r="E511" s="629"/>
      <c r="F511" s="382"/>
      <c r="G511" s="454"/>
      <c r="H511" s="391"/>
      <c r="I511" s="391"/>
      <c r="J511" s="391"/>
      <c r="K511" s="391"/>
      <c r="L511" s="391"/>
      <c r="M511" s="391"/>
      <c r="N511" s="391"/>
      <c r="O511" s="391"/>
      <c r="P511" s="391"/>
      <c r="Q511" s="391"/>
      <c r="R511" s="391"/>
      <c r="S511" s="391"/>
      <c r="T511" s="391"/>
      <c r="U511" s="391"/>
      <c r="V511" s="391"/>
      <c r="W511" s="391"/>
      <c r="X511" s="391"/>
      <c r="Y511" s="391"/>
      <c r="Z511" s="391"/>
      <c r="AA511" s="391"/>
      <c r="AB511" s="391"/>
      <c r="AC511" s="391"/>
      <c r="AD511" s="391"/>
      <c r="AE511" s="391"/>
      <c r="AF511" s="391"/>
      <c r="AG511" s="391"/>
      <c r="AH511" s="391"/>
      <c r="AI511" s="391"/>
      <c r="AJ511" s="391"/>
      <c r="AK511" s="391"/>
      <c r="AL511" s="391"/>
      <c r="AM511" s="628"/>
    </row>
    <row r="512" spans="1:39" ht="12.75">
      <c r="A512" s="630"/>
      <c r="B512" s="631"/>
      <c r="C512" s="632"/>
      <c r="D512" s="633"/>
      <c r="E512" s="629"/>
      <c r="F512" s="382"/>
      <c r="G512" s="454"/>
      <c r="H512" s="391"/>
      <c r="I512" s="391"/>
      <c r="J512" s="391"/>
      <c r="K512" s="391"/>
      <c r="L512" s="391"/>
      <c r="M512" s="391"/>
      <c r="N512" s="391"/>
      <c r="O512" s="391"/>
      <c r="P512" s="391"/>
      <c r="Q512" s="391"/>
      <c r="R512" s="391"/>
      <c r="S512" s="391"/>
      <c r="T512" s="391"/>
      <c r="U512" s="391"/>
      <c r="V512" s="391"/>
      <c r="W512" s="391"/>
      <c r="X512" s="391"/>
      <c r="Y512" s="391"/>
      <c r="Z512" s="391"/>
      <c r="AA512" s="391"/>
      <c r="AB512" s="391"/>
      <c r="AC512" s="391"/>
      <c r="AD512" s="391"/>
      <c r="AE512" s="391"/>
      <c r="AF512" s="391"/>
      <c r="AG512" s="391"/>
      <c r="AH512" s="391"/>
      <c r="AI512" s="391"/>
      <c r="AJ512" s="391"/>
      <c r="AK512" s="391"/>
      <c r="AL512" s="391"/>
      <c r="AM512" s="628"/>
    </row>
    <row r="513" spans="1:39" ht="12.75">
      <c r="A513" s="630"/>
      <c r="B513" s="631"/>
      <c r="C513" s="632"/>
      <c r="D513" s="633"/>
      <c r="E513" s="629"/>
      <c r="F513" s="382"/>
      <c r="G513" s="454"/>
      <c r="H513" s="384"/>
      <c r="I513" s="384"/>
      <c r="J513" s="384"/>
      <c r="K513" s="384"/>
      <c r="L513" s="384"/>
      <c r="M513" s="384"/>
      <c r="N513" s="384"/>
      <c r="O513" s="384"/>
      <c r="P513" s="384"/>
      <c r="Q513" s="384"/>
      <c r="R513" s="384"/>
      <c r="S513" s="384"/>
      <c r="T513" s="384"/>
      <c r="U513" s="384"/>
      <c r="V513" s="384"/>
      <c r="W513" s="384"/>
      <c r="X513" s="384"/>
      <c r="Y513" s="384"/>
      <c r="Z513" s="384"/>
      <c r="AA513" s="384"/>
      <c r="AB513" s="384"/>
      <c r="AC513" s="384"/>
      <c r="AD513" s="384"/>
      <c r="AE513" s="384"/>
      <c r="AF513" s="384"/>
      <c r="AG513" s="384"/>
      <c r="AH513" s="384"/>
      <c r="AI513" s="384"/>
      <c r="AJ513" s="384"/>
      <c r="AK513" s="384"/>
      <c r="AL513" s="384"/>
      <c r="AM513" s="624"/>
    </row>
    <row r="514" spans="1:39" ht="12.75">
      <c r="A514" s="630"/>
      <c r="B514" s="631"/>
      <c r="C514" s="632"/>
      <c r="D514" s="633"/>
      <c r="E514" s="629"/>
      <c r="F514" s="626"/>
      <c r="G514" s="454"/>
      <c r="H514" s="384"/>
      <c r="I514" s="384"/>
      <c r="J514" s="384"/>
      <c r="K514" s="384"/>
      <c r="L514" s="384"/>
      <c r="M514" s="384"/>
      <c r="N514" s="384"/>
      <c r="O514" s="384"/>
      <c r="P514" s="384"/>
      <c r="Q514" s="384"/>
      <c r="R514" s="384"/>
      <c r="S514" s="384"/>
      <c r="T514" s="384"/>
      <c r="U514" s="384"/>
      <c r="V514" s="384"/>
      <c r="W514" s="384"/>
      <c r="X514" s="384"/>
      <c r="Y514" s="384"/>
      <c r="Z514" s="384"/>
      <c r="AA514" s="384"/>
      <c r="AB514" s="384"/>
      <c r="AC514" s="384"/>
      <c r="AD514" s="384"/>
      <c r="AE514" s="384"/>
      <c r="AF514" s="384"/>
      <c r="AG514" s="384"/>
      <c r="AH514" s="384"/>
      <c r="AI514" s="384"/>
      <c r="AJ514" s="384"/>
      <c r="AK514" s="384"/>
      <c r="AL514" s="384"/>
      <c r="AM514" s="628"/>
    </row>
    <row r="515" spans="1:39" ht="12.75">
      <c r="A515" s="630"/>
      <c r="B515" s="631"/>
      <c r="C515" s="632"/>
      <c r="D515" s="633"/>
      <c r="E515" s="629"/>
      <c r="F515" s="627"/>
      <c r="G515" s="454"/>
      <c r="H515" s="384"/>
      <c r="I515" s="384"/>
      <c r="J515" s="384"/>
      <c r="K515" s="384"/>
      <c r="L515" s="384"/>
      <c r="M515" s="384"/>
      <c r="N515" s="384"/>
      <c r="O515" s="384"/>
      <c r="P515" s="384"/>
      <c r="Q515" s="384"/>
      <c r="R515" s="384"/>
      <c r="S515" s="384"/>
      <c r="T515" s="384"/>
      <c r="U515" s="384"/>
      <c r="V515" s="384"/>
      <c r="W515" s="384"/>
      <c r="X515" s="384"/>
      <c r="Y515" s="384"/>
      <c r="Z515" s="384"/>
      <c r="AA515" s="384"/>
      <c r="AB515" s="384"/>
      <c r="AC515" s="384"/>
      <c r="AD515" s="384"/>
      <c r="AE515" s="384"/>
      <c r="AF515" s="384"/>
      <c r="AG515" s="384"/>
      <c r="AH515" s="384"/>
      <c r="AI515" s="384"/>
      <c r="AJ515" s="384"/>
      <c r="AK515" s="384"/>
      <c r="AL515" s="384"/>
      <c r="AM515" s="628"/>
    </row>
    <row r="516" spans="1:39" ht="12.75">
      <c r="A516" s="630"/>
      <c r="B516" s="631"/>
      <c r="C516" s="632"/>
      <c r="D516" s="633"/>
      <c r="E516" s="629"/>
      <c r="F516" s="382"/>
      <c r="G516" s="454"/>
      <c r="H516" s="384"/>
      <c r="I516" s="384"/>
      <c r="J516" s="384"/>
      <c r="K516" s="384"/>
      <c r="L516" s="384"/>
      <c r="M516" s="384"/>
      <c r="N516" s="384"/>
      <c r="O516" s="384"/>
      <c r="P516" s="384"/>
      <c r="Q516" s="384"/>
      <c r="R516" s="384"/>
      <c r="S516" s="384"/>
      <c r="T516" s="384"/>
      <c r="U516" s="384"/>
      <c r="V516" s="384"/>
      <c r="W516" s="384"/>
      <c r="X516" s="384"/>
      <c r="Y516" s="384"/>
      <c r="Z516" s="384"/>
      <c r="AA516" s="384"/>
      <c r="AB516" s="384"/>
      <c r="AC516" s="384"/>
      <c r="AD516" s="384"/>
      <c r="AE516" s="384"/>
      <c r="AF516" s="384"/>
      <c r="AG516" s="384"/>
      <c r="AH516" s="384"/>
      <c r="AI516" s="384"/>
      <c r="AJ516" s="384"/>
      <c r="AK516" s="384"/>
      <c r="AL516" s="384"/>
      <c r="AM516" s="628"/>
    </row>
    <row r="517" spans="1:39" ht="12.75">
      <c r="A517" s="630"/>
      <c r="B517" s="631"/>
      <c r="C517" s="632"/>
      <c r="D517" s="633"/>
      <c r="E517" s="629"/>
      <c r="F517" s="626"/>
      <c r="G517" s="454"/>
      <c r="H517" s="384"/>
      <c r="I517" s="384"/>
      <c r="J517" s="384"/>
      <c r="K517" s="384"/>
      <c r="L517" s="384"/>
      <c r="M517" s="384"/>
      <c r="N517" s="384"/>
      <c r="O517" s="384"/>
      <c r="P517" s="384"/>
      <c r="Q517" s="384"/>
      <c r="R517" s="384"/>
      <c r="S517" s="384"/>
      <c r="T517" s="384"/>
      <c r="U517" s="384"/>
      <c r="V517" s="384"/>
      <c r="W517" s="384"/>
      <c r="X517" s="384"/>
      <c r="Y517" s="384"/>
      <c r="Z517" s="384"/>
      <c r="AA517" s="384"/>
      <c r="AB517" s="384"/>
      <c r="AC517" s="384"/>
      <c r="AD517" s="384"/>
      <c r="AE517" s="384"/>
      <c r="AF517" s="384"/>
      <c r="AG517" s="384"/>
      <c r="AH517" s="384"/>
      <c r="AI517" s="384"/>
      <c r="AJ517" s="384"/>
      <c r="AK517" s="384"/>
      <c r="AL517" s="384"/>
      <c r="AM517" s="628"/>
    </row>
    <row r="518" spans="1:39" ht="12.75">
      <c r="A518" s="630"/>
      <c r="B518" s="631"/>
      <c r="C518" s="632"/>
      <c r="D518" s="633"/>
      <c r="E518" s="629"/>
      <c r="F518" s="627"/>
      <c r="G518" s="454"/>
      <c r="H518" s="384"/>
      <c r="I518" s="384"/>
      <c r="J518" s="384"/>
      <c r="K518" s="384"/>
      <c r="L518" s="384"/>
      <c r="M518" s="384"/>
      <c r="N518" s="384"/>
      <c r="O518" s="384"/>
      <c r="P518" s="384"/>
      <c r="Q518" s="384"/>
      <c r="R518" s="384"/>
      <c r="S518" s="384"/>
      <c r="T518" s="384"/>
      <c r="U518" s="384"/>
      <c r="V518" s="384"/>
      <c r="W518" s="384"/>
      <c r="X518" s="384"/>
      <c r="Y518" s="384"/>
      <c r="Z518" s="384"/>
      <c r="AA518" s="384"/>
      <c r="AB518" s="384"/>
      <c r="AC518" s="384"/>
      <c r="AD518" s="384"/>
      <c r="AE518" s="384"/>
      <c r="AF518" s="384"/>
      <c r="AG518" s="384"/>
      <c r="AH518" s="384"/>
      <c r="AI518" s="384"/>
      <c r="AJ518" s="384"/>
      <c r="AK518" s="384"/>
      <c r="AL518" s="384"/>
      <c r="AM518" s="628"/>
    </row>
    <row r="519" spans="1:39" ht="12.75">
      <c r="A519" s="630"/>
      <c r="B519" s="631"/>
      <c r="C519" s="632"/>
      <c r="D519" s="633"/>
      <c r="E519" s="629"/>
      <c r="F519" s="382"/>
      <c r="G519" s="454"/>
      <c r="H519" s="391"/>
      <c r="I519" s="391"/>
      <c r="J519" s="391"/>
      <c r="K519" s="391"/>
      <c r="L519" s="391"/>
      <c r="M519" s="391"/>
      <c r="N519" s="391"/>
      <c r="O519" s="391"/>
      <c r="P519" s="391"/>
      <c r="Q519" s="391"/>
      <c r="R519" s="391"/>
      <c r="S519" s="391"/>
      <c r="T519" s="391"/>
      <c r="U519" s="391"/>
      <c r="V519" s="391"/>
      <c r="W519" s="391"/>
      <c r="X519" s="391"/>
      <c r="Y519" s="391"/>
      <c r="Z519" s="391"/>
      <c r="AA519" s="391"/>
      <c r="AB519" s="391"/>
      <c r="AC519" s="391"/>
      <c r="AD519" s="391"/>
      <c r="AE519" s="391"/>
      <c r="AF519" s="391"/>
      <c r="AG519" s="391"/>
      <c r="AH519" s="391"/>
      <c r="AI519" s="391"/>
      <c r="AJ519" s="391"/>
      <c r="AK519" s="391"/>
      <c r="AL519" s="391"/>
      <c r="AM519" s="628"/>
    </row>
    <row r="520" spans="1:39" ht="12.75">
      <c r="A520" s="630"/>
      <c r="B520" s="631"/>
      <c r="C520" s="632"/>
      <c r="D520" s="633"/>
      <c r="E520" s="629"/>
      <c r="F520" s="382"/>
      <c r="G520" s="454"/>
      <c r="H520" s="391"/>
      <c r="I520" s="391"/>
      <c r="J520" s="391"/>
      <c r="K520" s="391"/>
      <c r="L520" s="391"/>
      <c r="M520" s="391"/>
      <c r="N520" s="391"/>
      <c r="O520" s="391"/>
      <c r="P520" s="391"/>
      <c r="Q520" s="391"/>
      <c r="R520" s="391"/>
      <c r="S520" s="391"/>
      <c r="T520" s="391"/>
      <c r="U520" s="391"/>
      <c r="V520" s="391"/>
      <c r="W520" s="391"/>
      <c r="X520" s="391"/>
      <c r="Y520" s="391"/>
      <c r="Z520" s="391"/>
      <c r="AA520" s="391"/>
      <c r="AB520" s="391"/>
      <c r="AC520" s="391"/>
      <c r="AD520" s="391"/>
      <c r="AE520" s="391"/>
      <c r="AF520" s="391"/>
      <c r="AG520" s="391"/>
      <c r="AH520" s="391"/>
      <c r="AI520" s="391"/>
      <c r="AJ520" s="391"/>
      <c r="AK520" s="391"/>
      <c r="AL520" s="391"/>
      <c r="AM520" s="628"/>
    </row>
    <row r="521" spans="1:39" ht="12.75">
      <c r="A521" s="630"/>
      <c r="B521" s="631"/>
      <c r="C521" s="632"/>
      <c r="D521" s="633"/>
      <c r="E521" s="629"/>
      <c r="F521" s="382"/>
      <c r="G521" s="454"/>
      <c r="H521" s="384"/>
      <c r="I521" s="384"/>
      <c r="J521" s="384"/>
      <c r="K521" s="384"/>
      <c r="L521" s="384"/>
      <c r="M521" s="384"/>
      <c r="N521" s="384"/>
      <c r="O521" s="384"/>
      <c r="P521" s="384"/>
      <c r="Q521" s="384"/>
      <c r="R521" s="384"/>
      <c r="S521" s="384"/>
      <c r="T521" s="384"/>
      <c r="U521" s="384"/>
      <c r="V521" s="384"/>
      <c r="W521" s="384"/>
      <c r="X521" s="384"/>
      <c r="Y521" s="384"/>
      <c r="Z521" s="384"/>
      <c r="AA521" s="384"/>
      <c r="AB521" s="384"/>
      <c r="AC521" s="384"/>
      <c r="AD521" s="384"/>
      <c r="AE521" s="384"/>
      <c r="AF521" s="384"/>
      <c r="AG521" s="384"/>
      <c r="AH521" s="384"/>
      <c r="AI521" s="384"/>
      <c r="AJ521" s="384"/>
      <c r="AK521" s="384"/>
      <c r="AL521" s="384"/>
      <c r="AM521" s="624"/>
    </row>
    <row r="522" spans="1:39" ht="12.75">
      <c r="A522" s="630"/>
      <c r="B522" s="631"/>
      <c r="C522" s="632"/>
      <c r="D522" s="633"/>
      <c r="E522" s="629"/>
      <c r="F522" s="626"/>
      <c r="G522" s="454"/>
      <c r="H522" s="384"/>
      <c r="I522" s="384"/>
      <c r="J522" s="384"/>
      <c r="K522" s="384"/>
      <c r="L522" s="384"/>
      <c r="M522" s="384"/>
      <c r="N522" s="384"/>
      <c r="O522" s="384"/>
      <c r="P522" s="384"/>
      <c r="Q522" s="384"/>
      <c r="R522" s="384"/>
      <c r="S522" s="384"/>
      <c r="T522" s="384"/>
      <c r="U522" s="384"/>
      <c r="V522" s="384"/>
      <c r="W522" s="384"/>
      <c r="X522" s="384"/>
      <c r="Y522" s="384"/>
      <c r="Z522" s="384"/>
      <c r="AA522" s="384"/>
      <c r="AB522" s="384"/>
      <c r="AC522" s="384"/>
      <c r="AD522" s="384"/>
      <c r="AE522" s="384"/>
      <c r="AF522" s="384"/>
      <c r="AG522" s="384"/>
      <c r="AH522" s="384"/>
      <c r="AI522" s="384"/>
      <c r="AJ522" s="384"/>
      <c r="AK522" s="384"/>
      <c r="AL522" s="384"/>
      <c r="AM522" s="628"/>
    </row>
    <row r="523" spans="1:39" ht="12.75">
      <c r="A523" s="630"/>
      <c r="B523" s="631"/>
      <c r="C523" s="632"/>
      <c r="D523" s="633"/>
      <c r="E523" s="629"/>
      <c r="F523" s="627"/>
      <c r="G523" s="454"/>
      <c r="H523" s="384"/>
      <c r="I523" s="384"/>
      <c r="J523" s="384"/>
      <c r="K523" s="384"/>
      <c r="L523" s="384"/>
      <c r="M523" s="384"/>
      <c r="N523" s="384"/>
      <c r="O523" s="384"/>
      <c r="P523" s="384"/>
      <c r="Q523" s="384"/>
      <c r="R523" s="384"/>
      <c r="S523" s="384"/>
      <c r="T523" s="384"/>
      <c r="U523" s="384"/>
      <c r="V523" s="384"/>
      <c r="W523" s="384"/>
      <c r="X523" s="384"/>
      <c r="Y523" s="384"/>
      <c r="Z523" s="384"/>
      <c r="AA523" s="384"/>
      <c r="AB523" s="384"/>
      <c r="AC523" s="384"/>
      <c r="AD523" s="384"/>
      <c r="AE523" s="384"/>
      <c r="AF523" s="384"/>
      <c r="AG523" s="384"/>
      <c r="AH523" s="384"/>
      <c r="AI523" s="384"/>
      <c r="AJ523" s="384"/>
      <c r="AK523" s="384"/>
      <c r="AL523" s="384"/>
      <c r="AM523" s="628"/>
    </row>
    <row r="524" spans="1:39" ht="12.75">
      <c r="A524" s="630"/>
      <c r="B524" s="631"/>
      <c r="C524" s="632"/>
      <c r="D524" s="633"/>
      <c r="E524" s="629"/>
      <c r="F524" s="382"/>
      <c r="G524" s="454"/>
      <c r="H524" s="384"/>
      <c r="I524" s="384"/>
      <c r="J524" s="384"/>
      <c r="K524" s="384"/>
      <c r="L524" s="384"/>
      <c r="M524" s="384"/>
      <c r="N524" s="384"/>
      <c r="O524" s="384"/>
      <c r="P524" s="384"/>
      <c r="Q524" s="384"/>
      <c r="R524" s="384"/>
      <c r="S524" s="384"/>
      <c r="T524" s="384"/>
      <c r="U524" s="384"/>
      <c r="V524" s="384"/>
      <c r="W524" s="384"/>
      <c r="X524" s="384"/>
      <c r="Y524" s="384"/>
      <c r="Z524" s="384"/>
      <c r="AA524" s="384"/>
      <c r="AB524" s="384"/>
      <c r="AC524" s="384"/>
      <c r="AD524" s="384"/>
      <c r="AE524" s="384"/>
      <c r="AF524" s="384"/>
      <c r="AG524" s="384"/>
      <c r="AH524" s="384"/>
      <c r="AI524" s="384"/>
      <c r="AJ524" s="384"/>
      <c r="AK524" s="384"/>
      <c r="AL524" s="384"/>
      <c r="AM524" s="628"/>
    </row>
    <row r="525" spans="1:39" ht="12.75">
      <c r="A525" s="630"/>
      <c r="B525" s="631"/>
      <c r="C525" s="632"/>
      <c r="D525" s="633"/>
      <c r="E525" s="629"/>
      <c r="F525" s="626"/>
      <c r="G525" s="454"/>
      <c r="H525" s="384"/>
      <c r="I525" s="384"/>
      <c r="J525" s="384"/>
      <c r="K525" s="384"/>
      <c r="L525" s="384"/>
      <c r="M525" s="384"/>
      <c r="N525" s="384"/>
      <c r="O525" s="384"/>
      <c r="P525" s="384"/>
      <c r="Q525" s="384"/>
      <c r="R525" s="384"/>
      <c r="S525" s="384"/>
      <c r="T525" s="384"/>
      <c r="U525" s="384"/>
      <c r="V525" s="384"/>
      <c r="W525" s="384"/>
      <c r="X525" s="384"/>
      <c r="Y525" s="384"/>
      <c r="Z525" s="384"/>
      <c r="AA525" s="384"/>
      <c r="AB525" s="384"/>
      <c r="AC525" s="384"/>
      <c r="AD525" s="384"/>
      <c r="AE525" s="384"/>
      <c r="AF525" s="384"/>
      <c r="AG525" s="384"/>
      <c r="AH525" s="384"/>
      <c r="AI525" s="384"/>
      <c r="AJ525" s="384"/>
      <c r="AK525" s="384"/>
      <c r="AL525" s="384"/>
      <c r="AM525" s="628"/>
    </row>
    <row r="526" spans="1:39" ht="12.75">
      <c r="A526" s="630"/>
      <c r="B526" s="631"/>
      <c r="C526" s="632"/>
      <c r="D526" s="633"/>
      <c r="E526" s="629"/>
      <c r="F526" s="627"/>
      <c r="G526" s="454"/>
      <c r="H526" s="384"/>
      <c r="I526" s="384"/>
      <c r="J526" s="384"/>
      <c r="K526" s="384"/>
      <c r="L526" s="384"/>
      <c r="M526" s="384"/>
      <c r="N526" s="384"/>
      <c r="O526" s="384"/>
      <c r="P526" s="384"/>
      <c r="Q526" s="384"/>
      <c r="R526" s="384"/>
      <c r="S526" s="384"/>
      <c r="T526" s="384"/>
      <c r="U526" s="384"/>
      <c r="V526" s="384"/>
      <c r="W526" s="384"/>
      <c r="X526" s="384"/>
      <c r="Y526" s="384"/>
      <c r="Z526" s="384"/>
      <c r="AA526" s="384"/>
      <c r="AB526" s="384"/>
      <c r="AC526" s="384"/>
      <c r="AD526" s="384"/>
      <c r="AE526" s="384"/>
      <c r="AF526" s="384"/>
      <c r="AG526" s="384"/>
      <c r="AH526" s="384"/>
      <c r="AI526" s="384"/>
      <c r="AJ526" s="384"/>
      <c r="AK526" s="384"/>
      <c r="AL526" s="384"/>
      <c r="AM526" s="628"/>
    </row>
    <row r="527" spans="1:39" ht="12.75">
      <c r="A527" s="630"/>
      <c r="B527" s="631"/>
      <c r="C527" s="632"/>
      <c r="D527" s="633"/>
      <c r="E527" s="629"/>
      <c r="F527" s="382"/>
      <c r="G527" s="454"/>
      <c r="H527" s="391"/>
      <c r="I527" s="391"/>
      <c r="J527" s="391"/>
      <c r="K527" s="391"/>
      <c r="L527" s="391"/>
      <c r="M527" s="391"/>
      <c r="N527" s="391"/>
      <c r="O527" s="391"/>
      <c r="P527" s="391"/>
      <c r="Q527" s="391"/>
      <c r="R527" s="391"/>
      <c r="S527" s="391"/>
      <c r="T527" s="391"/>
      <c r="U527" s="391"/>
      <c r="V527" s="391"/>
      <c r="W527" s="391"/>
      <c r="X527" s="391"/>
      <c r="Y527" s="391"/>
      <c r="Z527" s="391"/>
      <c r="AA527" s="391"/>
      <c r="AB527" s="391"/>
      <c r="AC527" s="391"/>
      <c r="AD527" s="391"/>
      <c r="AE527" s="391"/>
      <c r="AF527" s="391"/>
      <c r="AG527" s="391"/>
      <c r="AH527" s="391"/>
      <c r="AI527" s="391"/>
      <c r="AJ527" s="391"/>
      <c r="AK527" s="391"/>
      <c r="AL527" s="391"/>
      <c r="AM527" s="628"/>
    </row>
    <row r="528" spans="1:39" ht="12.75">
      <c r="A528" s="630"/>
      <c r="B528" s="631"/>
      <c r="C528" s="632"/>
      <c r="D528" s="633"/>
      <c r="E528" s="629"/>
      <c r="F528" s="382"/>
      <c r="G528" s="454"/>
      <c r="H528" s="391"/>
      <c r="I528" s="391"/>
      <c r="J528" s="391"/>
      <c r="K528" s="391"/>
      <c r="L528" s="391"/>
      <c r="M528" s="391"/>
      <c r="N528" s="391"/>
      <c r="O528" s="391"/>
      <c r="P528" s="391"/>
      <c r="Q528" s="391"/>
      <c r="R528" s="391"/>
      <c r="S528" s="391"/>
      <c r="T528" s="391"/>
      <c r="U528" s="391"/>
      <c r="V528" s="391"/>
      <c r="W528" s="391"/>
      <c r="X528" s="391"/>
      <c r="Y528" s="391"/>
      <c r="Z528" s="391"/>
      <c r="AA528" s="391"/>
      <c r="AB528" s="391"/>
      <c r="AC528" s="391"/>
      <c r="AD528" s="391"/>
      <c r="AE528" s="391"/>
      <c r="AF528" s="391"/>
      <c r="AG528" s="391"/>
      <c r="AH528" s="391"/>
      <c r="AI528" s="391"/>
      <c r="AJ528" s="391"/>
      <c r="AK528" s="391"/>
      <c r="AL528" s="391"/>
      <c r="AM528" s="628"/>
    </row>
    <row r="529" spans="1:39" ht="12.75">
      <c r="A529" s="630"/>
      <c r="B529" s="631"/>
      <c r="C529" s="632"/>
      <c r="D529" s="633"/>
      <c r="E529" s="629"/>
      <c r="F529" s="382"/>
      <c r="G529" s="454"/>
      <c r="H529" s="384"/>
      <c r="I529" s="384"/>
      <c r="J529" s="384"/>
      <c r="K529" s="384"/>
      <c r="L529" s="384"/>
      <c r="M529" s="384"/>
      <c r="N529" s="384"/>
      <c r="O529" s="384"/>
      <c r="P529" s="384"/>
      <c r="Q529" s="384"/>
      <c r="R529" s="384"/>
      <c r="S529" s="384"/>
      <c r="T529" s="384"/>
      <c r="U529" s="384"/>
      <c r="V529" s="384"/>
      <c r="W529" s="384"/>
      <c r="X529" s="384"/>
      <c r="Y529" s="384"/>
      <c r="Z529" s="384"/>
      <c r="AA529" s="384"/>
      <c r="AB529" s="384"/>
      <c r="AC529" s="384"/>
      <c r="AD529" s="384"/>
      <c r="AE529" s="384"/>
      <c r="AF529" s="384"/>
      <c r="AG529" s="384"/>
      <c r="AH529" s="384"/>
      <c r="AI529" s="384"/>
      <c r="AJ529" s="384"/>
      <c r="AK529" s="384"/>
      <c r="AL529" s="384"/>
      <c r="AM529" s="624"/>
    </row>
    <row r="530" spans="1:39" ht="12.75">
      <c r="A530" s="630"/>
      <c r="B530" s="631"/>
      <c r="C530" s="632"/>
      <c r="D530" s="633"/>
      <c r="E530" s="629"/>
      <c r="F530" s="626"/>
      <c r="G530" s="454"/>
      <c r="H530" s="384"/>
      <c r="I530" s="384"/>
      <c r="J530" s="384"/>
      <c r="K530" s="384"/>
      <c r="L530" s="384"/>
      <c r="M530" s="384"/>
      <c r="N530" s="384"/>
      <c r="O530" s="384"/>
      <c r="P530" s="384"/>
      <c r="Q530" s="384"/>
      <c r="R530" s="384"/>
      <c r="S530" s="384"/>
      <c r="T530" s="384"/>
      <c r="U530" s="384"/>
      <c r="V530" s="384"/>
      <c r="W530" s="384"/>
      <c r="X530" s="384"/>
      <c r="Y530" s="384"/>
      <c r="Z530" s="384"/>
      <c r="AA530" s="384"/>
      <c r="AB530" s="384"/>
      <c r="AC530" s="384"/>
      <c r="AD530" s="384"/>
      <c r="AE530" s="384"/>
      <c r="AF530" s="384"/>
      <c r="AG530" s="384"/>
      <c r="AH530" s="384"/>
      <c r="AI530" s="384"/>
      <c r="AJ530" s="384"/>
      <c r="AK530" s="384"/>
      <c r="AL530" s="384"/>
      <c r="AM530" s="628"/>
    </row>
    <row r="531" spans="1:39" ht="12.75">
      <c r="A531" s="630"/>
      <c r="B531" s="631"/>
      <c r="C531" s="632"/>
      <c r="D531" s="633"/>
      <c r="E531" s="629"/>
      <c r="F531" s="627"/>
      <c r="G531" s="454"/>
      <c r="H531" s="384"/>
      <c r="I531" s="384"/>
      <c r="J531" s="384"/>
      <c r="K531" s="384"/>
      <c r="L531" s="384"/>
      <c r="M531" s="384"/>
      <c r="N531" s="384"/>
      <c r="O531" s="384"/>
      <c r="P531" s="384"/>
      <c r="Q531" s="384"/>
      <c r="R531" s="384"/>
      <c r="S531" s="384"/>
      <c r="T531" s="384"/>
      <c r="U531" s="384"/>
      <c r="V531" s="384"/>
      <c r="W531" s="384"/>
      <c r="X531" s="384"/>
      <c r="Y531" s="384"/>
      <c r="Z531" s="384"/>
      <c r="AA531" s="384"/>
      <c r="AB531" s="384"/>
      <c r="AC531" s="384"/>
      <c r="AD531" s="384"/>
      <c r="AE531" s="384"/>
      <c r="AF531" s="384"/>
      <c r="AG531" s="384"/>
      <c r="AH531" s="384"/>
      <c r="AI531" s="384"/>
      <c r="AJ531" s="384"/>
      <c r="AK531" s="384"/>
      <c r="AL531" s="384"/>
      <c r="AM531" s="628"/>
    </row>
    <row r="532" spans="1:39" ht="12.75">
      <c r="A532" s="630"/>
      <c r="B532" s="631"/>
      <c r="C532" s="632"/>
      <c r="D532" s="633"/>
      <c r="E532" s="629"/>
      <c r="F532" s="382"/>
      <c r="G532" s="454"/>
      <c r="H532" s="384"/>
      <c r="I532" s="384"/>
      <c r="J532" s="384"/>
      <c r="K532" s="384"/>
      <c r="L532" s="384"/>
      <c r="M532" s="384"/>
      <c r="N532" s="384"/>
      <c r="O532" s="384"/>
      <c r="P532" s="384"/>
      <c r="Q532" s="384"/>
      <c r="R532" s="384"/>
      <c r="S532" s="384"/>
      <c r="T532" s="384"/>
      <c r="U532" s="384"/>
      <c r="V532" s="384"/>
      <c r="W532" s="384"/>
      <c r="X532" s="384"/>
      <c r="Y532" s="384"/>
      <c r="Z532" s="384"/>
      <c r="AA532" s="384"/>
      <c r="AB532" s="384"/>
      <c r="AC532" s="384"/>
      <c r="AD532" s="384"/>
      <c r="AE532" s="384"/>
      <c r="AF532" s="384"/>
      <c r="AG532" s="384"/>
      <c r="AH532" s="384"/>
      <c r="AI532" s="384"/>
      <c r="AJ532" s="384"/>
      <c r="AK532" s="384"/>
      <c r="AL532" s="384"/>
      <c r="AM532" s="628"/>
    </row>
    <row r="533" spans="1:39" ht="12.75">
      <c r="A533" s="630"/>
      <c r="B533" s="631"/>
      <c r="C533" s="632"/>
      <c r="D533" s="633"/>
      <c r="E533" s="629"/>
      <c r="F533" s="626"/>
      <c r="G533" s="454"/>
      <c r="H533" s="384"/>
      <c r="I533" s="384"/>
      <c r="J533" s="384"/>
      <c r="K533" s="384"/>
      <c r="L533" s="384"/>
      <c r="M533" s="384"/>
      <c r="N533" s="384"/>
      <c r="O533" s="384"/>
      <c r="P533" s="384"/>
      <c r="Q533" s="384"/>
      <c r="R533" s="384"/>
      <c r="S533" s="384"/>
      <c r="T533" s="384"/>
      <c r="U533" s="384"/>
      <c r="V533" s="384"/>
      <c r="W533" s="384"/>
      <c r="X533" s="384"/>
      <c r="Y533" s="384"/>
      <c r="Z533" s="384"/>
      <c r="AA533" s="384"/>
      <c r="AB533" s="384"/>
      <c r="AC533" s="384"/>
      <c r="AD533" s="384"/>
      <c r="AE533" s="384"/>
      <c r="AF533" s="384"/>
      <c r="AG533" s="384"/>
      <c r="AH533" s="384"/>
      <c r="AI533" s="384"/>
      <c r="AJ533" s="384"/>
      <c r="AK533" s="384"/>
      <c r="AL533" s="384"/>
      <c r="AM533" s="628"/>
    </row>
    <row r="534" spans="1:39" ht="12.75">
      <c r="A534" s="630"/>
      <c r="B534" s="631"/>
      <c r="C534" s="632"/>
      <c r="D534" s="633"/>
      <c r="E534" s="629"/>
      <c r="F534" s="627"/>
      <c r="G534" s="454"/>
      <c r="H534" s="384"/>
      <c r="I534" s="384"/>
      <c r="J534" s="384"/>
      <c r="K534" s="384"/>
      <c r="L534" s="384"/>
      <c r="M534" s="384"/>
      <c r="N534" s="384"/>
      <c r="O534" s="384"/>
      <c r="P534" s="384"/>
      <c r="Q534" s="384"/>
      <c r="R534" s="384"/>
      <c r="S534" s="384"/>
      <c r="T534" s="384"/>
      <c r="U534" s="384"/>
      <c r="V534" s="384"/>
      <c r="W534" s="384"/>
      <c r="X534" s="384"/>
      <c r="Y534" s="384"/>
      <c r="Z534" s="384"/>
      <c r="AA534" s="384"/>
      <c r="AB534" s="384"/>
      <c r="AC534" s="384"/>
      <c r="AD534" s="384"/>
      <c r="AE534" s="384"/>
      <c r="AF534" s="384"/>
      <c r="AG534" s="384"/>
      <c r="AH534" s="384"/>
      <c r="AI534" s="384"/>
      <c r="AJ534" s="384"/>
      <c r="AK534" s="384"/>
      <c r="AL534" s="384"/>
      <c r="AM534" s="628"/>
    </row>
    <row r="535" spans="1:39" ht="12.75">
      <c r="A535" s="630"/>
      <c r="B535" s="631"/>
      <c r="C535" s="632"/>
      <c r="D535" s="633"/>
      <c r="E535" s="629"/>
      <c r="F535" s="382"/>
      <c r="G535" s="454"/>
      <c r="H535" s="391"/>
      <c r="I535" s="391"/>
      <c r="J535" s="391"/>
      <c r="K535" s="391"/>
      <c r="L535" s="391"/>
      <c r="M535" s="391"/>
      <c r="N535" s="391"/>
      <c r="O535" s="391"/>
      <c r="P535" s="391"/>
      <c r="Q535" s="391"/>
      <c r="R535" s="391"/>
      <c r="S535" s="391"/>
      <c r="T535" s="391"/>
      <c r="U535" s="391"/>
      <c r="V535" s="391"/>
      <c r="W535" s="391"/>
      <c r="X535" s="391"/>
      <c r="Y535" s="391"/>
      <c r="Z535" s="391"/>
      <c r="AA535" s="391"/>
      <c r="AB535" s="391"/>
      <c r="AC535" s="391"/>
      <c r="AD535" s="391"/>
      <c r="AE535" s="391"/>
      <c r="AF535" s="391"/>
      <c r="AG535" s="391"/>
      <c r="AH535" s="391"/>
      <c r="AI535" s="391"/>
      <c r="AJ535" s="391"/>
      <c r="AK535" s="391"/>
      <c r="AL535" s="391"/>
      <c r="AM535" s="628"/>
    </row>
    <row r="536" spans="1:39" ht="12.75">
      <c r="A536" s="630"/>
      <c r="B536" s="631"/>
      <c r="C536" s="632"/>
      <c r="D536" s="633"/>
      <c r="E536" s="629"/>
      <c r="F536" s="382"/>
      <c r="G536" s="454"/>
      <c r="H536" s="391"/>
      <c r="I536" s="391"/>
      <c r="J536" s="391"/>
      <c r="K536" s="391"/>
      <c r="L536" s="391"/>
      <c r="M536" s="391"/>
      <c r="N536" s="391"/>
      <c r="O536" s="391"/>
      <c r="P536" s="391"/>
      <c r="Q536" s="391"/>
      <c r="R536" s="391"/>
      <c r="S536" s="391"/>
      <c r="T536" s="391"/>
      <c r="U536" s="391"/>
      <c r="V536" s="391"/>
      <c r="W536" s="391"/>
      <c r="X536" s="391"/>
      <c r="Y536" s="391"/>
      <c r="Z536" s="391"/>
      <c r="AA536" s="391"/>
      <c r="AB536" s="391"/>
      <c r="AC536" s="391"/>
      <c r="AD536" s="391"/>
      <c r="AE536" s="391"/>
      <c r="AF536" s="391"/>
      <c r="AG536" s="391"/>
      <c r="AH536" s="391"/>
      <c r="AI536" s="391"/>
      <c r="AJ536" s="391"/>
      <c r="AK536" s="391"/>
      <c r="AL536" s="391"/>
      <c r="AM536" s="628"/>
    </row>
    <row r="537" spans="1:39" ht="12.75">
      <c r="A537" s="630"/>
      <c r="B537" s="631"/>
      <c r="C537" s="632"/>
      <c r="D537" s="633"/>
      <c r="E537" s="629"/>
      <c r="F537" s="382"/>
      <c r="G537" s="454"/>
      <c r="H537" s="384"/>
      <c r="I537" s="384"/>
      <c r="J537" s="384"/>
      <c r="K537" s="384"/>
      <c r="L537" s="384"/>
      <c r="M537" s="384"/>
      <c r="N537" s="384"/>
      <c r="O537" s="384"/>
      <c r="P537" s="384"/>
      <c r="Q537" s="384"/>
      <c r="R537" s="384"/>
      <c r="S537" s="384"/>
      <c r="T537" s="384"/>
      <c r="U537" s="384"/>
      <c r="V537" s="384"/>
      <c r="W537" s="384"/>
      <c r="X537" s="384"/>
      <c r="Y537" s="384"/>
      <c r="Z537" s="384"/>
      <c r="AA537" s="384"/>
      <c r="AB537" s="384"/>
      <c r="AC537" s="384"/>
      <c r="AD537" s="384"/>
      <c r="AE537" s="384"/>
      <c r="AF537" s="384"/>
      <c r="AG537" s="384"/>
      <c r="AH537" s="384"/>
      <c r="AI537" s="384"/>
      <c r="AJ537" s="384"/>
      <c r="AK537" s="384"/>
      <c r="AL537" s="384"/>
      <c r="AM537" s="624"/>
    </row>
    <row r="538" spans="1:39" ht="12.75">
      <c r="A538" s="630"/>
      <c r="B538" s="631"/>
      <c r="C538" s="632"/>
      <c r="D538" s="633"/>
      <c r="E538" s="629"/>
      <c r="F538" s="626"/>
      <c r="G538" s="454"/>
      <c r="H538" s="384"/>
      <c r="I538" s="384"/>
      <c r="J538" s="384"/>
      <c r="K538" s="384"/>
      <c r="L538" s="384"/>
      <c r="M538" s="384"/>
      <c r="N538" s="384"/>
      <c r="O538" s="384"/>
      <c r="P538" s="384"/>
      <c r="Q538" s="384"/>
      <c r="R538" s="384"/>
      <c r="S538" s="384"/>
      <c r="T538" s="384"/>
      <c r="U538" s="384"/>
      <c r="V538" s="384"/>
      <c r="W538" s="384"/>
      <c r="X538" s="384"/>
      <c r="Y538" s="384"/>
      <c r="Z538" s="384"/>
      <c r="AA538" s="384"/>
      <c r="AB538" s="384"/>
      <c r="AC538" s="384"/>
      <c r="AD538" s="384"/>
      <c r="AE538" s="384"/>
      <c r="AF538" s="384"/>
      <c r="AG538" s="384"/>
      <c r="AH538" s="384"/>
      <c r="AI538" s="384"/>
      <c r="AJ538" s="384"/>
      <c r="AK538" s="384"/>
      <c r="AL538" s="384"/>
      <c r="AM538" s="628"/>
    </row>
    <row r="539" spans="1:39" ht="12.75">
      <c r="A539" s="630"/>
      <c r="B539" s="631"/>
      <c r="C539" s="632"/>
      <c r="D539" s="633"/>
      <c r="E539" s="629"/>
      <c r="F539" s="627"/>
      <c r="G539" s="454"/>
      <c r="H539" s="384"/>
      <c r="I539" s="384"/>
      <c r="J539" s="384"/>
      <c r="K539" s="384"/>
      <c r="L539" s="384"/>
      <c r="M539" s="384"/>
      <c r="N539" s="384"/>
      <c r="O539" s="384"/>
      <c r="P539" s="384"/>
      <c r="Q539" s="384"/>
      <c r="R539" s="384"/>
      <c r="S539" s="384"/>
      <c r="T539" s="384"/>
      <c r="U539" s="384"/>
      <c r="V539" s="384"/>
      <c r="W539" s="384"/>
      <c r="X539" s="384"/>
      <c r="Y539" s="384"/>
      <c r="Z539" s="384"/>
      <c r="AA539" s="384"/>
      <c r="AB539" s="384"/>
      <c r="AC539" s="384"/>
      <c r="AD539" s="384"/>
      <c r="AE539" s="384"/>
      <c r="AF539" s="384"/>
      <c r="AG539" s="384"/>
      <c r="AH539" s="384"/>
      <c r="AI539" s="384"/>
      <c r="AJ539" s="384"/>
      <c r="AK539" s="384"/>
      <c r="AL539" s="384"/>
      <c r="AM539" s="628"/>
    </row>
    <row r="540" spans="1:39" ht="12.75">
      <c r="A540" s="630"/>
      <c r="B540" s="631"/>
      <c r="C540" s="632"/>
      <c r="D540" s="633"/>
      <c r="E540" s="629"/>
      <c r="F540" s="382"/>
      <c r="G540" s="454"/>
      <c r="H540" s="384"/>
      <c r="I540" s="384"/>
      <c r="J540" s="384"/>
      <c r="K540" s="384"/>
      <c r="L540" s="384"/>
      <c r="M540" s="384"/>
      <c r="N540" s="384"/>
      <c r="O540" s="384"/>
      <c r="P540" s="384"/>
      <c r="Q540" s="384"/>
      <c r="R540" s="384"/>
      <c r="S540" s="384"/>
      <c r="T540" s="384"/>
      <c r="U540" s="384"/>
      <c r="V540" s="384"/>
      <c r="W540" s="384"/>
      <c r="X540" s="384"/>
      <c r="Y540" s="384"/>
      <c r="Z540" s="384"/>
      <c r="AA540" s="384"/>
      <c r="AB540" s="384"/>
      <c r="AC540" s="384"/>
      <c r="AD540" s="384"/>
      <c r="AE540" s="384"/>
      <c r="AF540" s="384"/>
      <c r="AG540" s="384"/>
      <c r="AH540" s="384"/>
      <c r="AI540" s="384"/>
      <c r="AJ540" s="384"/>
      <c r="AK540" s="384"/>
      <c r="AL540" s="384"/>
      <c r="AM540" s="628"/>
    </row>
    <row r="541" spans="1:39" ht="12.75">
      <c r="A541" s="630"/>
      <c r="B541" s="631"/>
      <c r="C541" s="632"/>
      <c r="D541" s="633"/>
      <c r="E541" s="629"/>
      <c r="F541" s="626"/>
      <c r="G541" s="454"/>
      <c r="H541" s="384"/>
      <c r="I541" s="384"/>
      <c r="J541" s="384"/>
      <c r="K541" s="384"/>
      <c r="L541" s="384"/>
      <c r="M541" s="384"/>
      <c r="N541" s="384"/>
      <c r="O541" s="384"/>
      <c r="P541" s="384"/>
      <c r="Q541" s="384"/>
      <c r="R541" s="384"/>
      <c r="S541" s="384"/>
      <c r="T541" s="384"/>
      <c r="U541" s="384"/>
      <c r="V541" s="384"/>
      <c r="W541" s="384"/>
      <c r="X541" s="384"/>
      <c r="Y541" s="384"/>
      <c r="Z541" s="384"/>
      <c r="AA541" s="384"/>
      <c r="AB541" s="384"/>
      <c r="AC541" s="384"/>
      <c r="AD541" s="384"/>
      <c r="AE541" s="384"/>
      <c r="AF541" s="384"/>
      <c r="AG541" s="384"/>
      <c r="AH541" s="384"/>
      <c r="AI541" s="384"/>
      <c r="AJ541" s="384"/>
      <c r="AK541" s="384"/>
      <c r="AL541" s="384"/>
      <c r="AM541" s="628"/>
    </row>
    <row r="542" spans="1:39" ht="12.75">
      <c r="A542" s="630"/>
      <c r="B542" s="631"/>
      <c r="C542" s="632"/>
      <c r="D542" s="633"/>
      <c r="E542" s="629"/>
      <c r="F542" s="627"/>
      <c r="G542" s="454"/>
      <c r="H542" s="384"/>
      <c r="I542" s="384"/>
      <c r="J542" s="384"/>
      <c r="K542" s="384"/>
      <c r="L542" s="384"/>
      <c r="M542" s="384"/>
      <c r="N542" s="384"/>
      <c r="O542" s="384"/>
      <c r="P542" s="384"/>
      <c r="Q542" s="384"/>
      <c r="R542" s="384"/>
      <c r="S542" s="384"/>
      <c r="T542" s="384"/>
      <c r="U542" s="384"/>
      <c r="V542" s="384"/>
      <c r="W542" s="384"/>
      <c r="X542" s="384"/>
      <c r="Y542" s="384"/>
      <c r="Z542" s="384"/>
      <c r="AA542" s="384"/>
      <c r="AB542" s="384"/>
      <c r="AC542" s="384"/>
      <c r="AD542" s="384"/>
      <c r="AE542" s="384"/>
      <c r="AF542" s="384"/>
      <c r="AG542" s="384"/>
      <c r="AH542" s="384"/>
      <c r="AI542" s="384"/>
      <c r="AJ542" s="384"/>
      <c r="AK542" s="384"/>
      <c r="AL542" s="384"/>
      <c r="AM542" s="628"/>
    </row>
    <row r="543" spans="1:39" ht="12.75">
      <c r="A543" s="630"/>
      <c r="B543" s="631"/>
      <c r="C543" s="632"/>
      <c r="D543" s="633"/>
      <c r="E543" s="629"/>
      <c r="F543" s="382"/>
      <c r="G543" s="454"/>
      <c r="H543" s="391"/>
      <c r="I543" s="391"/>
      <c r="J543" s="391"/>
      <c r="K543" s="391"/>
      <c r="L543" s="391"/>
      <c r="M543" s="391"/>
      <c r="N543" s="391"/>
      <c r="O543" s="391"/>
      <c r="P543" s="391"/>
      <c r="Q543" s="391"/>
      <c r="R543" s="391"/>
      <c r="S543" s="391"/>
      <c r="T543" s="391"/>
      <c r="U543" s="391"/>
      <c r="V543" s="391"/>
      <c r="W543" s="391"/>
      <c r="X543" s="391"/>
      <c r="Y543" s="391"/>
      <c r="Z543" s="391"/>
      <c r="AA543" s="391"/>
      <c r="AB543" s="391"/>
      <c r="AC543" s="391"/>
      <c r="AD543" s="391"/>
      <c r="AE543" s="391"/>
      <c r="AF543" s="391"/>
      <c r="AG543" s="391"/>
      <c r="AH543" s="391"/>
      <c r="AI543" s="391"/>
      <c r="AJ543" s="391"/>
      <c r="AK543" s="391"/>
      <c r="AL543" s="391"/>
      <c r="AM543" s="628"/>
    </row>
    <row r="544" spans="1:39" ht="12.75">
      <c r="A544" s="630"/>
      <c r="B544" s="631"/>
      <c r="C544" s="632"/>
      <c r="D544" s="633"/>
      <c r="E544" s="629"/>
      <c r="F544" s="382"/>
      <c r="G544" s="454"/>
      <c r="H544" s="391"/>
      <c r="I544" s="391"/>
      <c r="J544" s="391"/>
      <c r="K544" s="391"/>
      <c r="L544" s="391"/>
      <c r="M544" s="391"/>
      <c r="N544" s="391"/>
      <c r="O544" s="391"/>
      <c r="P544" s="391"/>
      <c r="Q544" s="391"/>
      <c r="R544" s="391"/>
      <c r="S544" s="391"/>
      <c r="T544" s="391"/>
      <c r="U544" s="391"/>
      <c r="V544" s="391"/>
      <c r="W544" s="391"/>
      <c r="X544" s="391"/>
      <c r="Y544" s="391"/>
      <c r="Z544" s="391"/>
      <c r="AA544" s="391"/>
      <c r="AB544" s="391"/>
      <c r="AC544" s="391"/>
      <c r="AD544" s="391"/>
      <c r="AE544" s="391"/>
      <c r="AF544" s="391"/>
      <c r="AG544" s="391"/>
      <c r="AH544" s="391"/>
      <c r="AI544" s="391"/>
      <c r="AJ544" s="391"/>
      <c r="AK544" s="391"/>
      <c r="AL544" s="391"/>
      <c r="AM544" s="628"/>
    </row>
    <row r="545" spans="1:39" ht="12.75">
      <c r="A545" s="630"/>
      <c r="B545" s="631"/>
      <c r="C545" s="632"/>
      <c r="D545" s="633"/>
      <c r="E545" s="629"/>
      <c r="F545" s="382"/>
      <c r="G545" s="454"/>
      <c r="H545" s="384"/>
      <c r="I545" s="384"/>
      <c r="J545" s="384"/>
      <c r="K545" s="384"/>
      <c r="L545" s="384"/>
      <c r="M545" s="384"/>
      <c r="N545" s="384"/>
      <c r="O545" s="384"/>
      <c r="P545" s="384"/>
      <c r="Q545" s="384"/>
      <c r="R545" s="384"/>
      <c r="S545" s="384"/>
      <c r="T545" s="384"/>
      <c r="U545" s="384"/>
      <c r="V545" s="384"/>
      <c r="W545" s="384"/>
      <c r="X545" s="384"/>
      <c r="Y545" s="384"/>
      <c r="Z545" s="384"/>
      <c r="AA545" s="384"/>
      <c r="AB545" s="384"/>
      <c r="AC545" s="384"/>
      <c r="AD545" s="384"/>
      <c r="AE545" s="384"/>
      <c r="AF545" s="384"/>
      <c r="AG545" s="384"/>
      <c r="AH545" s="384"/>
      <c r="AI545" s="384"/>
      <c r="AJ545" s="384"/>
      <c r="AK545" s="384"/>
      <c r="AL545" s="384"/>
      <c r="AM545" s="624"/>
    </row>
    <row r="546" spans="1:39" ht="12.75">
      <c r="A546" s="630"/>
      <c r="B546" s="631"/>
      <c r="C546" s="632"/>
      <c r="D546" s="633"/>
      <c r="E546" s="629"/>
      <c r="F546" s="626"/>
      <c r="G546" s="454"/>
      <c r="H546" s="384"/>
      <c r="I546" s="384"/>
      <c r="J546" s="384"/>
      <c r="K546" s="384"/>
      <c r="L546" s="384"/>
      <c r="M546" s="384"/>
      <c r="N546" s="384"/>
      <c r="O546" s="384"/>
      <c r="P546" s="384"/>
      <c r="Q546" s="384"/>
      <c r="R546" s="384"/>
      <c r="S546" s="384"/>
      <c r="T546" s="384"/>
      <c r="U546" s="384"/>
      <c r="V546" s="384"/>
      <c r="W546" s="384"/>
      <c r="X546" s="384"/>
      <c r="Y546" s="384"/>
      <c r="Z546" s="384"/>
      <c r="AA546" s="384"/>
      <c r="AB546" s="384"/>
      <c r="AC546" s="384"/>
      <c r="AD546" s="384"/>
      <c r="AE546" s="384"/>
      <c r="AF546" s="384"/>
      <c r="AG546" s="384"/>
      <c r="AH546" s="384"/>
      <c r="AI546" s="384"/>
      <c r="AJ546" s="384"/>
      <c r="AK546" s="384"/>
      <c r="AL546" s="384"/>
      <c r="AM546" s="628"/>
    </row>
    <row r="547" spans="1:39" ht="12.75">
      <c r="A547" s="630"/>
      <c r="B547" s="631"/>
      <c r="C547" s="632"/>
      <c r="D547" s="633"/>
      <c r="E547" s="629"/>
      <c r="F547" s="627"/>
      <c r="G547" s="454"/>
      <c r="H547" s="384"/>
      <c r="I547" s="384"/>
      <c r="J547" s="384"/>
      <c r="K547" s="384"/>
      <c r="L547" s="384"/>
      <c r="M547" s="384"/>
      <c r="N547" s="384"/>
      <c r="O547" s="384"/>
      <c r="P547" s="384"/>
      <c r="Q547" s="384"/>
      <c r="R547" s="384"/>
      <c r="S547" s="384"/>
      <c r="T547" s="384"/>
      <c r="U547" s="384"/>
      <c r="V547" s="384"/>
      <c r="W547" s="384"/>
      <c r="X547" s="384"/>
      <c r="Y547" s="384"/>
      <c r="Z547" s="384"/>
      <c r="AA547" s="384"/>
      <c r="AB547" s="384"/>
      <c r="AC547" s="384"/>
      <c r="AD547" s="384"/>
      <c r="AE547" s="384"/>
      <c r="AF547" s="384"/>
      <c r="AG547" s="384"/>
      <c r="AH547" s="384"/>
      <c r="AI547" s="384"/>
      <c r="AJ547" s="384"/>
      <c r="AK547" s="384"/>
      <c r="AL547" s="384"/>
      <c r="AM547" s="628"/>
    </row>
    <row r="548" spans="1:39" ht="12.75">
      <c r="A548" s="630"/>
      <c r="B548" s="631"/>
      <c r="C548" s="632"/>
      <c r="D548" s="633"/>
      <c r="E548" s="629"/>
      <c r="F548" s="382"/>
      <c r="G548" s="454"/>
      <c r="H548" s="384"/>
      <c r="I548" s="384"/>
      <c r="J548" s="384"/>
      <c r="K548" s="384"/>
      <c r="L548" s="384"/>
      <c r="M548" s="384"/>
      <c r="N548" s="384"/>
      <c r="O548" s="384"/>
      <c r="P548" s="384"/>
      <c r="Q548" s="384"/>
      <c r="R548" s="384"/>
      <c r="S548" s="384"/>
      <c r="T548" s="384"/>
      <c r="U548" s="384"/>
      <c r="V548" s="384"/>
      <c r="W548" s="384"/>
      <c r="X548" s="384"/>
      <c r="Y548" s="384"/>
      <c r="Z548" s="384"/>
      <c r="AA548" s="384"/>
      <c r="AB548" s="384"/>
      <c r="AC548" s="384"/>
      <c r="AD548" s="384"/>
      <c r="AE548" s="384"/>
      <c r="AF548" s="384"/>
      <c r="AG548" s="384"/>
      <c r="AH548" s="384"/>
      <c r="AI548" s="384"/>
      <c r="AJ548" s="384"/>
      <c r="AK548" s="384"/>
      <c r="AL548" s="384"/>
      <c r="AM548" s="628"/>
    </row>
    <row r="549" spans="1:39" ht="12.75">
      <c r="A549" s="630"/>
      <c r="B549" s="631"/>
      <c r="C549" s="632"/>
      <c r="D549" s="633"/>
      <c r="E549" s="629"/>
      <c r="F549" s="626"/>
      <c r="G549" s="454"/>
      <c r="H549" s="384"/>
      <c r="I549" s="384"/>
      <c r="J549" s="384"/>
      <c r="K549" s="384"/>
      <c r="L549" s="384"/>
      <c r="M549" s="384"/>
      <c r="N549" s="384"/>
      <c r="O549" s="384"/>
      <c r="P549" s="384"/>
      <c r="Q549" s="384"/>
      <c r="R549" s="384"/>
      <c r="S549" s="384"/>
      <c r="T549" s="384"/>
      <c r="U549" s="384"/>
      <c r="V549" s="384"/>
      <c r="W549" s="384"/>
      <c r="X549" s="384"/>
      <c r="Y549" s="384"/>
      <c r="Z549" s="384"/>
      <c r="AA549" s="384"/>
      <c r="AB549" s="384"/>
      <c r="AC549" s="384"/>
      <c r="AD549" s="384"/>
      <c r="AE549" s="384"/>
      <c r="AF549" s="384"/>
      <c r="AG549" s="384"/>
      <c r="AH549" s="384"/>
      <c r="AI549" s="384"/>
      <c r="AJ549" s="384"/>
      <c r="AK549" s="384"/>
      <c r="AL549" s="384"/>
      <c r="AM549" s="628"/>
    </row>
    <row r="550" spans="1:39" ht="12.75">
      <c r="A550" s="630"/>
      <c r="B550" s="631"/>
      <c r="C550" s="632"/>
      <c r="D550" s="633"/>
      <c r="E550" s="629"/>
      <c r="F550" s="627"/>
      <c r="G550" s="454"/>
      <c r="H550" s="384"/>
      <c r="I550" s="384"/>
      <c r="J550" s="384"/>
      <c r="K550" s="384"/>
      <c r="L550" s="384"/>
      <c r="M550" s="384"/>
      <c r="N550" s="384"/>
      <c r="O550" s="384"/>
      <c r="P550" s="384"/>
      <c r="Q550" s="384"/>
      <c r="R550" s="384"/>
      <c r="S550" s="384"/>
      <c r="T550" s="384"/>
      <c r="U550" s="384"/>
      <c r="V550" s="384"/>
      <c r="W550" s="384"/>
      <c r="X550" s="384"/>
      <c r="Y550" s="384"/>
      <c r="Z550" s="384"/>
      <c r="AA550" s="384"/>
      <c r="AB550" s="384"/>
      <c r="AC550" s="384"/>
      <c r="AD550" s="384"/>
      <c r="AE550" s="384"/>
      <c r="AF550" s="384"/>
      <c r="AG550" s="384"/>
      <c r="AH550" s="384"/>
      <c r="AI550" s="384"/>
      <c r="AJ550" s="384"/>
      <c r="AK550" s="384"/>
      <c r="AL550" s="384"/>
      <c r="AM550" s="628"/>
    </row>
    <row r="551" spans="1:39" ht="12.75">
      <c r="A551" s="630"/>
      <c r="B551" s="631"/>
      <c r="C551" s="632"/>
      <c r="D551" s="633"/>
      <c r="E551" s="629"/>
      <c r="F551" s="382"/>
      <c r="G551" s="454"/>
      <c r="H551" s="391"/>
      <c r="I551" s="391"/>
      <c r="J551" s="391"/>
      <c r="K551" s="391"/>
      <c r="L551" s="391"/>
      <c r="M551" s="391"/>
      <c r="N551" s="391"/>
      <c r="O551" s="391"/>
      <c r="P551" s="391"/>
      <c r="Q551" s="391"/>
      <c r="R551" s="391"/>
      <c r="S551" s="391"/>
      <c r="T551" s="391"/>
      <c r="U551" s="391"/>
      <c r="V551" s="391"/>
      <c r="W551" s="391"/>
      <c r="X551" s="391"/>
      <c r="Y551" s="391"/>
      <c r="Z551" s="391"/>
      <c r="AA551" s="391"/>
      <c r="AB551" s="391"/>
      <c r="AC551" s="391"/>
      <c r="AD551" s="391"/>
      <c r="AE551" s="391"/>
      <c r="AF551" s="391"/>
      <c r="AG551" s="391"/>
      <c r="AH551" s="391"/>
      <c r="AI551" s="391"/>
      <c r="AJ551" s="391"/>
      <c r="AK551" s="391"/>
      <c r="AL551" s="391"/>
      <c r="AM551" s="628"/>
    </row>
    <row r="552" spans="1:39" ht="12.75">
      <c r="A552" s="630"/>
      <c r="B552" s="631"/>
      <c r="C552" s="632"/>
      <c r="D552" s="633"/>
      <c r="E552" s="629"/>
      <c r="F552" s="382"/>
      <c r="G552" s="454"/>
      <c r="H552" s="391"/>
      <c r="I552" s="391"/>
      <c r="J552" s="391"/>
      <c r="K552" s="391"/>
      <c r="L552" s="391"/>
      <c r="M552" s="391"/>
      <c r="N552" s="391"/>
      <c r="O552" s="391"/>
      <c r="P552" s="391"/>
      <c r="Q552" s="391"/>
      <c r="R552" s="391"/>
      <c r="S552" s="391"/>
      <c r="T552" s="391"/>
      <c r="U552" s="391"/>
      <c r="V552" s="391"/>
      <c r="W552" s="391"/>
      <c r="X552" s="391"/>
      <c r="Y552" s="391"/>
      <c r="Z552" s="391"/>
      <c r="AA552" s="391"/>
      <c r="AB552" s="391"/>
      <c r="AC552" s="391"/>
      <c r="AD552" s="391"/>
      <c r="AE552" s="391"/>
      <c r="AF552" s="391"/>
      <c r="AG552" s="391"/>
      <c r="AH552" s="391"/>
      <c r="AI552" s="391"/>
      <c r="AJ552" s="391"/>
      <c r="AK552" s="391"/>
      <c r="AL552" s="391"/>
      <c r="AM552" s="628"/>
    </row>
    <row r="553" spans="1:39" ht="12.75">
      <c r="A553" s="630"/>
      <c r="B553" s="631"/>
      <c r="C553" s="632"/>
      <c r="D553" s="633"/>
      <c r="E553" s="629"/>
      <c r="F553" s="382"/>
      <c r="G553" s="454"/>
      <c r="H553" s="384"/>
      <c r="I553" s="384"/>
      <c r="J553" s="384"/>
      <c r="K553" s="384"/>
      <c r="L553" s="384"/>
      <c r="M553" s="384"/>
      <c r="N553" s="384"/>
      <c r="O553" s="384"/>
      <c r="P553" s="384"/>
      <c r="Q553" s="384"/>
      <c r="R553" s="384"/>
      <c r="S553" s="384"/>
      <c r="T553" s="384"/>
      <c r="U553" s="384"/>
      <c r="V553" s="384"/>
      <c r="W553" s="384"/>
      <c r="X553" s="384"/>
      <c r="Y553" s="384"/>
      <c r="Z553" s="384"/>
      <c r="AA553" s="384"/>
      <c r="AB553" s="384"/>
      <c r="AC553" s="384"/>
      <c r="AD553" s="384"/>
      <c r="AE553" s="384"/>
      <c r="AF553" s="384"/>
      <c r="AG553" s="384"/>
      <c r="AH553" s="384"/>
      <c r="AI553" s="384"/>
      <c r="AJ553" s="384"/>
      <c r="AK553" s="384"/>
      <c r="AL553" s="384"/>
      <c r="AM553" s="624"/>
    </row>
    <row r="554" spans="1:39" ht="12.75">
      <c r="A554" s="630"/>
      <c r="B554" s="631"/>
      <c r="C554" s="632"/>
      <c r="D554" s="633"/>
      <c r="E554" s="629"/>
      <c r="F554" s="626"/>
      <c r="G554" s="454"/>
      <c r="H554" s="384"/>
      <c r="I554" s="384"/>
      <c r="J554" s="384"/>
      <c r="K554" s="384"/>
      <c r="L554" s="384"/>
      <c r="M554" s="384"/>
      <c r="N554" s="384"/>
      <c r="O554" s="384"/>
      <c r="P554" s="384"/>
      <c r="Q554" s="384"/>
      <c r="R554" s="384"/>
      <c r="S554" s="384"/>
      <c r="T554" s="384"/>
      <c r="U554" s="384"/>
      <c r="V554" s="384"/>
      <c r="W554" s="384"/>
      <c r="X554" s="384"/>
      <c r="Y554" s="384"/>
      <c r="Z554" s="384"/>
      <c r="AA554" s="384"/>
      <c r="AB554" s="384"/>
      <c r="AC554" s="384"/>
      <c r="AD554" s="384"/>
      <c r="AE554" s="384"/>
      <c r="AF554" s="384"/>
      <c r="AG554" s="384"/>
      <c r="AH554" s="384"/>
      <c r="AI554" s="384"/>
      <c r="AJ554" s="384"/>
      <c r="AK554" s="384"/>
      <c r="AL554" s="384"/>
      <c r="AM554" s="628"/>
    </row>
    <row r="555" spans="1:39" ht="12.75">
      <c r="A555" s="630"/>
      <c r="B555" s="631"/>
      <c r="C555" s="632"/>
      <c r="D555" s="633"/>
      <c r="E555" s="629"/>
      <c r="F555" s="627"/>
      <c r="G555" s="454"/>
      <c r="H555" s="384"/>
      <c r="I555" s="384"/>
      <c r="J555" s="384"/>
      <c r="K555" s="384"/>
      <c r="L555" s="384"/>
      <c r="M555" s="384"/>
      <c r="N555" s="384"/>
      <c r="O555" s="384"/>
      <c r="P555" s="384"/>
      <c r="Q555" s="384"/>
      <c r="R555" s="384"/>
      <c r="S555" s="384"/>
      <c r="T555" s="384"/>
      <c r="U555" s="384"/>
      <c r="V555" s="384"/>
      <c r="W555" s="384"/>
      <c r="X555" s="384"/>
      <c r="Y555" s="384"/>
      <c r="Z555" s="384"/>
      <c r="AA555" s="384"/>
      <c r="AB555" s="384"/>
      <c r="AC555" s="384"/>
      <c r="AD555" s="384"/>
      <c r="AE555" s="384"/>
      <c r="AF555" s="384"/>
      <c r="AG555" s="384"/>
      <c r="AH555" s="384"/>
      <c r="AI555" s="384"/>
      <c r="AJ555" s="384"/>
      <c r="AK555" s="384"/>
      <c r="AL555" s="384"/>
      <c r="AM555" s="628"/>
    </row>
    <row r="556" spans="1:39" ht="12.75">
      <c r="A556" s="630"/>
      <c r="B556" s="631"/>
      <c r="C556" s="632"/>
      <c r="D556" s="633"/>
      <c r="E556" s="629"/>
      <c r="F556" s="382"/>
      <c r="G556" s="454"/>
      <c r="H556" s="384"/>
      <c r="I556" s="384"/>
      <c r="J556" s="384"/>
      <c r="K556" s="384"/>
      <c r="L556" s="384"/>
      <c r="M556" s="384"/>
      <c r="N556" s="384"/>
      <c r="O556" s="384"/>
      <c r="P556" s="384"/>
      <c r="Q556" s="384"/>
      <c r="R556" s="384"/>
      <c r="S556" s="384"/>
      <c r="T556" s="384"/>
      <c r="U556" s="384"/>
      <c r="V556" s="384"/>
      <c r="W556" s="384"/>
      <c r="X556" s="384"/>
      <c r="Y556" s="384"/>
      <c r="Z556" s="384"/>
      <c r="AA556" s="384"/>
      <c r="AB556" s="384"/>
      <c r="AC556" s="384"/>
      <c r="AD556" s="384"/>
      <c r="AE556" s="384"/>
      <c r="AF556" s="384"/>
      <c r="AG556" s="384"/>
      <c r="AH556" s="384"/>
      <c r="AI556" s="384"/>
      <c r="AJ556" s="384"/>
      <c r="AK556" s="384"/>
      <c r="AL556" s="384"/>
      <c r="AM556" s="628"/>
    </row>
    <row r="557" spans="1:39" ht="12.75">
      <c r="A557" s="630"/>
      <c r="B557" s="631"/>
      <c r="C557" s="632"/>
      <c r="D557" s="633"/>
      <c r="E557" s="629"/>
      <c r="F557" s="626"/>
      <c r="G557" s="454"/>
      <c r="H557" s="384"/>
      <c r="I557" s="384"/>
      <c r="J557" s="384"/>
      <c r="K557" s="384"/>
      <c r="L557" s="384"/>
      <c r="M557" s="384"/>
      <c r="N557" s="384"/>
      <c r="O557" s="384"/>
      <c r="P557" s="384"/>
      <c r="Q557" s="384"/>
      <c r="R557" s="384"/>
      <c r="S557" s="384"/>
      <c r="T557" s="384"/>
      <c r="U557" s="384"/>
      <c r="V557" s="384"/>
      <c r="W557" s="384"/>
      <c r="X557" s="384"/>
      <c r="Y557" s="384"/>
      <c r="Z557" s="384"/>
      <c r="AA557" s="384"/>
      <c r="AB557" s="384"/>
      <c r="AC557" s="384"/>
      <c r="AD557" s="384"/>
      <c r="AE557" s="384"/>
      <c r="AF557" s="384"/>
      <c r="AG557" s="384"/>
      <c r="AH557" s="384"/>
      <c r="AI557" s="384"/>
      <c r="AJ557" s="384"/>
      <c r="AK557" s="384"/>
      <c r="AL557" s="384"/>
      <c r="AM557" s="628"/>
    </row>
    <row r="558" spans="1:39" ht="12.75">
      <c r="A558" s="630"/>
      <c r="B558" s="631"/>
      <c r="C558" s="632"/>
      <c r="D558" s="633"/>
      <c r="E558" s="629"/>
      <c r="F558" s="627"/>
      <c r="G558" s="454"/>
      <c r="H558" s="384"/>
      <c r="I558" s="384"/>
      <c r="J558" s="384"/>
      <c r="K558" s="384"/>
      <c r="L558" s="384"/>
      <c r="M558" s="384"/>
      <c r="N558" s="384"/>
      <c r="O558" s="384"/>
      <c r="P558" s="384"/>
      <c r="Q558" s="384"/>
      <c r="R558" s="384"/>
      <c r="S558" s="384"/>
      <c r="T558" s="384"/>
      <c r="U558" s="384"/>
      <c r="V558" s="384"/>
      <c r="W558" s="384"/>
      <c r="X558" s="384"/>
      <c r="Y558" s="384"/>
      <c r="Z558" s="384"/>
      <c r="AA558" s="384"/>
      <c r="AB558" s="384"/>
      <c r="AC558" s="384"/>
      <c r="AD558" s="384"/>
      <c r="AE558" s="384"/>
      <c r="AF558" s="384"/>
      <c r="AG558" s="384"/>
      <c r="AH558" s="384"/>
      <c r="AI558" s="384"/>
      <c r="AJ558" s="384"/>
      <c r="AK558" s="384"/>
      <c r="AL558" s="384"/>
      <c r="AM558" s="628"/>
    </row>
    <row r="559" spans="1:39" ht="12.75">
      <c r="A559" s="630"/>
      <c r="B559" s="631"/>
      <c r="C559" s="632"/>
      <c r="D559" s="633"/>
      <c r="E559" s="629"/>
      <c r="F559" s="382"/>
      <c r="G559" s="454"/>
      <c r="H559" s="391"/>
      <c r="I559" s="391"/>
      <c r="J559" s="391"/>
      <c r="K559" s="391"/>
      <c r="L559" s="391"/>
      <c r="M559" s="391"/>
      <c r="N559" s="391"/>
      <c r="O559" s="391"/>
      <c r="P559" s="391"/>
      <c r="Q559" s="391"/>
      <c r="R559" s="391"/>
      <c r="S559" s="391"/>
      <c r="T559" s="391"/>
      <c r="U559" s="391"/>
      <c r="V559" s="391"/>
      <c r="W559" s="391"/>
      <c r="X559" s="391"/>
      <c r="Y559" s="391"/>
      <c r="Z559" s="391"/>
      <c r="AA559" s="391"/>
      <c r="AB559" s="391"/>
      <c r="AC559" s="391"/>
      <c r="AD559" s="391"/>
      <c r="AE559" s="391"/>
      <c r="AF559" s="391"/>
      <c r="AG559" s="391"/>
      <c r="AH559" s="391"/>
      <c r="AI559" s="391"/>
      <c r="AJ559" s="391"/>
      <c r="AK559" s="391"/>
      <c r="AL559" s="391"/>
      <c r="AM559" s="628"/>
    </row>
    <row r="560" spans="1:39" ht="12.75">
      <c r="A560" s="630"/>
      <c r="B560" s="631"/>
      <c r="C560" s="632"/>
      <c r="D560" s="633"/>
      <c r="E560" s="629"/>
      <c r="F560" s="382"/>
      <c r="G560" s="454"/>
      <c r="H560" s="391"/>
      <c r="I560" s="391"/>
      <c r="J560" s="391"/>
      <c r="K560" s="391"/>
      <c r="L560" s="391"/>
      <c r="M560" s="391"/>
      <c r="N560" s="391"/>
      <c r="O560" s="391"/>
      <c r="P560" s="391"/>
      <c r="Q560" s="391"/>
      <c r="R560" s="391"/>
      <c r="S560" s="391"/>
      <c r="T560" s="391"/>
      <c r="U560" s="391"/>
      <c r="V560" s="391"/>
      <c r="W560" s="391"/>
      <c r="X560" s="391"/>
      <c r="Y560" s="391"/>
      <c r="Z560" s="391"/>
      <c r="AA560" s="391"/>
      <c r="AB560" s="391"/>
      <c r="AC560" s="391"/>
      <c r="AD560" s="391"/>
      <c r="AE560" s="391"/>
      <c r="AF560" s="391"/>
      <c r="AG560" s="391"/>
      <c r="AH560" s="391"/>
      <c r="AI560" s="391"/>
      <c r="AJ560" s="391"/>
      <c r="AK560" s="391"/>
      <c r="AL560" s="391"/>
      <c r="AM560" s="628"/>
    </row>
    <row r="561" spans="1:39" ht="12.75">
      <c r="A561" s="630"/>
      <c r="B561" s="631"/>
      <c r="C561" s="632"/>
      <c r="D561" s="633"/>
      <c r="E561" s="629"/>
      <c r="F561" s="382"/>
      <c r="G561" s="454"/>
      <c r="H561" s="384"/>
      <c r="I561" s="384"/>
      <c r="J561" s="384"/>
      <c r="K561" s="384"/>
      <c r="L561" s="384"/>
      <c r="M561" s="384"/>
      <c r="N561" s="384"/>
      <c r="O561" s="384"/>
      <c r="P561" s="384"/>
      <c r="Q561" s="384"/>
      <c r="R561" s="384"/>
      <c r="S561" s="384"/>
      <c r="T561" s="384"/>
      <c r="U561" s="384"/>
      <c r="V561" s="384"/>
      <c r="W561" s="384"/>
      <c r="X561" s="384"/>
      <c r="Y561" s="384"/>
      <c r="Z561" s="384"/>
      <c r="AA561" s="384"/>
      <c r="AB561" s="384"/>
      <c r="AC561" s="384"/>
      <c r="AD561" s="384"/>
      <c r="AE561" s="384"/>
      <c r="AF561" s="384"/>
      <c r="AG561" s="384"/>
      <c r="AH561" s="384"/>
      <c r="AI561" s="384"/>
      <c r="AJ561" s="384"/>
      <c r="AK561" s="384"/>
      <c r="AL561" s="384"/>
      <c r="AM561" s="624"/>
    </row>
    <row r="562" spans="1:39" ht="12.75">
      <c r="A562" s="630"/>
      <c r="B562" s="631"/>
      <c r="C562" s="632"/>
      <c r="D562" s="633"/>
      <c r="E562" s="629"/>
      <c r="F562" s="626"/>
      <c r="G562" s="454"/>
      <c r="H562" s="384"/>
      <c r="I562" s="384"/>
      <c r="J562" s="384"/>
      <c r="K562" s="384"/>
      <c r="L562" s="384"/>
      <c r="M562" s="384"/>
      <c r="N562" s="384"/>
      <c r="O562" s="384"/>
      <c r="P562" s="384"/>
      <c r="Q562" s="384"/>
      <c r="R562" s="384"/>
      <c r="S562" s="384"/>
      <c r="T562" s="384"/>
      <c r="U562" s="384"/>
      <c r="V562" s="384"/>
      <c r="W562" s="384"/>
      <c r="X562" s="384"/>
      <c r="Y562" s="384"/>
      <c r="Z562" s="384"/>
      <c r="AA562" s="384"/>
      <c r="AB562" s="384"/>
      <c r="AC562" s="384"/>
      <c r="AD562" s="384"/>
      <c r="AE562" s="384"/>
      <c r="AF562" s="384"/>
      <c r="AG562" s="384"/>
      <c r="AH562" s="384"/>
      <c r="AI562" s="384"/>
      <c r="AJ562" s="384"/>
      <c r="AK562" s="384"/>
      <c r="AL562" s="384"/>
      <c r="AM562" s="628"/>
    </row>
    <row r="563" spans="1:39" ht="12.75">
      <c r="A563" s="630"/>
      <c r="B563" s="631"/>
      <c r="C563" s="632"/>
      <c r="D563" s="633"/>
      <c r="E563" s="629"/>
      <c r="F563" s="627"/>
      <c r="G563" s="454"/>
      <c r="H563" s="384"/>
      <c r="I563" s="384"/>
      <c r="J563" s="384"/>
      <c r="K563" s="384"/>
      <c r="L563" s="384"/>
      <c r="M563" s="384"/>
      <c r="N563" s="384"/>
      <c r="O563" s="384"/>
      <c r="P563" s="384"/>
      <c r="Q563" s="384"/>
      <c r="R563" s="384"/>
      <c r="S563" s="384"/>
      <c r="T563" s="384"/>
      <c r="U563" s="384"/>
      <c r="V563" s="384"/>
      <c r="W563" s="384"/>
      <c r="X563" s="384"/>
      <c r="Y563" s="384"/>
      <c r="Z563" s="384"/>
      <c r="AA563" s="384"/>
      <c r="AB563" s="384"/>
      <c r="AC563" s="384"/>
      <c r="AD563" s="384"/>
      <c r="AE563" s="384"/>
      <c r="AF563" s="384"/>
      <c r="AG563" s="384"/>
      <c r="AH563" s="384"/>
      <c r="AI563" s="384"/>
      <c r="AJ563" s="384"/>
      <c r="AK563" s="384"/>
      <c r="AL563" s="384"/>
      <c r="AM563" s="628"/>
    </row>
    <row r="564" spans="1:39" ht="12.75">
      <c r="A564" s="630"/>
      <c r="B564" s="631"/>
      <c r="C564" s="632"/>
      <c r="D564" s="633"/>
      <c r="E564" s="629"/>
      <c r="F564" s="382"/>
      <c r="G564" s="454"/>
      <c r="H564" s="384"/>
      <c r="I564" s="384"/>
      <c r="J564" s="384"/>
      <c r="K564" s="384"/>
      <c r="L564" s="384"/>
      <c r="M564" s="384"/>
      <c r="N564" s="384"/>
      <c r="O564" s="384"/>
      <c r="P564" s="384"/>
      <c r="Q564" s="384"/>
      <c r="R564" s="384"/>
      <c r="S564" s="384"/>
      <c r="T564" s="384"/>
      <c r="U564" s="384"/>
      <c r="V564" s="384"/>
      <c r="W564" s="384"/>
      <c r="X564" s="384"/>
      <c r="Y564" s="384"/>
      <c r="Z564" s="384"/>
      <c r="AA564" s="384"/>
      <c r="AB564" s="384"/>
      <c r="AC564" s="384"/>
      <c r="AD564" s="384"/>
      <c r="AE564" s="384"/>
      <c r="AF564" s="384"/>
      <c r="AG564" s="384"/>
      <c r="AH564" s="384"/>
      <c r="AI564" s="384"/>
      <c r="AJ564" s="384"/>
      <c r="AK564" s="384"/>
      <c r="AL564" s="384"/>
      <c r="AM564" s="628"/>
    </row>
    <row r="565" spans="1:39" ht="12.75">
      <c r="A565" s="630"/>
      <c r="B565" s="631"/>
      <c r="C565" s="632"/>
      <c r="D565" s="633"/>
      <c r="E565" s="629"/>
      <c r="F565" s="626"/>
      <c r="G565" s="454"/>
      <c r="H565" s="384"/>
      <c r="I565" s="384"/>
      <c r="J565" s="384"/>
      <c r="K565" s="384"/>
      <c r="L565" s="384"/>
      <c r="M565" s="384"/>
      <c r="N565" s="384"/>
      <c r="O565" s="384"/>
      <c r="P565" s="384"/>
      <c r="Q565" s="384"/>
      <c r="R565" s="384"/>
      <c r="S565" s="384"/>
      <c r="T565" s="384"/>
      <c r="U565" s="384"/>
      <c r="V565" s="384"/>
      <c r="W565" s="384"/>
      <c r="X565" s="384"/>
      <c r="Y565" s="384"/>
      <c r="Z565" s="384"/>
      <c r="AA565" s="384"/>
      <c r="AB565" s="384"/>
      <c r="AC565" s="384"/>
      <c r="AD565" s="384"/>
      <c r="AE565" s="384"/>
      <c r="AF565" s="384"/>
      <c r="AG565" s="384"/>
      <c r="AH565" s="384"/>
      <c r="AI565" s="384"/>
      <c r="AJ565" s="384"/>
      <c r="AK565" s="384"/>
      <c r="AL565" s="384"/>
      <c r="AM565" s="628"/>
    </row>
    <row r="566" spans="1:39" ht="12.75">
      <c r="A566" s="630"/>
      <c r="B566" s="631"/>
      <c r="C566" s="632"/>
      <c r="D566" s="633"/>
      <c r="E566" s="629"/>
      <c r="F566" s="627"/>
      <c r="G566" s="454"/>
      <c r="H566" s="384"/>
      <c r="I566" s="384"/>
      <c r="J566" s="384"/>
      <c r="K566" s="384"/>
      <c r="L566" s="384"/>
      <c r="M566" s="384"/>
      <c r="N566" s="384"/>
      <c r="O566" s="384"/>
      <c r="P566" s="384"/>
      <c r="Q566" s="384"/>
      <c r="R566" s="384"/>
      <c r="S566" s="384"/>
      <c r="T566" s="384"/>
      <c r="U566" s="384"/>
      <c r="V566" s="384"/>
      <c r="W566" s="384"/>
      <c r="X566" s="384"/>
      <c r="Y566" s="384"/>
      <c r="Z566" s="384"/>
      <c r="AA566" s="384"/>
      <c r="AB566" s="384"/>
      <c r="AC566" s="384"/>
      <c r="AD566" s="384"/>
      <c r="AE566" s="384"/>
      <c r="AF566" s="384"/>
      <c r="AG566" s="384"/>
      <c r="AH566" s="384"/>
      <c r="AI566" s="384"/>
      <c r="AJ566" s="384"/>
      <c r="AK566" s="384"/>
      <c r="AL566" s="384"/>
      <c r="AM566" s="628"/>
    </row>
    <row r="567" spans="1:39" ht="12.75">
      <c r="A567" s="630"/>
      <c r="B567" s="631"/>
      <c r="C567" s="632"/>
      <c r="D567" s="633"/>
      <c r="E567" s="629"/>
      <c r="F567" s="382"/>
      <c r="G567" s="454"/>
      <c r="H567" s="391"/>
      <c r="I567" s="391"/>
      <c r="J567" s="391"/>
      <c r="K567" s="391"/>
      <c r="L567" s="391"/>
      <c r="M567" s="391"/>
      <c r="N567" s="391"/>
      <c r="O567" s="391"/>
      <c r="P567" s="391"/>
      <c r="Q567" s="391"/>
      <c r="R567" s="391"/>
      <c r="S567" s="391"/>
      <c r="T567" s="391"/>
      <c r="U567" s="391"/>
      <c r="V567" s="391"/>
      <c r="W567" s="391"/>
      <c r="X567" s="391"/>
      <c r="Y567" s="391"/>
      <c r="Z567" s="391"/>
      <c r="AA567" s="391"/>
      <c r="AB567" s="391"/>
      <c r="AC567" s="391"/>
      <c r="AD567" s="391"/>
      <c r="AE567" s="391"/>
      <c r="AF567" s="391"/>
      <c r="AG567" s="391"/>
      <c r="AH567" s="391"/>
      <c r="AI567" s="391"/>
      <c r="AJ567" s="391"/>
      <c r="AK567" s="391"/>
      <c r="AL567" s="391"/>
      <c r="AM567" s="628"/>
    </row>
    <row r="568" spans="1:39" ht="12.75">
      <c r="A568" s="630"/>
      <c r="B568" s="631"/>
      <c r="C568" s="632"/>
      <c r="D568" s="633"/>
      <c r="E568" s="629"/>
      <c r="F568" s="382"/>
      <c r="G568" s="454"/>
      <c r="H568" s="391"/>
      <c r="I568" s="391"/>
      <c r="J568" s="391"/>
      <c r="K568" s="391"/>
      <c r="L568" s="391"/>
      <c r="M568" s="391"/>
      <c r="N568" s="391"/>
      <c r="O568" s="391"/>
      <c r="P568" s="391"/>
      <c r="Q568" s="391"/>
      <c r="R568" s="391"/>
      <c r="S568" s="391"/>
      <c r="T568" s="391"/>
      <c r="U568" s="391"/>
      <c r="V568" s="391"/>
      <c r="W568" s="391"/>
      <c r="X568" s="391"/>
      <c r="Y568" s="391"/>
      <c r="Z568" s="391"/>
      <c r="AA568" s="391"/>
      <c r="AB568" s="391"/>
      <c r="AC568" s="391"/>
      <c r="AD568" s="391"/>
      <c r="AE568" s="391"/>
      <c r="AF568" s="391"/>
      <c r="AG568" s="391"/>
      <c r="AH568" s="391"/>
      <c r="AI568" s="391"/>
      <c r="AJ568" s="391"/>
      <c r="AK568" s="391"/>
      <c r="AL568" s="391"/>
      <c r="AM568" s="628"/>
    </row>
  </sheetData>
  <sheetProtection/>
  <mergeCells count="641">
    <mergeCell ref="E326:E329"/>
    <mergeCell ref="AM326:AM333"/>
    <mergeCell ref="F327:F328"/>
    <mergeCell ref="E330:E333"/>
    <mergeCell ref="F330:F331"/>
    <mergeCell ref="A326:A333"/>
    <mergeCell ref="B326:B333"/>
    <mergeCell ref="C326:C333"/>
    <mergeCell ref="D326:D333"/>
    <mergeCell ref="AM294:AM301"/>
    <mergeCell ref="E298:E301"/>
    <mergeCell ref="A294:A301"/>
    <mergeCell ref="B294:B301"/>
    <mergeCell ref="C294:C301"/>
    <mergeCell ref="D294:D301"/>
    <mergeCell ref="E294:E297"/>
    <mergeCell ref="F295:F296"/>
    <mergeCell ref="F298:F299"/>
    <mergeCell ref="E286:E289"/>
    <mergeCell ref="AM286:AM293"/>
    <mergeCell ref="F287:F288"/>
    <mergeCell ref="E290:E293"/>
    <mergeCell ref="F290:F291"/>
    <mergeCell ref="A286:A293"/>
    <mergeCell ref="B286:B293"/>
    <mergeCell ref="C286:C293"/>
    <mergeCell ref="D286:D293"/>
    <mergeCell ref="E278:E281"/>
    <mergeCell ref="AM278:AM285"/>
    <mergeCell ref="F279:F280"/>
    <mergeCell ref="E282:E285"/>
    <mergeCell ref="F282:F283"/>
    <mergeCell ref="A278:A285"/>
    <mergeCell ref="B278:B285"/>
    <mergeCell ref="C278:C285"/>
    <mergeCell ref="D278:D285"/>
    <mergeCell ref="E270:E273"/>
    <mergeCell ref="AM270:AM277"/>
    <mergeCell ref="F271:F272"/>
    <mergeCell ref="E274:E277"/>
    <mergeCell ref="F274:F275"/>
    <mergeCell ref="A270:A277"/>
    <mergeCell ref="B270:B277"/>
    <mergeCell ref="C270:C277"/>
    <mergeCell ref="D270:D277"/>
    <mergeCell ref="A262:A269"/>
    <mergeCell ref="B262:B269"/>
    <mergeCell ref="C262:C269"/>
    <mergeCell ref="D262:D269"/>
    <mergeCell ref="E254:E257"/>
    <mergeCell ref="AM254:AM261"/>
    <mergeCell ref="F255:F256"/>
    <mergeCell ref="E258:E261"/>
    <mergeCell ref="F258:F259"/>
    <mergeCell ref="A254:A261"/>
    <mergeCell ref="B254:B261"/>
    <mergeCell ref="C254:C261"/>
    <mergeCell ref="D254:D261"/>
    <mergeCell ref="E246:E249"/>
    <mergeCell ref="AM246:AM253"/>
    <mergeCell ref="F247:F248"/>
    <mergeCell ref="E250:E253"/>
    <mergeCell ref="F250:F251"/>
    <mergeCell ref="A246:A253"/>
    <mergeCell ref="B246:B253"/>
    <mergeCell ref="C246:C253"/>
    <mergeCell ref="D246:D253"/>
    <mergeCell ref="E238:E241"/>
    <mergeCell ref="AM238:AM245"/>
    <mergeCell ref="F239:F240"/>
    <mergeCell ref="E242:E245"/>
    <mergeCell ref="F242:F243"/>
    <mergeCell ref="A238:A245"/>
    <mergeCell ref="B238:B245"/>
    <mergeCell ref="C238:C245"/>
    <mergeCell ref="D238:D245"/>
    <mergeCell ref="AM230:AM237"/>
    <mergeCell ref="F231:F232"/>
    <mergeCell ref="E234:E237"/>
    <mergeCell ref="F234:F235"/>
    <mergeCell ref="F226:F227"/>
    <mergeCell ref="A230:A237"/>
    <mergeCell ref="B230:B237"/>
    <mergeCell ref="C230:C237"/>
    <mergeCell ref="D230:D237"/>
    <mergeCell ref="E230:E233"/>
    <mergeCell ref="D222:D229"/>
    <mergeCell ref="E222:E225"/>
    <mergeCell ref="A222:A229"/>
    <mergeCell ref="B222:B229"/>
    <mergeCell ref="A214:A221"/>
    <mergeCell ref="B214:B221"/>
    <mergeCell ref="C214:C221"/>
    <mergeCell ref="D214:D221"/>
    <mergeCell ref="A190:A197"/>
    <mergeCell ref="B190:B197"/>
    <mergeCell ref="E198:E201"/>
    <mergeCell ref="AM198:AM205"/>
    <mergeCell ref="F199:F200"/>
    <mergeCell ref="E202:E205"/>
    <mergeCell ref="F202:F203"/>
    <mergeCell ref="A198:A205"/>
    <mergeCell ref="B198:B205"/>
    <mergeCell ref="C198:C205"/>
    <mergeCell ref="E182:E185"/>
    <mergeCell ref="AM182:AM189"/>
    <mergeCell ref="E186:E189"/>
    <mergeCell ref="F186:F187"/>
    <mergeCell ref="F183:F184"/>
    <mergeCell ref="A182:A189"/>
    <mergeCell ref="B182:B189"/>
    <mergeCell ref="C182:C189"/>
    <mergeCell ref="D182:D189"/>
    <mergeCell ref="E174:E177"/>
    <mergeCell ref="AM174:AM181"/>
    <mergeCell ref="F175:F176"/>
    <mergeCell ref="E178:E181"/>
    <mergeCell ref="F178:F179"/>
    <mergeCell ref="A174:A181"/>
    <mergeCell ref="B174:B181"/>
    <mergeCell ref="C174:C181"/>
    <mergeCell ref="D174:D181"/>
    <mergeCell ref="AM166:AM173"/>
    <mergeCell ref="F167:F168"/>
    <mergeCell ref="E170:E173"/>
    <mergeCell ref="F170:F171"/>
    <mergeCell ref="B166:B173"/>
    <mergeCell ref="C166:C173"/>
    <mergeCell ref="D166:D173"/>
    <mergeCell ref="E166:E169"/>
    <mergeCell ref="AM158:AM165"/>
    <mergeCell ref="F159:F160"/>
    <mergeCell ref="E162:E165"/>
    <mergeCell ref="F162:F163"/>
    <mergeCell ref="AM150:AM157"/>
    <mergeCell ref="F151:F152"/>
    <mergeCell ref="E154:E157"/>
    <mergeCell ref="F154:F155"/>
    <mergeCell ref="D142:D149"/>
    <mergeCell ref="AM142:AM149"/>
    <mergeCell ref="F143:F144"/>
    <mergeCell ref="E146:E149"/>
    <mergeCell ref="F146:F147"/>
    <mergeCell ref="E142:E145"/>
    <mergeCell ref="C222:C229"/>
    <mergeCell ref="A142:A149"/>
    <mergeCell ref="B142:B149"/>
    <mergeCell ref="C142:C149"/>
    <mergeCell ref="C150:C157"/>
    <mergeCell ref="A158:A165"/>
    <mergeCell ref="B158:B165"/>
    <mergeCell ref="C158:C165"/>
    <mergeCell ref="A206:A213"/>
    <mergeCell ref="B206:B213"/>
    <mergeCell ref="AM262:AM269"/>
    <mergeCell ref="F263:F264"/>
    <mergeCell ref="E266:E269"/>
    <mergeCell ref="F266:F267"/>
    <mergeCell ref="E262:E265"/>
    <mergeCell ref="F215:F216"/>
    <mergeCell ref="E218:E221"/>
    <mergeCell ref="F218:F219"/>
    <mergeCell ref="A150:A157"/>
    <mergeCell ref="B150:B157"/>
    <mergeCell ref="D150:D157"/>
    <mergeCell ref="E150:E153"/>
    <mergeCell ref="D158:D165"/>
    <mergeCell ref="E158:E161"/>
    <mergeCell ref="A166:A173"/>
    <mergeCell ref="AM222:AM229"/>
    <mergeCell ref="F223:F224"/>
    <mergeCell ref="E226:E229"/>
    <mergeCell ref="AM206:AM213"/>
    <mergeCell ref="F207:F208"/>
    <mergeCell ref="E210:E213"/>
    <mergeCell ref="F210:F211"/>
    <mergeCell ref="E206:E209"/>
    <mergeCell ref="E214:E217"/>
    <mergeCell ref="AM214:AM221"/>
    <mergeCell ref="C206:C213"/>
    <mergeCell ref="D206:D213"/>
    <mergeCell ref="D198:D205"/>
    <mergeCell ref="C190:C197"/>
    <mergeCell ref="D190:D197"/>
    <mergeCell ref="E190:E193"/>
    <mergeCell ref="AM190:AM197"/>
    <mergeCell ref="F191:F192"/>
    <mergeCell ref="E194:E197"/>
    <mergeCell ref="F194:F195"/>
    <mergeCell ref="A430:A437"/>
    <mergeCell ref="B430:B437"/>
    <mergeCell ref="C430:C437"/>
    <mergeCell ref="D430:D437"/>
    <mergeCell ref="H4:H5"/>
    <mergeCell ref="I4:AL4"/>
    <mergeCell ref="E434:E437"/>
    <mergeCell ref="F434:F435"/>
    <mergeCell ref="F119:F120"/>
    <mergeCell ref="E122:E125"/>
    <mergeCell ref="F122:F123"/>
    <mergeCell ref="E374:E377"/>
    <mergeCell ref="F71:F72"/>
    <mergeCell ref="E74:E77"/>
    <mergeCell ref="AM4:AM5"/>
    <mergeCell ref="E6:E9"/>
    <mergeCell ref="A3:AM3"/>
    <mergeCell ref="A4:A5"/>
    <mergeCell ref="B4:B5"/>
    <mergeCell ref="C4:C5"/>
    <mergeCell ref="D4:D5"/>
    <mergeCell ref="E4:E5"/>
    <mergeCell ref="F4:F5"/>
    <mergeCell ref="G4:G5"/>
    <mergeCell ref="AM6:AM13"/>
    <mergeCell ref="F7:F8"/>
    <mergeCell ref="E10:E13"/>
    <mergeCell ref="F10:F11"/>
    <mergeCell ref="A126:A133"/>
    <mergeCell ref="AM14:AM21"/>
    <mergeCell ref="F15:F16"/>
    <mergeCell ref="E18:E21"/>
    <mergeCell ref="F18:F19"/>
    <mergeCell ref="E14:E17"/>
    <mergeCell ref="A14:A21"/>
    <mergeCell ref="B14:B21"/>
    <mergeCell ref="C14:C21"/>
    <mergeCell ref="D14:D21"/>
    <mergeCell ref="A30:A37"/>
    <mergeCell ref="B30:B37"/>
    <mergeCell ref="A46:A53"/>
    <mergeCell ref="B46:B53"/>
    <mergeCell ref="A38:A45"/>
    <mergeCell ref="B38:B45"/>
    <mergeCell ref="D118:D125"/>
    <mergeCell ref="AM126:AM133"/>
    <mergeCell ref="F127:F128"/>
    <mergeCell ref="E130:E133"/>
    <mergeCell ref="F130:F131"/>
    <mergeCell ref="D126:D133"/>
    <mergeCell ref="E118:E121"/>
    <mergeCell ref="E126:E129"/>
    <mergeCell ref="AM118:AM125"/>
    <mergeCell ref="C30:C37"/>
    <mergeCell ref="D30:D37"/>
    <mergeCell ref="F34:F35"/>
    <mergeCell ref="E30:E33"/>
    <mergeCell ref="C38:C45"/>
    <mergeCell ref="D38:D45"/>
    <mergeCell ref="C46:C53"/>
    <mergeCell ref="D46:D53"/>
    <mergeCell ref="AM110:AM117"/>
    <mergeCell ref="F111:F112"/>
    <mergeCell ref="E114:E117"/>
    <mergeCell ref="F114:F115"/>
    <mergeCell ref="C62:C69"/>
    <mergeCell ref="D62:D69"/>
    <mergeCell ref="F66:F67"/>
    <mergeCell ref="AM358:AM365"/>
    <mergeCell ref="F359:F360"/>
    <mergeCell ref="AM62:AM69"/>
    <mergeCell ref="F63:F64"/>
    <mergeCell ref="E66:E69"/>
    <mergeCell ref="E70:E73"/>
    <mergeCell ref="AM70:AM77"/>
    <mergeCell ref="AM374:AM381"/>
    <mergeCell ref="F375:F376"/>
    <mergeCell ref="E366:E369"/>
    <mergeCell ref="AM366:AM373"/>
    <mergeCell ref="F367:F368"/>
    <mergeCell ref="E370:E373"/>
    <mergeCell ref="F370:F371"/>
    <mergeCell ref="C366:C373"/>
    <mergeCell ref="D366:D373"/>
    <mergeCell ref="E430:E433"/>
    <mergeCell ref="AM430:AM437"/>
    <mergeCell ref="F431:F432"/>
    <mergeCell ref="F378:F379"/>
    <mergeCell ref="E382:E385"/>
    <mergeCell ref="AM382:AM389"/>
    <mergeCell ref="F383:F384"/>
    <mergeCell ref="E386:E389"/>
    <mergeCell ref="A54:A61"/>
    <mergeCell ref="B54:B61"/>
    <mergeCell ref="E362:E365"/>
    <mergeCell ref="F362:F363"/>
    <mergeCell ref="A110:A117"/>
    <mergeCell ref="B110:B117"/>
    <mergeCell ref="C110:C117"/>
    <mergeCell ref="D110:D117"/>
    <mergeCell ref="E110:E113"/>
    <mergeCell ref="B126:B133"/>
    <mergeCell ref="A62:A69"/>
    <mergeCell ref="B62:B69"/>
    <mergeCell ref="A94:A101"/>
    <mergeCell ref="B94:B101"/>
    <mergeCell ref="A86:A93"/>
    <mergeCell ref="B86:B93"/>
    <mergeCell ref="A70:A77"/>
    <mergeCell ref="B70:B77"/>
    <mergeCell ref="F74:F75"/>
    <mergeCell ref="E62:E65"/>
    <mergeCell ref="E462:E465"/>
    <mergeCell ref="AM462:AM469"/>
    <mergeCell ref="F463:F464"/>
    <mergeCell ref="E466:E469"/>
    <mergeCell ref="F466:F467"/>
    <mergeCell ref="E358:E361"/>
    <mergeCell ref="E86:E89"/>
    <mergeCell ref="E378:E381"/>
    <mergeCell ref="C70:C77"/>
    <mergeCell ref="D70:D77"/>
    <mergeCell ref="C94:C101"/>
    <mergeCell ref="D94:D101"/>
    <mergeCell ref="C86:C93"/>
    <mergeCell ref="D86:D93"/>
    <mergeCell ref="D78:D85"/>
    <mergeCell ref="B118:B125"/>
    <mergeCell ref="C126:C133"/>
    <mergeCell ref="A78:A85"/>
    <mergeCell ref="B78:B85"/>
    <mergeCell ref="A102:A109"/>
    <mergeCell ref="A118:A125"/>
    <mergeCell ref="B102:B109"/>
    <mergeCell ref="C102:C109"/>
    <mergeCell ref="C78:C85"/>
    <mergeCell ref="C118:C125"/>
    <mergeCell ref="A462:A469"/>
    <mergeCell ref="A134:A141"/>
    <mergeCell ref="A358:A365"/>
    <mergeCell ref="B358:B365"/>
    <mergeCell ref="A366:A373"/>
    <mergeCell ref="B366:B373"/>
    <mergeCell ref="A318:A325"/>
    <mergeCell ref="A310:A317"/>
    <mergeCell ref="B310:B317"/>
    <mergeCell ref="A302:A309"/>
    <mergeCell ref="D102:D109"/>
    <mergeCell ref="B462:B469"/>
    <mergeCell ref="C462:C469"/>
    <mergeCell ref="D462:D469"/>
    <mergeCell ref="B134:B141"/>
    <mergeCell ref="C134:C141"/>
    <mergeCell ref="C358:C365"/>
    <mergeCell ref="D358:D365"/>
    <mergeCell ref="D134:D141"/>
    <mergeCell ref="B318:B325"/>
    <mergeCell ref="E102:E105"/>
    <mergeCell ref="AM102:AM109"/>
    <mergeCell ref="F103:F104"/>
    <mergeCell ref="E106:E109"/>
    <mergeCell ref="F106:F107"/>
    <mergeCell ref="E134:E137"/>
    <mergeCell ref="AM134:AM141"/>
    <mergeCell ref="F135:F136"/>
    <mergeCell ref="E138:E141"/>
    <mergeCell ref="F138:F139"/>
    <mergeCell ref="E94:E97"/>
    <mergeCell ref="AM86:AM93"/>
    <mergeCell ref="F87:F88"/>
    <mergeCell ref="E90:E93"/>
    <mergeCell ref="F90:F91"/>
    <mergeCell ref="AM94:AM101"/>
    <mergeCell ref="F95:F96"/>
    <mergeCell ref="E98:E101"/>
    <mergeCell ref="F98:F99"/>
    <mergeCell ref="AM22:AM29"/>
    <mergeCell ref="F23:F24"/>
    <mergeCell ref="E26:E29"/>
    <mergeCell ref="F26:F27"/>
    <mergeCell ref="C22:C29"/>
    <mergeCell ref="D22:D29"/>
    <mergeCell ref="E22:E25"/>
    <mergeCell ref="A22:A29"/>
    <mergeCell ref="B22:B29"/>
    <mergeCell ref="A6:A13"/>
    <mergeCell ref="B6:B13"/>
    <mergeCell ref="C6:C13"/>
    <mergeCell ref="D6:D13"/>
    <mergeCell ref="AM30:AM37"/>
    <mergeCell ref="F31:F32"/>
    <mergeCell ref="E34:E37"/>
    <mergeCell ref="E38:E41"/>
    <mergeCell ref="AM38:AM45"/>
    <mergeCell ref="F39:F40"/>
    <mergeCell ref="E42:E45"/>
    <mergeCell ref="F42:F43"/>
    <mergeCell ref="E46:E49"/>
    <mergeCell ref="AM46:AM53"/>
    <mergeCell ref="F47:F48"/>
    <mergeCell ref="E50:E53"/>
    <mergeCell ref="F50:F51"/>
    <mergeCell ref="C54:C61"/>
    <mergeCell ref="D54:D61"/>
    <mergeCell ref="E54:E57"/>
    <mergeCell ref="AM54:AM61"/>
    <mergeCell ref="F55:F56"/>
    <mergeCell ref="E58:E61"/>
    <mergeCell ref="F58:F59"/>
    <mergeCell ref="E78:E81"/>
    <mergeCell ref="AM78:AM85"/>
    <mergeCell ref="F79:F80"/>
    <mergeCell ref="E82:E85"/>
    <mergeCell ref="F82:F83"/>
    <mergeCell ref="C318:C325"/>
    <mergeCell ref="D318:D325"/>
    <mergeCell ref="E318:E321"/>
    <mergeCell ref="F306:F307"/>
    <mergeCell ref="C310:C317"/>
    <mergeCell ref="D310:D317"/>
    <mergeCell ref="E310:E313"/>
    <mergeCell ref="E306:E309"/>
    <mergeCell ref="B302:B309"/>
    <mergeCell ref="C302:C309"/>
    <mergeCell ref="D302:D309"/>
    <mergeCell ref="AM310:AM317"/>
    <mergeCell ref="F311:F312"/>
    <mergeCell ref="E314:E317"/>
    <mergeCell ref="F314:F315"/>
    <mergeCell ref="E302:E305"/>
    <mergeCell ref="AM302:AM309"/>
    <mergeCell ref="F303:F304"/>
    <mergeCell ref="AM318:AM325"/>
    <mergeCell ref="F319:F320"/>
    <mergeCell ref="E322:E325"/>
    <mergeCell ref="F322:F323"/>
    <mergeCell ref="A334:A341"/>
    <mergeCell ref="B334:B341"/>
    <mergeCell ref="C334:C341"/>
    <mergeCell ref="D334:D341"/>
    <mergeCell ref="E334:E337"/>
    <mergeCell ref="AM334:AM341"/>
    <mergeCell ref="F335:F336"/>
    <mergeCell ref="E338:E341"/>
    <mergeCell ref="F338:F339"/>
    <mergeCell ref="A342:A349"/>
    <mergeCell ref="B342:B349"/>
    <mergeCell ref="C342:C349"/>
    <mergeCell ref="D342:D349"/>
    <mergeCell ref="E342:E345"/>
    <mergeCell ref="AM342:AM349"/>
    <mergeCell ref="F343:F344"/>
    <mergeCell ref="E346:E349"/>
    <mergeCell ref="F346:F347"/>
    <mergeCell ref="A350:A357"/>
    <mergeCell ref="B350:B357"/>
    <mergeCell ref="C350:C357"/>
    <mergeCell ref="D350:D357"/>
    <mergeCell ref="E350:E353"/>
    <mergeCell ref="AM350:AM357"/>
    <mergeCell ref="F351:F352"/>
    <mergeCell ref="E354:E357"/>
    <mergeCell ref="F354:F355"/>
    <mergeCell ref="A374:A381"/>
    <mergeCell ref="B374:B381"/>
    <mergeCell ref="C374:C381"/>
    <mergeCell ref="D374:D381"/>
    <mergeCell ref="F386:F387"/>
    <mergeCell ref="A390:A397"/>
    <mergeCell ref="B390:B397"/>
    <mergeCell ref="C390:C397"/>
    <mergeCell ref="D390:D397"/>
    <mergeCell ref="E390:E393"/>
    <mergeCell ref="A382:A389"/>
    <mergeCell ref="B382:B389"/>
    <mergeCell ref="C382:C389"/>
    <mergeCell ref="D382:D389"/>
    <mergeCell ref="AM390:AM397"/>
    <mergeCell ref="F391:F392"/>
    <mergeCell ref="E394:E397"/>
    <mergeCell ref="F394:F395"/>
    <mergeCell ref="A398:A405"/>
    <mergeCell ref="B398:B405"/>
    <mergeCell ref="C398:C405"/>
    <mergeCell ref="D398:D405"/>
    <mergeCell ref="E398:E401"/>
    <mergeCell ref="AM398:AM405"/>
    <mergeCell ref="F399:F400"/>
    <mergeCell ref="E402:E405"/>
    <mergeCell ref="F402:F403"/>
    <mergeCell ref="A406:A413"/>
    <mergeCell ref="B406:B413"/>
    <mergeCell ref="C406:C413"/>
    <mergeCell ref="D406:D413"/>
    <mergeCell ref="E406:E409"/>
    <mergeCell ref="AM406:AM413"/>
    <mergeCell ref="F407:F408"/>
    <mergeCell ref="E410:E413"/>
    <mergeCell ref="F410:F411"/>
    <mergeCell ref="A414:A421"/>
    <mergeCell ref="B414:B421"/>
    <mergeCell ref="C414:C421"/>
    <mergeCell ref="D414:D421"/>
    <mergeCell ref="E414:E417"/>
    <mergeCell ref="AM414:AM421"/>
    <mergeCell ref="F415:F416"/>
    <mergeCell ref="E418:E421"/>
    <mergeCell ref="F418:F419"/>
    <mergeCell ref="A422:A429"/>
    <mergeCell ref="B422:B429"/>
    <mergeCell ref="C422:C429"/>
    <mergeCell ref="D422:D429"/>
    <mergeCell ref="E422:E425"/>
    <mergeCell ref="AM422:AM429"/>
    <mergeCell ref="F423:F424"/>
    <mergeCell ref="E426:E429"/>
    <mergeCell ref="F426:F427"/>
    <mergeCell ref="A438:A445"/>
    <mergeCell ref="B438:B445"/>
    <mergeCell ref="C438:C445"/>
    <mergeCell ref="D438:D445"/>
    <mergeCell ref="E438:E441"/>
    <mergeCell ref="AM438:AM445"/>
    <mergeCell ref="F439:F440"/>
    <mergeCell ref="E442:E445"/>
    <mergeCell ref="F442:F443"/>
    <mergeCell ref="A446:A453"/>
    <mergeCell ref="B446:B453"/>
    <mergeCell ref="C446:C453"/>
    <mergeCell ref="D446:D453"/>
    <mergeCell ref="E446:E449"/>
    <mergeCell ref="AM446:AM453"/>
    <mergeCell ref="F447:F448"/>
    <mergeCell ref="E450:E453"/>
    <mergeCell ref="F450:F451"/>
    <mergeCell ref="A454:A461"/>
    <mergeCell ref="B454:B461"/>
    <mergeCell ref="C454:C461"/>
    <mergeCell ref="D454:D461"/>
    <mergeCell ref="E454:E457"/>
    <mergeCell ref="AM454:AM461"/>
    <mergeCell ref="F455:F456"/>
    <mergeCell ref="E458:E461"/>
    <mergeCell ref="F458:F459"/>
    <mergeCell ref="F473:F474"/>
    <mergeCell ref="F476:F477"/>
    <mergeCell ref="A472:E479"/>
    <mergeCell ref="AM472:AM479"/>
    <mergeCell ref="AM480:AM483"/>
    <mergeCell ref="E480:E483"/>
    <mergeCell ref="F480:F481"/>
    <mergeCell ref="A480:A483"/>
    <mergeCell ref="B480:B483"/>
    <mergeCell ref="C480:C483"/>
    <mergeCell ref="D480:D483"/>
    <mergeCell ref="AM484:AM488"/>
    <mergeCell ref="E485:E488"/>
    <mergeCell ref="F485:F486"/>
    <mergeCell ref="A484:A488"/>
    <mergeCell ref="B484:B488"/>
    <mergeCell ref="C484:C488"/>
    <mergeCell ref="D484:D488"/>
    <mergeCell ref="A489:A496"/>
    <mergeCell ref="B489:B496"/>
    <mergeCell ref="C489:C496"/>
    <mergeCell ref="D489:D496"/>
    <mergeCell ref="E489:E492"/>
    <mergeCell ref="AM489:AM496"/>
    <mergeCell ref="F490:F491"/>
    <mergeCell ref="E493:E496"/>
    <mergeCell ref="F493:F494"/>
    <mergeCell ref="A497:A504"/>
    <mergeCell ref="B497:B504"/>
    <mergeCell ref="C497:C504"/>
    <mergeCell ref="D497:D504"/>
    <mergeCell ref="E497:E500"/>
    <mergeCell ref="AM497:AM504"/>
    <mergeCell ref="F498:F499"/>
    <mergeCell ref="E501:E504"/>
    <mergeCell ref="F501:F502"/>
    <mergeCell ref="A505:A512"/>
    <mergeCell ref="B505:B512"/>
    <mergeCell ref="C505:C512"/>
    <mergeCell ref="D505:D512"/>
    <mergeCell ref="E505:E508"/>
    <mergeCell ref="AM505:AM512"/>
    <mergeCell ref="F506:F507"/>
    <mergeCell ref="E509:E512"/>
    <mergeCell ref="F509:F510"/>
    <mergeCell ref="A513:A520"/>
    <mergeCell ref="B513:B520"/>
    <mergeCell ref="C513:C520"/>
    <mergeCell ref="D513:D520"/>
    <mergeCell ref="E513:E516"/>
    <mergeCell ref="AM513:AM520"/>
    <mergeCell ref="F514:F515"/>
    <mergeCell ref="E517:E520"/>
    <mergeCell ref="F517:F518"/>
    <mergeCell ref="A521:A528"/>
    <mergeCell ref="B521:B528"/>
    <mergeCell ref="C521:C528"/>
    <mergeCell ref="D521:D528"/>
    <mergeCell ref="E521:E524"/>
    <mergeCell ref="AM521:AM528"/>
    <mergeCell ref="F522:F523"/>
    <mergeCell ref="E525:E528"/>
    <mergeCell ref="F525:F526"/>
    <mergeCell ref="A529:A536"/>
    <mergeCell ref="B529:B536"/>
    <mergeCell ref="C529:C536"/>
    <mergeCell ref="D529:D536"/>
    <mergeCell ref="E529:E532"/>
    <mergeCell ref="AM529:AM536"/>
    <mergeCell ref="F530:F531"/>
    <mergeCell ref="E533:E536"/>
    <mergeCell ref="F533:F534"/>
    <mergeCell ref="A537:A544"/>
    <mergeCell ref="B537:B544"/>
    <mergeCell ref="C537:C544"/>
    <mergeCell ref="D537:D544"/>
    <mergeCell ref="E537:E540"/>
    <mergeCell ref="AM537:AM544"/>
    <mergeCell ref="F538:F539"/>
    <mergeCell ref="E541:E544"/>
    <mergeCell ref="F541:F542"/>
    <mergeCell ref="A545:A552"/>
    <mergeCell ref="B545:B552"/>
    <mergeCell ref="C545:C552"/>
    <mergeCell ref="D545:D552"/>
    <mergeCell ref="E545:E548"/>
    <mergeCell ref="AM545:AM552"/>
    <mergeCell ref="F546:F547"/>
    <mergeCell ref="E549:E552"/>
    <mergeCell ref="F549:F550"/>
    <mergeCell ref="A553:A560"/>
    <mergeCell ref="B553:B560"/>
    <mergeCell ref="C553:C560"/>
    <mergeCell ref="D553:D560"/>
    <mergeCell ref="E553:E556"/>
    <mergeCell ref="AM553:AM560"/>
    <mergeCell ref="F554:F555"/>
    <mergeCell ref="E557:E560"/>
    <mergeCell ref="F557:F558"/>
    <mergeCell ref="A561:A568"/>
    <mergeCell ref="B561:B568"/>
    <mergeCell ref="C561:C568"/>
    <mergeCell ref="D561:D568"/>
    <mergeCell ref="E561:E564"/>
    <mergeCell ref="AM561:AM568"/>
    <mergeCell ref="F562:F563"/>
    <mergeCell ref="E565:E568"/>
    <mergeCell ref="F565:F566"/>
  </mergeCells>
  <printOptions/>
  <pageMargins left="0.23" right="0.23" top="0.43" bottom="0.32" header="0.17" footer="0.16"/>
  <pageSetup horizontalDpi="600" verticalDpi="600" orientation="landscape" paperSize="9" r:id="rId1"/>
  <headerFooter alignWithMargins="0">
    <oddFooter>&amp;C&amp;8&amp;P</oddFooter>
  </headerFooter>
  <rowBreaks count="1" manualBreakCount="1">
    <brk id="3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pietrzak</dc:creator>
  <cp:keywords/>
  <dc:description/>
  <cp:lastModifiedBy>Alicja Helbin</cp:lastModifiedBy>
  <cp:lastPrinted>2012-06-13T06:54:46Z</cp:lastPrinted>
  <dcterms:created xsi:type="dcterms:W3CDTF">2004-01-07T13:23:24Z</dcterms:created>
  <dcterms:modified xsi:type="dcterms:W3CDTF">2012-06-14T10:19:49Z</dcterms:modified>
  <cp:category/>
  <cp:version/>
  <cp:contentType/>
  <cp:contentStatus/>
</cp:coreProperties>
</file>