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465" windowHeight="6705" activeTab="0"/>
  </bookViews>
  <sheets>
    <sheet name="dochody I-XII 2011" sheetId="1" r:id="rId1"/>
  </sheets>
  <definedNames>
    <definedName name="_xlnm.Print_Titles" localSheetId="0">'dochody I-XII 2011'!$3:$3</definedName>
  </definedNames>
  <calcPr fullCalcOnLoad="1"/>
</workbook>
</file>

<file path=xl/sharedStrings.xml><?xml version="1.0" encoding="utf-8"?>
<sst xmlns="http://schemas.openxmlformats.org/spreadsheetml/2006/main" count="601" uniqueCount="328">
  <si>
    <t>Dział</t>
  </si>
  <si>
    <t>Rozdział</t>
  </si>
  <si>
    <t>Paragraf</t>
  </si>
  <si>
    <t>Zadania własne</t>
  </si>
  <si>
    <t>Zadania własne - porozumienia</t>
  </si>
  <si>
    <t>Zadania zlecone gminy</t>
  </si>
  <si>
    <t>Zadania zlecone powiatu</t>
  </si>
  <si>
    <t>Suma końcowa</t>
  </si>
  <si>
    <t>150 PRZETWÓRSTWO PRZEMYSŁOWE</t>
  </si>
  <si>
    <t>15013 Rozwój kadr nowoczesnej gospodarki i przedsiębiorczości</t>
  </si>
  <si>
    <t>2007 dotacje celowe w ramach programów finansowanych z udziałem środków europejskich oraz środków, o których mowa w art. 5 ust 1 pkt 3 oraz ust. 3 pkt 5 i 6 ustawy, lub płatności w ramach budżetu środków europejskich</t>
  </si>
  <si>
    <t>2009 dotacje celowe w ramach programów finansowanych z udziałem środków europejskich oraz środków, o których mowa w art. 5 ust. 1 pkt 3 oraz ust. 3 pkt 5 i 6 ustawy, lub płatności w ramach budżetu środków europejskich</t>
  </si>
  <si>
    <t>15013 Rozwój kadr nowoczesnej gospodarki i przedsiębiorczości Suma</t>
  </si>
  <si>
    <t>150 PRZETWÓRSTWO PRZEMYSŁOWE Suma</t>
  </si>
  <si>
    <t>600 TRANSPORT I ŁĄCZNOŚĆ</t>
  </si>
  <si>
    <t>60004 Lokalny transport zbiorowy</t>
  </si>
  <si>
    <t>0690 wpływy z różnych opłat</t>
  </si>
  <si>
    <t>0750 dochody z najmu i dzierżawy składników majątkowych Skarbu Państwa, j.s.t. lub innych jednostek zaliczanych do sektora finansów publicznych oraz innych umów o podobnym charakterze</t>
  </si>
  <si>
    <t>0830 wpływy z usług</t>
  </si>
  <si>
    <t>0920 pozostałe odsetki</t>
  </si>
  <si>
    <t>0970 wpływy z różnych dochodów</t>
  </si>
  <si>
    <t>2008 dotacje celowe w ramach programów finansowanych z udziałem środków europejskich oraz środków, o których mowa w art. 5 ust. 1 pkt 3 oraz ust. 3 pkt 5 i 6 ustawy, lub płatności w ramach budżetu środków europejskich</t>
  </si>
  <si>
    <t>2310 dotacje celowe otrzymane z gminy na zadania bieżące realizowane na podstawie porozumień (umów) między j.s.t.</t>
  </si>
  <si>
    <t>2707 środki na dofinansowanie własnych zadań bieżących gmin (związków gmin), powiatów (związków powiatów), samorządów województw, pozyskane z innych źródeł</t>
  </si>
  <si>
    <t>60004 Lokalny transport zbiorowy Suma</t>
  </si>
  <si>
    <t>60015 Drogi publiczne w miastach na prawach powiatu</t>
  </si>
  <si>
    <t>0580 grzywny i inne kary pieniężne od osób prawnych i innych jednostek organizacyjnych</t>
  </si>
  <si>
    <t>6207 dotacje celowe w ramach programów finansowanych z udziałem środków europejskich oraz środków, o których mowa  w art. 5 ust. 1 pkt 3 oraz ust. 3 pkt 5 i 6 ustawy, lub płatności w ramach budżetu środków europejskich</t>
  </si>
  <si>
    <t>60015 Drogi publiczne w miastach na prawach powiatu Suma</t>
  </si>
  <si>
    <t>60095 Pozostała działalność</t>
  </si>
  <si>
    <t>6297 środki na dofinansowanie własnych inwestycji gmin (związków gmin), powiatów (związków powiatów), samorządów województw, pozyskane z innych źródeł</t>
  </si>
  <si>
    <t>60095 Pozostała działalność Suma</t>
  </si>
  <si>
    <t>600 TRANSPORT I ŁĄCZNOŚĆ Suma</t>
  </si>
  <si>
    <t>700 GOSPODARKA MIESZKANIOWA</t>
  </si>
  <si>
    <t>70005 Gospodarka gruntami i nieruchomościami</t>
  </si>
  <si>
    <t>0470 wpływy z opłat za zarząd, użytkowanie i użytkowanie wieczyste nieruchomości</t>
  </si>
  <si>
    <t>0760 wpływy z tytułu przekształcenia prawa użytkowania wieczystego przysługującego osobom fizycznym w prawo własności</t>
  </si>
  <si>
    <t>2110 dotacje celowe otrzymane z budżetu państwa na zadania bieżące z zakresu administracji rządowej oraz inne zadania zlecone ustawami realizowane przez powiat</t>
  </si>
  <si>
    <t>2360 dochody j.s.t. związane z realizacją zadań z zakresu administracji rządowej oraz innych zadań zleconych ustawami</t>
  </si>
  <si>
    <t>70005 Gospodarka gruntami i nieruchomościami Suma</t>
  </si>
  <si>
    <t>70095 Pozostała działalność</t>
  </si>
  <si>
    <t>70095 Pozostała działalność Suma</t>
  </si>
  <si>
    <t>700 GOSPODARKA MIESZKANIOWA Suma</t>
  </si>
  <si>
    <t>710 DZIAŁALNOŚĆ USŁUGOWA</t>
  </si>
  <si>
    <t>71013 Prace geodezyjne i kartograficzne (nieinwestycyjne)</t>
  </si>
  <si>
    <t>71013 Prace geodezyjne i kartograficzne (nieinwestycyjne) Suma</t>
  </si>
  <si>
    <t>71014 Opracowania geodezyjne i kartograficzne</t>
  </si>
  <si>
    <t>71014 Opracowania geodezyjne i kartograficzne Suma</t>
  </si>
  <si>
    <t>71015 Nadzór budowlany</t>
  </si>
  <si>
    <t>71015 Nadzór budowlany Suma</t>
  </si>
  <si>
    <t>71035 Cmentarze</t>
  </si>
  <si>
    <t>2020 dotacje celowe otrzymane z budżetu państwa na zadania bieżące realizowane przez gminę na podstawie porozumień z organami administracji rządowej</t>
  </si>
  <si>
    <t>71035 Cmentarze Suma</t>
  </si>
  <si>
    <t>71095 Pozostała działalność</t>
  </si>
  <si>
    <t>2460 środki otrzymane od pozostałych jednostek zaliczanych do sektora finansów publicznych na realizację zadań bieżących jednostek zaliczanych do sektora finansów publicznych</t>
  </si>
  <si>
    <t>71095 Pozostała działalność Suma</t>
  </si>
  <si>
    <t>710 DZIAŁALNOŚĆ USŁUGOWA Suma</t>
  </si>
  <si>
    <t>750 ADMINISTRACJA PUBLICZNA</t>
  </si>
  <si>
    <t>75011 Urzędy wojewódzkie</t>
  </si>
  <si>
    <t>2010 dotacje celowe otrzymane z budżetu państwa na realizację zadań bieżących z zakresu administracji rządowej oraz innych zadań zleconych gminie (związkom gmin) ustawami</t>
  </si>
  <si>
    <t>75011 Urzędy wojewódzkie Suma</t>
  </si>
  <si>
    <t>75023 Urzędy gmin (miast i miast na prawach powiatu)</t>
  </si>
  <si>
    <t>0590 wpływy z opłat za koncesje i licencje</t>
  </si>
  <si>
    <t>75023 Urzędy gmin (miast i miast na prawach powiatu) Suma</t>
  </si>
  <si>
    <t>75045 Kwalifikacja wojskowa</t>
  </si>
  <si>
    <t>2120 dotacje celowe otrzymane z budżetu państwa na zadania bieżące realizowane przez powiat na podstawie porozumień z oraganami administracji rządowej</t>
  </si>
  <si>
    <t>75045 Kwalifikacja wojskowa Suma</t>
  </si>
  <si>
    <t>750 ADMINISTRACJA PUBLICZNA Suma</t>
  </si>
  <si>
    <t>751 URZĘDY NACZELNYCH ORGANÓW WŁADZY PAŃSTWOWEJ, KONTROLI I OCHRONY PRAWA ORAZ SĄDOWNICTWA</t>
  </si>
  <si>
    <t>75101 Urzędy naczelnych organów władzy państwowej, kontroli i ochrony prawa</t>
  </si>
  <si>
    <t>75101 Urzędy naczelnych organów władzy państwowej, kontroli i ochrony prawa Suma</t>
  </si>
  <si>
    <t>751 URZĘDY NACZELNYCH ORGANÓW WŁADZY PAŃSTWOWEJ, KONTROLI I OCHRONY PRAWA ORAZ SĄDOWNICTWA Suma</t>
  </si>
  <si>
    <t>754 BEZPIECZEŃSTWO PUBLICZNE I OCHRONA PRZECIWPOŻAROWA</t>
  </si>
  <si>
    <t>75411 Komendy powiatowe Państwowej Straży Pożarnej</t>
  </si>
  <si>
    <t>75411 Komendy powiatowe Państwowej Straży Pożarnej Suma</t>
  </si>
  <si>
    <t>75416 Straż Miejska</t>
  </si>
  <si>
    <t>75416 Straż Miejska Suma</t>
  </si>
  <si>
    <t>754 BEZPIECZEŃSTWO PUBLICZNE I OCHRONA PRZECIWPOŻAROWA Suma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</si>
  <si>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</si>
  <si>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</si>
  <si>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0350 podatek od działalności gospodarczej osób fizycznych opłacany w formie karty podatkowej</t>
  </si>
  <si>
    <t>75601 Wpływy z podatku dochodowego od osób fizycznych Suma</t>
  </si>
  <si>
    <t>75615 Wpływy z podatku rolnego, podatku leśnego, podatku od czynności cywilnoprawnych, podatków i opłat lokalnych od osób prawnych i innych jednostek organizacyjnych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</si>
  <si>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</si>
  <si>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</si>
  <si>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</si>
  <si>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</si>
  <si>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</si>
  <si>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0910 odsetki od nieterminowych wpłat z tytułu podatków i opłat</t>
  </si>
  <si>
    <t>2680 rekompensaty utraconych dochodów w podatkach i opłatach lokalnych</t>
  </si>
  <si>
    <t>75615 Wpływy z podatku rolnego, podatku leśnego, podatku od czynności cywilnoprawnych, podatków i opłat lokalnych od osób prawnych i innych jednostek organizacyjnych Suma</t>
  </si>
  <si>
    <t>75616 Wpływy z podatku rolnego, podatku leśnego, podatku od spadków i darowizn, podatku od czynności cywilnoprawnych oraz podatków i opłat lokalnych od osób fizycznych</t>
  </si>
  <si>
    <t>0360 podatek od spadków i darowizn</t>
  </si>
  <si>
    <t>0430 wpływy z opłaty targowej</t>
  </si>
  <si>
    <t>0440 wpływy z opłaty miejscowej</t>
  </si>
  <si>
    <t>75616 Wpływy z podatku rolnego, podatku leśnego, podatku od spadków i darowizn, podatku od czynności cywilnoprawnych oraz podatków i opłat lokalnych od osób fizycznych Suma</t>
  </si>
  <si>
    <t>75618 Wpływy z innych opłat stanowiących dochody j.s.t. na podstawie ustaw</t>
  </si>
  <si>
    <t>0410 wpływy z opłaty skarbowej</t>
  </si>
  <si>
    <t>0420 wpływy z opłaty komunikacyjnej</t>
  </si>
  <si>
    <t>0490 wpływy z innych lokalnych opłat pobieranych przez j.s.t. na podstawie odrębnych ustaw</t>
  </si>
  <si>
    <t>75618 Wpływy z innych opłat stanowiących dochody j.s.t. na podstawie ustaw Suma</t>
  </si>
  <si>
    <t>75621 Udziały gmin w podatkach stanowiących dochód budżetu państwa</t>
  </si>
  <si>
    <t>0010 podatek dochodowy od osób fizycznych</t>
  </si>
  <si>
    <t>0020 podatek dochodowy od osób prawnych</t>
  </si>
  <si>
    <t>75621 Udziały gmin w podatkach stanowiących dochód budżetu państwa Suma</t>
  </si>
  <si>
    <t>75622 Udziały powiatów w podatkach stanowiących dochód budżetu państwa</t>
  </si>
  <si>
    <t>75622 Udziały powiatów w podatkach stanowiących dochód budżetu państwa Suma</t>
  </si>
  <si>
    <t>756 DOCHODY OD OSÓB PRAWNYCH, OD OSÓB FIZYCZNYCH I OD INNYCH JEDNOSTEK NIE POSIADAJĄCYCH OSOBOWOŚCI PRAWNEJ ORAZ WYDATKI ZWIĄZANE Z ICH POBOREM Suma</t>
  </si>
  <si>
    <t>758 RÓŻNE ROZLICZENIA</t>
  </si>
  <si>
    <t>75801 Część oświatowa subwencji ogólnej dla jednostek samorządu terytorialnego</t>
  </si>
  <si>
    <t>2920 subwencje ogólne z bużetu państwa</t>
  </si>
  <si>
    <t>75801 Część oświatowa subwencji ogólnej dla jednostek samorządu terytorialnego Suma</t>
  </si>
  <si>
    <t>75814 Różne rozliczenia finansowe</t>
  </si>
  <si>
    <t>75814 Różne rozliczenia finansowe Suma</t>
  </si>
  <si>
    <t>75832 Część równoważąca subwencji ogólnej dla powiatów</t>
  </si>
  <si>
    <t>75832 Część równoważąca subwencji ogólnej dla powiatów Suma</t>
  </si>
  <si>
    <t>758 RÓŻNE ROZLICZENIA Suma</t>
  </si>
  <si>
    <t>801 OŚWIATA I WYCHOWANIE</t>
  </si>
  <si>
    <t>80101 Szkoły podstawowe</t>
  </si>
  <si>
    <t>2701 środki na dofinansowanie własnych zadań bieżących gmin ( związków gmin), powiatów (związków powiatów), samorządów województw, pozyskane z innych źródeł</t>
  </si>
  <si>
    <t>80101 Szkoły podstawowe Suma</t>
  </si>
  <si>
    <t>80103 Oddziały przedszkolne w szkołach podstawowych</t>
  </si>
  <si>
    <t>80103 Oddziały przedszkolne w szkołach podstawowych Suma</t>
  </si>
  <si>
    <t>80104 Przedszkola</t>
  </si>
  <si>
    <t>80104 Przedszkola Suma</t>
  </si>
  <si>
    <t>80110 Gimnazja</t>
  </si>
  <si>
    <t>0921 pozostałe odsetki</t>
  </si>
  <si>
    <t>80110 Gimnazja Suma</t>
  </si>
  <si>
    <t>80120 Licea ogólnokształcące</t>
  </si>
  <si>
    <t>80120 Licea ogólnokształcące Suma</t>
  </si>
  <si>
    <t>80130 Szkoły zawodowe</t>
  </si>
  <si>
    <t>80130 Szkoły zawodowe Suma</t>
  </si>
  <si>
    <t>80195 Pozostała działalność</t>
  </si>
  <si>
    <t>80195 Pozostała działalność Suma</t>
  </si>
  <si>
    <t>801 OŚWIATA I WYCHOWANIE Suma</t>
  </si>
  <si>
    <t>851 OCHRONA ZDROWIA</t>
  </si>
  <si>
    <t>85121 Lecznictwo ambulatoryjne</t>
  </si>
  <si>
    <t>0870 wpływy ze sprzedaży składników majątkowych</t>
  </si>
  <si>
    <t>85121 Lecznictwo ambulatoryjne Suma</t>
  </si>
  <si>
    <t>85156 Składki na ubezpieczenia zdrowotne oraz świadczenia dla osób nie objętych obowiązkiem ubezpieczenia zdrowotnego</t>
  </si>
  <si>
    <t>85156 Składki na ubezpieczenia zdrowotne oraz świadczenia dla osób nie objętych obowiązkiem ubezpieczenia zdrowotnego Suma</t>
  </si>
  <si>
    <t>85195 Pozostała działalność</t>
  </si>
  <si>
    <t>85195 Pozostała działalność Suma</t>
  </si>
  <si>
    <t>851 OCHRONA ZDROWIA Suma</t>
  </si>
  <si>
    <t>852 POMOC SPOŁECZNA</t>
  </si>
  <si>
    <t>85201 Placówki opiekuńczo - wychowawcze</t>
  </si>
  <si>
    <t>2320 dotacje celowe otrzymane z powiatu na zadania bieżące realizowane na podstawie porozumień (umów) między j.s.t.</t>
  </si>
  <si>
    <t>85201 Placówki opiekuńczo - wychowawcze Suma</t>
  </si>
  <si>
    <t>85202 Domy pomocy społecznej</t>
  </si>
  <si>
    <t>2130 dotacje celowe otrzymane z budżetu państwa na realizację bieżących zadań własnych powiatu</t>
  </si>
  <si>
    <t>85202 Domy pomocy społecznej Suma</t>
  </si>
  <si>
    <t>85203 Ośrodki wsparcia</t>
  </si>
  <si>
    <t>85203 Ośrodki wsparcia Suma</t>
  </si>
  <si>
    <t>85204 Rodziny zastępcze</t>
  </si>
  <si>
    <t>85204 Rodziny zastępcze Suma</t>
  </si>
  <si>
    <t>85205 Przeciwdziałanie przemocy w rodzinie</t>
  </si>
  <si>
    <t>85205 Przeciwdziałanie przemocy w rodzinie Suma</t>
  </si>
  <si>
    <t>85212 Świadczenia rodzinne, zaliczka alimentacyjna oraz składki na ubezpieczenia emerytalne i rentowe z ubezpieczenia społecznego Suma</t>
  </si>
  <si>
    <t>85213 Składki na ubezpieczenie zdrowotne opłacane za osoby pobierające niektóre świadczenia z pomocy społecznej, niektóre świadczenia rodzinne oraz za osoby uczestniczące w zajęciach w centrum integracji społecznej</t>
  </si>
  <si>
    <t>2030 dotacje celowe otrzymane z budżetu państwa na realizację własnych zadań bieżących gmin (związków gmin)</t>
  </si>
  <si>
    <t>85213 Składki na ubezpieczenie zdrowotne opłacane za osoby pobierające niektóre świadczenia z pomocy społecznej, niektóre świadczenia rodzinne oraz za osoby uczestniczące w zajęciach w centrum integracji społecznej Suma</t>
  </si>
  <si>
    <t>85214 Zasiłki i pomoc w naturze oraz składki na ubezpieczenia emerytalne i rentowe</t>
  </si>
  <si>
    <t>85214 Zasiłki i pomoc w naturze oraz składki na ubezpieczenia emerytalne i rentowe Suma</t>
  </si>
  <si>
    <t>85216 Zasiłki stałe</t>
  </si>
  <si>
    <t>85216 Zasiłki stałe Suma</t>
  </si>
  <si>
    <t>85219 Ośrodki pomocy społecznej</t>
  </si>
  <si>
    <t>85219 Ośrodki pomocy społecznej Suma</t>
  </si>
  <si>
    <t>85228 usługi opiekuńcze i specjalistyczne usługi opiekuńcze</t>
  </si>
  <si>
    <t>85228 usługi opiekuńcze i specjalistyczne usługi opiekuńcze Suma</t>
  </si>
  <si>
    <t>85295 Pozostała działalność</t>
  </si>
  <si>
    <t>85295 Pozostała działalność Suma</t>
  </si>
  <si>
    <t>852 POMOC SPOŁECZNA Suma</t>
  </si>
  <si>
    <t>853 POZOSTAŁE ZADANIA W ZAKRESIE POLITYKI SPOŁECZNEJ</t>
  </si>
  <si>
    <t>85305 Żłobki</t>
  </si>
  <si>
    <t>85305 Żłobki Suma</t>
  </si>
  <si>
    <t>85311 Rehabilitacja zawodowa i społeczna osób niepełnosprawnych</t>
  </si>
  <si>
    <t>85311 Rehabilitacja zawodowa i społeczna osób niepełnosprawnych Suma</t>
  </si>
  <si>
    <t>85321 Zespoły do spraw orzekania o niepełnosprawności</t>
  </si>
  <si>
    <t>85321 Zespoły do spraw orzekania o niepełnosprawności Suma</t>
  </si>
  <si>
    <t>85333 Powiatowe urzędy pracy</t>
  </si>
  <si>
    <t>2690 środki z Funduszu Pracy otrzymane przez powiat z przeznaczeniem na finsnowanie kosztów wynagrodzenia i składek na ubezpieczenia społeczne pracowników powiatowego urzędu pracy</t>
  </si>
  <si>
    <t>85333 Powiatowe urzędy pracy Suma</t>
  </si>
  <si>
    <t>85395 Pozostała działalność</t>
  </si>
  <si>
    <t>2700 środki na dofinansowanie własnych zadań bieżących gmin (związków gmin), powiatów (związków powiatów), samorządów województw, pozyskane z innych źródeł</t>
  </si>
  <si>
    <t>85395 Pozostała działalność Suma</t>
  </si>
  <si>
    <t>853 POZOSTAŁE ZADANIA W ZAKRESIE POLITYKI SPOŁECZNEJ Suma</t>
  </si>
  <si>
    <t>854 EDUKACYJNA OPIEKA WYCHOWAWCZA</t>
  </si>
  <si>
    <t>85403 Specjalne ośrodki szkolno - wychowawcze</t>
  </si>
  <si>
    <t>85403 Specjalne ośrodki szkolno - wychowawcze Suma</t>
  </si>
  <si>
    <t>85406 Poradnie psychologiczno - pedagogiczne, w tym poradnie specjalistyczne</t>
  </si>
  <si>
    <t>85406 Poradnie psychologiczno - pedagogiczne, w tym poradnie specjalistyczne Suma</t>
  </si>
  <si>
    <t>854 EDUKACYJNA OPIEKA WYCHOWAWCZA Suma</t>
  </si>
  <si>
    <t>900 GOSPODARKA KOMUNALNA I OCHRONA ŚRODOWISKA</t>
  </si>
  <si>
    <t>90017 Zakłady gospodarki komunalnej</t>
  </si>
  <si>
    <t>90017 Zakłady gospodarki komunalnej Suma</t>
  </si>
  <si>
    <t>90019 Wpływy i wydatki związane z gromadzeniem środków z opłat i kar za korzystanie ze środowiska</t>
  </si>
  <si>
    <t>90019 Wpływy i wydatki związane z gromadzeniem środków z opłat i kar za korzystanie ze środowiska Suma</t>
  </si>
  <si>
    <t>90095 Pozostała działalność</t>
  </si>
  <si>
    <t>90095 Pozostała działalność Suma</t>
  </si>
  <si>
    <t>926 KULTURA FIZYCZNA</t>
  </si>
  <si>
    <t>92605 Zadania w zakresie kultury fizycznej</t>
  </si>
  <si>
    <t>92605 Zadania w zakresie kultury fizycznej Suma</t>
  </si>
  <si>
    <t>926 KULTURA FIZYCZNA Suma</t>
  </si>
  <si>
    <t xml:space="preserve">Dział </t>
  </si>
  <si>
    <t>0570 grzywny, mandaty i inne kary pieniężne od osób fizycznych</t>
  </si>
  <si>
    <t>0770 wpłaty z tytułu odpłatnego nabycia prawa własności oraz prawa użytkowania wieczystego nieruchomości</t>
  </si>
  <si>
    <t>6209 dotacje celowe w ramach programów finansowanych z udziałem środków europejskich oraz środków, o których mowa  w art. 5 ust. 1 pkt 3 oraz ust. 3 pkt 5 i 6 ustawy, lub płatności w ramach budżetu środków europejskich</t>
  </si>
  <si>
    <t>0560 zaległości ztytułu podatków i opłat zniesionych</t>
  </si>
  <si>
    <t>0480 wpływy z opłat za zezwolenia na sprzedaż napojów alkoholowych</t>
  </si>
  <si>
    <t>020 LEŚNICTWO</t>
  </si>
  <si>
    <t>02001 Gospodarka leśna</t>
  </si>
  <si>
    <t>02001 Gospodarka leśna Suma</t>
  </si>
  <si>
    <t>020 LEŚNICTWO Suma</t>
  </si>
  <si>
    <t>60016 Drogi publiczne gminne</t>
  </si>
  <si>
    <t>60016 Drogi publiczne gminne Suma</t>
  </si>
  <si>
    <t>0927 pozostałe odsetki</t>
  </si>
  <si>
    <t>70001 Zakłady gospodarki mieszkaniowej</t>
  </si>
  <si>
    <t>70001 Zakłady gospodarki mieszkaniowej Suma</t>
  </si>
  <si>
    <t>2910 wpływy ze zwrotów dotacji oraz płatności, w tym wykorzystanych niezgodnie z przeznaczeniem lub wykorzystanych z naruszeniem procedur, o których mowa w art.. 184 ustawy, pobranych nienależnie lub w nadmiernej wysokości</t>
  </si>
  <si>
    <t>71003 Biura planowania przestrzennego</t>
  </si>
  <si>
    <t>71003 Biura planowania przestrzennego Suma</t>
  </si>
  <si>
    <t>75075 Promocja jednostek samorządu terytorialnego</t>
  </si>
  <si>
    <t>75815 Wpływy do wyjaśnienia</t>
  </si>
  <si>
    <t>75815 Wpływy do wyjaśnienia Suma</t>
  </si>
  <si>
    <t>2980 wpływy do wyjaśnienia</t>
  </si>
  <si>
    <t>2440 dotacje otrzymane z państwowych funduszy celowych na realizację zadań bieżących jednostek sektora finansów publicznych</t>
  </si>
  <si>
    <t>80102 Szkoły podstawowe specjalne</t>
  </si>
  <si>
    <t>80102 Szkoły podstawowe specjalne Suma</t>
  </si>
  <si>
    <t>80132 Szkoły artystyczne</t>
  </si>
  <si>
    <t>80132 Szkoły artystyczne Suma</t>
  </si>
  <si>
    <t>80134 Szkoły zawodowe specjalne</t>
  </si>
  <si>
    <t>80134 Szkoły zawodowe specjalne Suma</t>
  </si>
  <si>
    <t>80141 Zakłady kształcenia nauczycieli</t>
  </si>
  <si>
    <t>80141 Zakłady kształcenia nauczycieli Suma</t>
  </si>
  <si>
    <t>80148 Stołówki szkolne i przedszkolne</t>
  </si>
  <si>
    <t>80148 Stołówki szkolne i przedszkolne Suma</t>
  </si>
  <si>
    <t>0900 odsetki od dotacji oraz płatności: wykorzystanych niezgodnie z przeznaczeniem lub wykorzystanych z naruszeniem procedur, o których mowa w art.. 184 ustawy, pobranych nienależnie lub w nadmiernej wysokości</t>
  </si>
  <si>
    <t>85153 Zwalczanie narkomanii</t>
  </si>
  <si>
    <t>85153 Zwalczanie narkomanii Suma</t>
  </si>
  <si>
    <t>85154 Przeciwdziałanie alkoholizmowi</t>
  </si>
  <si>
    <t>85154 Przeciwdziałanie alkoholizmowi Suma</t>
  </si>
  <si>
    <t>85158 Izby wytrzeźwień</t>
  </si>
  <si>
    <t>85158 Izby wytrzeźwień Suma</t>
  </si>
  <si>
    <t>0960 otrzymane spadki, zapisy i darowizny w postaci pieniężnej</t>
  </si>
  <si>
    <t>85215 Dodatki mieszkaniowe</t>
  </si>
  <si>
    <t>85215 Dodatki mieszkaniowe Suma</t>
  </si>
  <si>
    <t>85220 Jednostki specjalistycznego poradnictwa, mieszkania chronione i ośrodki interwencji kryzysowej</t>
  </si>
  <si>
    <t>85220 Jednostki specjalistycznego poradnictwa, mieszkania chronione i ośrodki interwencji kryzysowej Suma</t>
  </si>
  <si>
    <t>85401 Świetlice szkolne</t>
  </si>
  <si>
    <t>85401 Świetlice szkolne Suma</t>
  </si>
  <si>
    <t>85407 Placówki wychowania pozaszkolnego</t>
  </si>
  <si>
    <t>85407 Placówki wychowania pozaszkolnego Suma</t>
  </si>
  <si>
    <t>90003 Oczyszczanie miast i wsi</t>
  </si>
  <si>
    <t>90003 Oczyszczanie miast i wsi Suma</t>
  </si>
  <si>
    <t>90004 Utrzymanie zieleni w miastach i gminach</t>
  </si>
  <si>
    <t>90004 Utrzymanie zieleni w miastach i gminach Suma</t>
  </si>
  <si>
    <t>921 KULTURA I OCHRONA DZIEDZICTWA NARODOWEGO</t>
  </si>
  <si>
    <t>92105 Pozostałe zadania w zakresie kultury</t>
  </si>
  <si>
    <t>92105 Pozostałe zadania w zakresie kultury Suma</t>
  </si>
  <si>
    <t>92106 Teatry</t>
  </si>
  <si>
    <t>92106 Teatry Suma</t>
  </si>
  <si>
    <t>92118 Muzea</t>
  </si>
  <si>
    <t>92118 Muzea Suma</t>
  </si>
  <si>
    <t>921 KULTURA I OCHRONA DZIEDZICTWA NARODOWEGO Suma</t>
  </si>
  <si>
    <t>92601 Obiekty sportowe</t>
  </si>
  <si>
    <t>92601 Obiekty sportowe Suma</t>
  </si>
  <si>
    <t xml:space="preserve">2370 wpływy do budżetu nadwyżki środków obrotowych samorzadowego zakładu budżetowego </t>
  </si>
  <si>
    <t>0840 wpływy ze sprzedaży wyrobów</t>
  </si>
  <si>
    <t>80140 Centra kształcenia ustawicznego i praktycznego oraz ośrodki dokształcania zawodowego</t>
  </si>
  <si>
    <t>80140 Centra kształcenia ustawicznego i praktycznego oraz ośrodki dokształcania zawodowego Suma</t>
  </si>
  <si>
    <t>75056 Spis powszechny i inne</t>
  </si>
  <si>
    <t>75056 Spis powszechny i inne Suma</t>
  </si>
  <si>
    <t>% wyk</t>
  </si>
  <si>
    <t>0680 wpływy od rodziców z tytułu odpłatności za utrzymanie dzieci (wychowanków) w placówkach opiekuńczo - wychowawczych i w rodzinach zastępczych</t>
  </si>
  <si>
    <t>85415 Pomoc materialna dla uczniów</t>
  </si>
  <si>
    <t>85415 Pomoc materialna dla uczniów Suma</t>
  </si>
  <si>
    <t>2700 środki na dofinansowanie własnych zadań bieżących gmin ( związków gmin), powiatów (związków powiatów), samorządów województw, pozyskane z innych źródeł</t>
  </si>
  <si>
    <t>90001 Gospodarka ściekowa i ochrona wód</t>
  </si>
  <si>
    <t>90001 Gospodarka ściekowa i ochrona wód Suma</t>
  </si>
  <si>
    <t>010 ROLNICTWO I ŁOWIECTWO</t>
  </si>
  <si>
    <t>01095 Pozostała działalność</t>
  </si>
  <si>
    <t>01095 Pozostała działalność Suma</t>
  </si>
  <si>
    <t>010 ROLNICTWO I ŁOWIECTWO Suma</t>
  </si>
  <si>
    <t>75495 Pozostała działalność</t>
  </si>
  <si>
    <t>75495 Pozostała działalność Suma</t>
  </si>
  <si>
    <t>6330 dotacje celowe otrzymane z budżetu państaw na realizację inwestycji i zakupów inwestycyjnych własnych gmin (związków gmin)</t>
  </si>
  <si>
    <t>2009 dotacje celowe w ramach programów finansowanych z udziałem środków europejskich oraz środków, o których mowa w art. 5 ust 1 pkt 3 oraz ust. 3 pkt 5 i 6 ustawy, lub płatności w ramach budżetu środków europejskich</t>
  </si>
  <si>
    <t>2701 środki na dofinansowanie własnych zadań bieżących gmin (związków gmin), powiatów (związków powiatów), samorządów województw, pozyskane z innych źródeł</t>
  </si>
  <si>
    <t>630 TURYSTYKA</t>
  </si>
  <si>
    <t>630 TURYSTYKA Suma</t>
  </si>
  <si>
    <t>63095 Pozostała działalność</t>
  </si>
  <si>
    <t>6309595 Pozostała działalność Suma</t>
  </si>
  <si>
    <t>6612 dotacje celowe otrzymane z gminy na inwestycje i zakupy inwestycyjne realizowane na podstawie porozumień (umów) między jst</t>
  </si>
  <si>
    <t>0960 otrzymane spadki, zapisy i darowizny w postaci pienężnej</t>
  </si>
  <si>
    <t>85417 Szkolne schroniska młodzieżowe</t>
  </si>
  <si>
    <t>85417 Szkolne schroniska młodzieżowe Suma</t>
  </si>
  <si>
    <t>92109 Domy i ośrodki kultury, świetlice i kluby</t>
  </si>
  <si>
    <t>92106 92109 Domy i ośrodki kultury, świetlice i kluby</t>
  </si>
  <si>
    <t xml:space="preserve"> </t>
  </si>
  <si>
    <t>0890 odsetki za nieterminowe rozliczenia, płacone przez urzędy obsługujące organy podatkowe</t>
  </si>
  <si>
    <t>75478 Usuwanie skutków klęsk żywiołowych</t>
  </si>
  <si>
    <t>75478 Usuwanie skutków klęsk żywiołowych Suma</t>
  </si>
  <si>
    <t>2910 wpływy ze zwrotów dotacji oraz płatności, w tym wykorzystanych niezgodnie z przeznaczeniem lub wykorzystanych z naruszeniem procedur, o których mowa w art. 184 ustawy, pobranych nienależnie lub w nadmiernej wysokości</t>
  </si>
  <si>
    <t>6410 dotacje celowe otrzymane z budżetu państwa na inwestycje i zakupy inwestycyjne z zakresu administracji rządowej oraz inne zadania zlecone ustawami realizowane przez powiat</t>
  </si>
  <si>
    <t>2710 dotacja celowa otrzymana z tytułu pomocy finansowej udzielanej między jednostkami samorządu terytorialnego na dofinansowanie własnych zadań bieżących</t>
  </si>
  <si>
    <t>2707 środki na dofinansowanie własnych zadań bieżących gmin ( związków gmin), powiatów (związków powiatów), samorządów województw, pozyskane z innych źródeł</t>
  </si>
  <si>
    <t>2709 środki na dofinansowanie własnych zadań bieżących gmin ( związków gmin), powiatów (związków powiatów), samorządów województw, pozyskane z innych źródeł</t>
  </si>
  <si>
    <t>75108 Wybory do sejmu i senatu</t>
  </si>
  <si>
    <t>75801 Wybory do sejmu i senatu Suma</t>
  </si>
  <si>
    <t>0929 pozostałe odsetki</t>
  </si>
  <si>
    <t>2709 środki na dofinansowanie własnych zadań bieżących gmin (związków gmin), powiatów (związków powiatów), samorządów województw, pozyskane z innych źródeł</t>
  </si>
  <si>
    <t xml:space="preserve">Plan na 2011 rok </t>
  </si>
  <si>
    <t>6290 środki na dofinansowanie własnych inwestycji gmin (związków gmin), powiatów (związków powiatów), samorządów województw, pozyskane z innych źródeł</t>
  </si>
  <si>
    <t>Wykonanie za okres I - XII 2011r.</t>
  </si>
  <si>
    <t xml:space="preserve">0590 wpływy z opłat za koncesje i licencje </t>
  </si>
  <si>
    <t>2400 wpływy do budżetu pozostałości środków finansowych gromadzonych na wydzielonych rachunku jednostki budżetowej</t>
  </si>
  <si>
    <t>85111 Szpitale ogólne</t>
  </si>
  <si>
    <t>85111 Szpitale ogólne Suma</t>
  </si>
  <si>
    <t>85226 Ośrodki adopcyjno - opiekuńcze</t>
  </si>
  <si>
    <t>85226 Ośrodki adopcyjno - opiekuńcze Suma</t>
  </si>
  <si>
    <t>85410 Internaty i bursy szkolne</t>
  </si>
  <si>
    <t>85410 Internaty i bursy szkolne Suma</t>
  </si>
  <si>
    <t xml:space="preserve">85412 Kolonie i obozy oraz inne formy wypoczynku dzieci i młodzieży szkolnej, a także szkolenia młodzieży </t>
  </si>
  <si>
    <t>85412 Kolonie i obozy oraz inne formy wypoczynku dzieci i młodzieży szkolnej, a także szkolenia młodzieży Suma</t>
  </si>
  <si>
    <t>6610 dotacje celowe otrzymane z gminy na inwestycje i zakupy inwestycyjne realizowane na podstawie porozumień (umów) miedzy jednostkami samorządu terytorialnego</t>
  </si>
  <si>
    <t>6620 dotacje celowe otrzymane z powiatu na inwestycje i zakupy inwestycyjne realizowane na podstawie porozumień (umów) miedzy jednostkami samorządu terytorialnego</t>
  </si>
  <si>
    <t>6630 dotacje celowe otrzymane z samorządu województwa na inwestycje i zakupy inwestycyjne realizowane na podstawie porozumień (umów) miedzy jednostkami samorządu terytorialnego</t>
  </si>
  <si>
    <t xml:space="preserve">Informacja z wykonania dochodów budżetu miasta Gdyni za okres I - XII 2011r.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</si>
</sst>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0000"/>
    <numFmt numFmtId="167" formatCode="0.000000"/>
    <numFmt numFmtId="168" formatCode="0.0000"/>
    <numFmt numFmtId="169" formatCode="0.000"/>
  </numFmts>
  <fonts count="14">
    <font>
      <sz val="8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12"/>
      <name val="Arial CE"/>
      <family val="0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i/>
      <sz val="8"/>
      <name val="Arial CE"/>
      <family val="0"/>
    </font>
    <font>
      <i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6" fillId="2" borderId="5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vertical="top" wrapText="1"/>
    </xf>
    <xf numFmtId="0" fontId="6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6" xfId="0" applyFont="1" applyBorder="1" applyAlignment="1">
      <alignment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" fillId="2" borderId="4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0" fillId="0" borderId="15" xfId="0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165" fontId="7" fillId="0" borderId="4" xfId="19" applyNumberFormat="1" applyFont="1" applyBorder="1" applyAlignment="1">
      <alignment vertical="center"/>
    </xf>
    <xf numFmtId="165" fontId="9" fillId="0" borderId="4" xfId="19" applyNumberFormat="1" applyFont="1" applyBorder="1" applyAlignment="1">
      <alignment vertical="center"/>
    </xf>
    <xf numFmtId="165" fontId="8" fillId="2" borderId="4" xfId="19" applyNumberFormat="1" applyFont="1" applyFill="1" applyBorder="1" applyAlignment="1">
      <alignment vertical="center"/>
    </xf>
    <xf numFmtId="165" fontId="7" fillId="2" borderId="4" xfId="19" applyNumberFormat="1" applyFont="1" applyFill="1" applyBorder="1" applyAlignment="1">
      <alignment vertical="center"/>
    </xf>
    <xf numFmtId="165" fontId="8" fillId="3" borderId="4" xfId="19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5" fontId="7" fillId="0" borderId="4" xfId="19" applyNumberFormat="1" applyFont="1" applyFill="1" applyBorder="1" applyAlignment="1">
      <alignment vertical="center"/>
    </xf>
    <xf numFmtId="0" fontId="0" fillId="0" borderId="4" xfId="0" applyFont="1" applyBorder="1" applyAlignment="1" quotePrefix="1">
      <alignment vertical="top" wrapText="1"/>
    </xf>
    <xf numFmtId="0" fontId="0" fillId="0" borderId="4" xfId="0" applyFont="1" applyBorder="1" applyAlignment="1" quotePrefix="1">
      <alignment wrapText="1"/>
    </xf>
    <xf numFmtId="0" fontId="0" fillId="0" borderId="6" xfId="0" applyFont="1" applyBorder="1" applyAlignment="1" quotePrefix="1">
      <alignment vertical="top" wrapText="1"/>
    </xf>
    <xf numFmtId="0" fontId="1" fillId="2" borderId="20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6" xfId="0" applyFont="1" applyFill="1" applyBorder="1" applyAlignment="1">
      <alignment vertical="top" wrapText="1"/>
    </xf>
    <xf numFmtId="0" fontId="1" fillId="2" borderId="14" xfId="0" applyFont="1" applyFill="1" applyBorder="1" applyAlignment="1">
      <alignment/>
    </xf>
    <xf numFmtId="165" fontId="9" fillId="3" borderId="4" xfId="19" applyNumberFormat="1" applyFont="1" applyFill="1" applyBorder="1" applyAlignment="1">
      <alignment vertical="center"/>
    </xf>
    <xf numFmtId="165" fontId="12" fillId="2" borderId="4" xfId="19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" fillId="2" borderId="21" xfId="0" applyFont="1" applyFill="1" applyBorder="1" applyAlignment="1">
      <alignment/>
    </xf>
    <xf numFmtId="165" fontId="13" fillId="2" borderId="4" xfId="19" applyNumberFormat="1" applyFont="1" applyFill="1" applyBorder="1" applyAlignment="1">
      <alignment vertical="center"/>
    </xf>
    <xf numFmtId="165" fontId="8" fillId="3" borderId="4" xfId="19" applyNumberFormat="1" applyFont="1" applyFill="1" applyBorder="1" applyAlignment="1">
      <alignment vertical="center"/>
    </xf>
    <xf numFmtId="165" fontId="7" fillId="0" borderId="4" xfId="19" applyNumberFormat="1" applyFont="1" applyBorder="1" applyAlignment="1">
      <alignment vertical="center"/>
    </xf>
    <xf numFmtId="0" fontId="0" fillId="0" borderId="22" xfId="0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5" xfId="0" applyNumberFormat="1" applyFont="1" applyFill="1" applyBorder="1" applyAlignment="1">
      <alignment horizontal="center" vertical="top" wrapText="1"/>
    </xf>
    <xf numFmtId="0" fontId="0" fillId="0" borderId="3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7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" sqref="C4"/>
    </sheetView>
  </sheetViews>
  <sheetFormatPr defaultColWidth="9.33203125" defaultRowHeight="11.25"/>
  <cols>
    <col min="1" max="1" width="10.66015625" style="0" customWidth="1"/>
    <col min="2" max="2" width="13.16015625" style="0" customWidth="1"/>
    <col min="3" max="3" width="26.5" style="10" customWidth="1"/>
    <col min="4" max="4" width="11.5" style="64" customWidth="1"/>
    <col min="5" max="5" width="10.83203125" style="64" customWidth="1"/>
    <col min="6" max="7" width="10.66015625" style="64" customWidth="1"/>
    <col min="8" max="8" width="12.5" style="64" customWidth="1"/>
    <col min="9" max="9" width="14" style="63" customWidth="1"/>
    <col min="10" max="10" width="13" style="63" customWidth="1"/>
    <col min="11" max="11" width="12.5" style="63" customWidth="1"/>
    <col min="12" max="12" width="12.66015625" style="63" customWidth="1"/>
    <col min="13" max="13" width="14.83203125" style="81" customWidth="1"/>
    <col min="14" max="14" width="8.33203125" style="0" customWidth="1"/>
  </cols>
  <sheetData>
    <row r="1" spans="1:14" ht="15.75">
      <c r="A1" s="115" t="s">
        <v>327</v>
      </c>
      <c r="B1" s="115"/>
      <c r="C1" s="115"/>
      <c r="D1" s="115"/>
      <c r="E1" s="115"/>
      <c r="F1" s="115"/>
      <c r="G1" s="115"/>
      <c r="H1" s="115"/>
      <c r="I1" s="116"/>
      <c r="J1" s="116"/>
      <c r="K1" s="116"/>
      <c r="L1" s="116"/>
      <c r="M1" s="116"/>
      <c r="N1" s="116"/>
    </row>
    <row r="2" spans="1:14" ht="15.75" customHeight="1">
      <c r="A2" s="7" t="s">
        <v>203</v>
      </c>
      <c r="B2" s="7" t="s">
        <v>1</v>
      </c>
      <c r="C2" s="46" t="s">
        <v>2</v>
      </c>
      <c r="D2" s="117" t="s">
        <v>311</v>
      </c>
      <c r="E2" s="117"/>
      <c r="F2" s="117"/>
      <c r="G2" s="117"/>
      <c r="H2" s="117"/>
      <c r="I2" s="118" t="s">
        <v>313</v>
      </c>
      <c r="J2" s="119"/>
      <c r="K2" s="119"/>
      <c r="L2" s="119"/>
      <c r="M2" s="119"/>
      <c r="N2" s="120"/>
    </row>
    <row r="3" spans="1:14" s="6" customFormat="1" ht="45">
      <c r="A3" s="124" t="s">
        <v>0</v>
      </c>
      <c r="B3" s="124" t="s">
        <v>1</v>
      </c>
      <c r="C3" s="124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78" t="s">
        <v>3</v>
      </c>
      <c r="J3" s="78" t="s">
        <v>4</v>
      </c>
      <c r="K3" s="78" t="s">
        <v>5</v>
      </c>
      <c r="L3" s="78" t="s">
        <v>6</v>
      </c>
      <c r="M3" s="78" t="s">
        <v>7</v>
      </c>
      <c r="N3" s="47" t="s">
        <v>272</v>
      </c>
    </row>
    <row r="4" spans="1:14" ht="78.75" customHeight="1">
      <c r="A4" s="23" t="s">
        <v>279</v>
      </c>
      <c r="B4" s="23" t="s">
        <v>280</v>
      </c>
      <c r="C4" s="123" t="s">
        <v>59</v>
      </c>
      <c r="D4" s="54"/>
      <c r="E4" s="54"/>
      <c r="F4" s="54">
        <f>1045+3046</f>
        <v>4091</v>
      </c>
      <c r="G4" s="54"/>
      <c r="H4" s="54">
        <f aca="true" t="shared" si="0" ref="H4:H34">SUM(D4:G4)</f>
        <v>4091</v>
      </c>
      <c r="I4" s="54"/>
      <c r="J4" s="54"/>
      <c r="K4" s="54">
        <v>4012.11</v>
      </c>
      <c r="L4" s="54"/>
      <c r="M4" s="55">
        <f aca="true" t="shared" si="1" ref="M4:M66">SUM(I4:L4)</f>
        <v>4012.11</v>
      </c>
      <c r="N4" s="48">
        <f aca="true" t="shared" si="2" ref="N4:N9">M4/H4</f>
        <v>0.9807162063065266</v>
      </c>
    </row>
    <row r="5" spans="1:14" ht="11.25">
      <c r="A5" s="2"/>
      <c r="B5" s="3" t="s">
        <v>281</v>
      </c>
      <c r="C5" s="20"/>
      <c r="D5" s="56">
        <f>SUM(D4:D4)</f>
        <v>0</v>
      </c>
      <c r="E5" s="56">
        <f>SUM(E4:E4)</f>
        <v>0</v>
      </c>
      <c r="F5" s="56">
        <f>SUM(F4:F4)</f>
        <v>4091</v>
      </c>
      <c r="G5" s="56">
        <f>SUM(G4:G4)</f>
        <v>0</v>
      </c>
      <c r="H5" s="56">
        <f t="shared" si="0"/>
        <v>4091</v>
      </c>
      <c r="I5" s="56">
        <f>SUM(I4:I4)</f>
        <v>0</v>
      </c>
      <c r="J5" s="56">
        <f>SUM(J4:J4)</f>
        <v>0</v>
      </c>
      <c r="K5" s="56">
        <f>SUM(K4:K4)</f>
        <v>4012.11</v>
      </c>
      <c r="L5" s="56">
        <f>SUM(L4:L4)</f>
        <v>0</v>
      </c>
      <c r="M5" s="56">
        <f t="shared" si="1"/>
        <v>4012.11</v>
      </c>
      <c r="N5" s="84">
        <f t="shared" si="2"/>
        <v>0.9807162063065266</v>
      </c>
    </row>
    <row r="6" spans="1:14" ht="11.25">
      <c r="A6" s="4" t="s">
        <v>282</v>
      </c>
      <c r="B6" s="5"/>
      <c r="C6" s="9"/>
      <c r="D6" s="57">
        <f>SUM(D5)</f>
        <v>0</v>
      </c>
      <c r="E6" s="57">
        <f>SUM(E5)</f>
        <v>0</v>
      </c>
      <c r="F6" s="57">
        <f>SUM(F5)</f>
        <v>4091</v>
      </c>
      <c r="G6" s="57">
        <f>SUM(G5)</f>
        <v>0</v>
      </c>
      <c r="H6" s="57">
        <f t="shared" si="0"/>
        <v>4091</v>
      </c>
      <c r="I6" s="57">
        <f>SUM(I5)</f>
        <v>0</v>
      </c>
      <c r="J6" s="57">
        <f>SUM(J5)</f>
        <v>0</v>
      </c>
      <c r="K6" s="57">
        <f>SUM(K5)</f>
        <v>4012.11</v>
      </c>
      <c r="L6" s="57">
        <f>SUM(L5)</f>
        <v>0</v>
      </c>
      <c r="M6" s="57">
        <f t="shared" si="1"/>
        <v>4012.11</v>
      </c>
      <c r="N6" s="85">
        <f t="shared" si="2"/>
        <v>0.9807162063065266</v>
      </c>
    </row>
    <row r="7" spans="1:14" ht="33.75" customHeight="1">
      <c r="A7" s="1" t="s">
        <v>209</v>
      </c>
      <c r="B7" s="1" t="s">
        <v>210</v>
      </c>
      <c r="C7" s="74" t="s">
        <v>267</v>
      </c>
      <c r="D7" s="54">
        <v>50000</v>
      </c>
      <c r="E7" s="54"/>
      <c r="F7" s="54"/>
      <c r="G7" s="54"/>
      <c r="H7" s="54">
        <f t="shared" si="0"/>
        <v>50000</v>
      </c>
      <c r="I7" s="54">
        <v>49037.49</v>
      </c>
      <c r="J7" s="54"/>
      <c r="K7" s="54"/>
      <c r="L7" s="54"/>
      <c r="M7" s="55">
        <f t="shared" si="1"/>
        <v>49037.49</v>
      </c>
      <c r="N7" s="86">
        <f t="shared" si="2"/>
        <v>0.9807498</v>
      </c>
    </row>
    <row r="8" spans="1:14" ht="11.25">
      <c r="A8" s="2"/>
      <c r="B8" s="3" t="s">
        <v>211</v>
      </c>
      <c r="C8" s="20"/>
      <c r="D8" s="56">
        <f>SUM(D7:D7)</f>
        <v>50000</v>
      </c>
      <c r="E8" s="56">
        <f>SUM(E7:E7)</f>
        <v>0</v>
      </c>
      <c r="F8" s="56">
        <f>SUM(F7:F7)</f>
        <v>0</v>
      </c>
      <c r="G8" s="56">
        <f>SUM(G7:G7)</f>
        <v>0</v>
      </c>
      <c r="H8" s="56">
        <f t="shared" si="0"/>
        <v>50000</v>
      </c>
      <c r="I8" s="56">
        <f>SUM(I7:I7)</f>
        <v>49037.49</v>
      </c>
      <c r="J8" s="56">
        <f>SUM(J7:J7)</f>
        <v>0</v>
      </c>
      <c r="K8" s="56">
        <f>SUM(K7:K7)</f>
        <v>0</v>
      </c>
      <c r="L8" s="56">
        <f>SUM(L7:L7)</f>
        <v>0</v>
      </c>
      <c r="M8" s="56">
        <f t="shared" si="1"/>
        <v>49037.49</v>
      </c>
      <c r="N8" s="84">
        <f t="shared" si="2"/>
        <v>0.9807498</v>
      </c>
    </row>
    <row r="9" spans="1:14" ht="11.25">
      <c r="A9" s="4" t="s">
        <v>212</v>
      </c>
      <c r="B9" s="5"/>
      <c r="C9" s="9"/>
      <c r="D9" s="57">
        <f>SUM(D8)</f>
        <v>50000</v>
      </c>
      <c r="E9" s="57">
        <f>SUM(E8)</f>
        <v>0</v>
      </c>
      <c r="F9" s="57">
        <f>SUM(F8)</f>
        <v>0</v>
      </c>
      <c r="G9" s="57">
        <f>SUM(G8)</f>
        <v>0</v>
      </c>
      <c r="H9" s="57">
        <f t="shared" si="0"/>
        <v>50000</v>
      </c>
      <c r="I9" s="57">
        <f>SUM(I8)</f>
        <v>49037.49</v>
      </c>
      <c r="J9" s="57">
        <f>SUM(J8)</f>
        <v>0</v>
      </c>
      <c r="K9" s="57">
        <f>SUM(K8)</f>
        <v>0</v>
      </c>
      <c r="L9" s="57">
        <f>SUM(L8)</f>
        <v>0</v>
      </c>
      <c r="M9" s="57">
        <f t="shared" si="1"/>
        <v>49037.49</v>
      </c>
      <c r="N9" s="85">
        <f t="shared" si="2"/>
        <v>0.9807498</v>
      </c>
    </row>
    <row r="10" spans="1:14" s="29" customFormat="1" ht="16.5" customHeight="1">
      <c r="A10" s="105" t="s">
        <v>8</v>
      </c>
      <c r="B10" s="101" t="s">
        <v>9</v>
      </c>
      <c r="C10" s="11" t="s">
        <v>19</v>
      </c>
      <c r="D10" s="60"/>
      <c r="E10" s="60"/>
      <c r="F10" s="60"/>
      <c r="G10" s="60"/>
      <c r="H10" s="54">
        <f t="shared" si="0"/>
        <v>0</v>
      </c>
      <c r="I10" s="54">
        <v>41.04</v>
      </c>
      <c r="J10" s="60"/>
      <c r="K10" s="60"/>
      <c r="L10" s="60"/>
      <c r="M10" s="55">
        <f t="shared" si="1"/>
        <v>41.04</v>
      </c>
      <c r="N10" s="48"/>
    </row>
    <row r="11" spans="1:14" ht="90" customHeight="1">
      <c r="A11" s="121"/>
      <c r="B11" s="111"/>
      <c r="C11" s="11" t="s">
        <v>10</v>
      </c>
      <c r="D11" s="54">
        <f>320716+760045-732542</f>
        <v>348219</v>
      </c>
      <c r="E11" s="54"/>
      <c r="F11" s="54"/>
      <c r="G11" s="54"/>
      <c r="H11" s="54">
        <f t="shared" si="0"/>
        <v>348219</v>
      </c>
      <c r="I11" s="54">
        <v>315173.07</v>
      </c>
      <c r="J11" s="54"/>
      <c r="K11" s="54"/>
      <c r="L11" s="54"/>
      <c r="M11" s="55">
        <f t="shared" si="1"/>
        <v>315173.07</v>
      </c>
      <c r="N11" s="48">
        <f aca="true" t="shared" si="3" ref="N11:N35">M11/H11</f>
        <v>0.9051001524902432</v>
      </c>
    </row>
    <row r="12" spans="1:14" ht="92.25" customHeight="1">
      <c r="A12" s="2"/>
      <c r="B12" s="2"/>
      <c r="C12" s="11" t="s">
        <v>11</v>
      </c>
      <c r="D12" s="54">
        <f>56597+134125-129272</f>
        <v>61450</v>
      </c>
      <c r="E12" s="54"/>
      <c r="F12" s="54"/>
      <c r="G12" s="54"/>
      <c r="H12" s="54">
        <f t="shared" si="0"/>
        <v>61450</v>
      </c>
      <c r="I12" s="54">
        <v>58070.12</v>
      </c>
      <c r="J12" s="54"/>
      <c r="K12" s="54"/>
      <c r="L12" s="54"/>
      <c r="M12" s="55">
        <f t="shared" si="1"/>
        <v>58070.12</v>
      </c>
      <c r="N12" s="48">
        <f t="shared" si="3"/>
        <v>0.9449978844589098</v>
      </c>
    </row>
    <row r="13" spans="1:14" ht="11.25">
      <c r="A13" s="2"/>
      <c r="B13" s="3" t="s">
        <v>12</v>
      </c>
      <c r="C13" s="20"/>
      <c r="D13" s="56">
        <f>SUM(D10:D12)</f>
        <v>409669</v>
      </c>
      <c r="E13" s="56">
        <f>SUM(E10:E12)</f>
        <v>0</v>
      </c>
      <c r="F13" s="56">
        <f>SUM(F10:F12)</f>
        <v>0</v>
      </c>
      <c r="G13" s="56">
        <f>SUM(G10:G12)</f>
        <v>0</v>
      </c>
      <c r="H13" s="56">
        <f t="shared" si="0"/>
        <v>409669</v>
      </c>
      <c r="I13" s="56">
        <f>SUM(I10:I12)</f>
        <v>373284.23</v>
      </c>
      <c r="J13" s="56">
        <f>SUM(J10:J12)</f>
        <v>0</v>
      </c>
      <c r="K13" s="56">
        <f>SUM(K10:K12)</f>
        <v>0</v>
      </c>
      <c r="L13" s="56">
        <f>SUM(L10:L12)</f>
        <v>0</v>
      </c>
      <c r="M13" s="56">
        <f t="shared" si="1"/>
        <v>373284.23</v>
      </c>
      <c r="N13" s="77">
        <f t="shared" si="3"/>
        <v>0.911184956635723</v>
      </c>
    </row>
    <row r="14" spans="1:14" ht="12.75" customHeight="1">
      <c r="A14" s="4" t="s">
        <v>13</v>
      </c>
      <c r="B14" s="5"/>
      <c r="C14" s="9"/>
      <c r="D14" s="57">
        <f>SUM(D13)</f>
        <v>409669</v>
      </c>
      <c r="E14" s="57">
        <f>SUM(E13)</f>
        <v>0</v>
      </c>
      <c r="F14" s="57">
        <f>SUM(F13)</f>
        <v>0</v>
      </c>
      <c r="G14" s="57">
        <f>SUM(G13)</f>
        <v>0</v>
      </c>
      <c r="H14" s="57">
        <f t="shared" si="0"/>
        <v>409669</v>
      </c>
      <c r="I14" s="57">
        <f>SUM(I13)</f>
        <v>373284.23</v>
      </c>
      <c r="J14" s="57">
        <f>SUM(J13)</f>
        <v>0</v>
      </c>
      <c r="K14" s="57">
        <f>SUM(K13)</f>
        <v>0</v>
      </c>
      <c r="L14" s="57">
        <f>SUM(L13)</f>
        <v>0</v>
      </c>
      <c r="M14" s="57">
        <f t="shared" si="1"/>
        <v>373284.23</v>
      </c>
      <c r="N14" s="76">
        <f t="shared" si="3"/>
        <v>0.911184956635723</v>
      </c>
    </row>
    <row r="15" spans="1:14" ht="15" customHeight="1">
      <c r="A15" s="99" t="s">
        <v>14</v>
      </c>
      <c r="B15" s="90" t="s">
        <v>15</v>
      </c>
      <c r="C15" s="12" t="s">
        <v>16</v>
      </c>
      <c r="D15" s="54">
        <v>18000</v>
      </c>
      <c r="E15" s="54"/>
      <c r="F15" s="54"/>
      <c r="G15" s="54"/>
      <c r="H15" s="54">
        <f t="shared" si="0"/>
        <v>18000</v>
      </c>
      <c r="I15" s="54">
        <v>13978.27</v>
      </c>
      <c r="J15" s="54"/>
      <c r="K15" s="54"/>
      <c r="L15" s="54"/>
      <c r="M15" s="55">
        <f t="shared" si="1"/>
        <v>13978.27</v>
      </c>
      <c r="N15" s="48">
        <f t="shared" si="3"/>
        <v>0.7765705555555555</v>
      </c>
    </row>
    <row r="16" spans="1:14" ht="90" customHeight="1">
      <c r="A16" s="94"/>
      <c r="B16" s="95"/>
      <c r="C16" s="11" t="s">
        <v>17</v>
      </c>
      <c r="D16" s="54">
        <v>25000</v>
      </c>
      <c r="E16" s="54"/>
      <c r="F16" s="54"/>
      <c r="G16" s="54"/>
      <c r="H16" s="54">
        <f t="shared" si="0"/>
        <v>25000</v>
      </c>
      <c r="I16" s="54">
        <v>18732.79</v>
      </c>
      <c r="J16" s="54"/>
      <c r="K16" s="54"/>
      <c r="L16" s="54"/>
      <c r="M16" s="55">
        <f t="shared" si="1"/>
        <v>18732.79</v>
      </c>
      <c r="N16" s="48">
        <f t="shared" si="3"/>
        <v>0.7493116000000001</v>
      </c>
    </row>
    <row r="17" spans="1:14" ht="11.25">
      <c r="A17" s="2"/>
      <c r="B17" s="2"/>
      <c r="C17" s="11" t="s">
        <v>18</v>
      </c>
      <c r="D17" s="54">
        <v>64833791</v>
      </c>
      <c r="E17" s="54"/>
      <c r="F17" s="54"/>
      <c r="G17" s="54"/>
      <c r="H17" s="54">
        <f t="shared" si="0"/>
        <v>64833791</v>
      </c>
      <c r="I17" s="54">
        <v>69251468.19</v>
      </c>
      <c r="J17" s="54"/>
      <c r="K17" s="54"/>
      <c r="L17" s="54"/>
      <c r="M17" s="55">
        <f t="shared" si="1"/>
        <v>69251468.19</v>
      </c>
      <c r="N17" s="48">
        <f t="shared" si="3"/>
        <v>1.0681384987960985</v>
      </c>
    </row>
    <row r="18" spans="1:14" ht="11.25">
      <c r="A18" s="2"/>
      <c r="B18" s="2"/>
      <c r="C18" s="11" t="s">
        <v>19</v>
      </c>
      <c r="D18" s="54">
        <v>72000</v>
      </c>
      <c r="E18" s="54"/>
      <c r="F18" s="54"/>
      <c r="G18" s="54"/>
      <c r="H18" s="54">
        <f t="shared" si="0"/>
        <v>72000</v>
      </c>
      <c r="I18" s="54">
        <v>51135.85</v>
      </c>
      <c r="J18" s="54"/>
      <c r="K18" s="54"/>
      <c r="L18" s="54"/>
      <c r="M18" s="55">
        <f t="shared" si="1"/>
        <v>51135.85</v>
      </c>
      <c r="N18" s="48">
        <f t="shared" si="3"/>
        <v>0.7102201388888889</v>
      </c>
    </row>
    <row r="19" spans="1:14" ht="22.5">
      <c r="A19" s="2"/>
      <c r="B19" s="2"/>
      <c r="C19" s="11" t="s">
        <v>20</v>
      </c>
      <c r="D19" s="54">
        <f>400000+20000</f>
        <v>420000</v>
      </c>
      <c r="E19" s="54"/>
      <c r="F19" s="54"/>
      <c r="G19" s="54"/>
      <c r="H19" s="54">
        <f t="shared" si="0"/>
        <v>420000</v>
      </c>
      <c r="I19" s="54">
        <v>662208.8</v>
      </c>
      <c r="J19" s="54"/>
      <c r="K19" s="54"/>
      <c r="L19" s="54"/>
      <c r="M19" s="55">
        <f t="shared" si="1"/>
        <v>662208.8</v>
      </c>
      <c r="N19" s="48">
        <f t="shared" si="3"/>
        <v>1.5766876190476191</v>
      </c>
    </row>
    <row r="20" spans="1:14" ht="92.25" customHeight="1">
      <c r="A20" s="2"/>
      <c r="B20" s="104"/>
      <c r="C20" s="11" t="s">
        <v>21</v>
      </c>
      <c r="D20" s="54">
        <v>75408</v>
      </c>
      <c r="E20" s="54"/>
      <c r="F20" s="54"/>
      <c r="G20" s="54"/>
      <c r="H20" s="54">
        <f t="shared" si="0"/>
        <v>75408</v>
      </c>
      <c r="I20" s="54">
        <v>32354.94</v>
      </c>
      <c r="J20" s="54"/>
      <c r="K20" s="54"/>
      <c r="L20" s="54"/>
      <c r="M20" s="55">
        <f>SUM(I20:L20)</f>
        <v>32354.94</v>
      </c>
      <c r="N20" s="48">
        <f t="shared" si="3"/>
        <v>0.429065085932527</v>
      </c>
    </row>
    <row r="21" spans="1:14" ht="57.75" customHeight="1">
      <c r="A21" s="2"/>
      <c r="B21" s="91"/>
      <c r="C21" s="11" t="s">
        <v>22</v>
      </c>
      <c r="D21" s="54"/>
      <c r="E21" s="54">
        <v>9156210</v>
      </c>
      <c r="F21" s="54"/>
      <c r="G21" s="54"/>
      <c r="H21" s="54">
        <f t="shared" si="0"/>
        <v>9156210</v>
      </c>
      <c r="I21" s="54"/>
      <c r="J21" s="54">
        <v>8713312.38</v>
      </c>
      <c r="K21" s="54"/>
      <c r="L21" s="54"/>
      <c r="M21" s="55">
        <f t="shared" si="1"/>
        <v>8713312.38</v>
      </c>
      <c r="N21" s="48">
        <f t="shared" si="3"/>
        <v>0.9516287175589028</v>
      </c>
    </row>
    <row r="22" spans="1:14" ht="78.75" customHeight="1">
      <c r="A22" s="2"/>
      <c r="B22" s="91"/>
      <c r="C22" s="11" t="s">
        <v>54</v>
      </c>
      <c r="D22" s="54">
        <v>150000</v>
      </c>
      <c r="E22" s="54"/>
      <c r="F22" s="54"/>
      <c r="G22" s="54"/>
      <c r="H22" s="54">
        <f t="shared" si="0"/>
        <v>150000</v>
      </c>
      <c r="I22" s="54">
        <v>150000</v>
      </c>
      <c r="J22" s="54"/>
      <c r="K22" s="54"/>
      <c r="L22" s="54"/>
      <c r="M22" s="55">
        <f t="shared" si="1"/>
        <v>150000</v>
      </c>
      <c r="N22" s="48">
        <f t="shared" si="3"/>
        <v>1</v>
      </c>
    </row>
    <row r="23" spans="1:14" ht="78.75">
      <c r="A23" s="2"/>
      <c r="B23" s="91"/>
      <c r="C23" s="11" t="s">
        <v>23</v>
      </c>
      <c r="D23" s="54">
        <v>271864</v>
      </c>
      <c r="E23" s="54"/>
      <c r="F23" s="54"/>
      <c r="G23" s="54"/>
      <c r="H23" s="54">
        <f t="shared" si="0"/>
        <v>271864</v>
      </c>
      <c r="I23" s="54">
        <v>165602.53</v>
      </c>
      <c r="J23" s="54"/>
      <c r="K23" s="54"/>
      <c r="L23" s="54"/>
      <c r="M23" s="55">
        <f t="shared" si="1"/>
        <v>165602.53</v>
      </c>
      <c r="N23" s="48">
        <f t="shared" si="3"/>
        <v>0.609137399582144</v>
      </c>
    </row>
    <row r="24" spans="1:14" ht="78.75">
      <c r="A24" s="2"/>
      <c r="B24" s="91"/>
      <c r="C24" s="27" t="s">
        <v>304</v>
      </c>
      <c r="D24" s="54">
        <v>125000</v>
      </c>
      <c r="E24" s="54"/>
      <c r="F24" s="54"/>
      <c r="G24" s="54"/>
      <c r="H24" s="54">
        <f t="shared" si="0"/>
        <v>125000</v>
      </c>
      <c r="I24" s="54">
        <v>125000</v>
      </c>
      <c r="J24" s="54"/>
      <c r="K24" s="54"/>
      <c r="L24" s="54"/>
      <c r="M24" s="55">
        <f t="shared" si="1"/>
        <v>125000</v>
      </c>
      <c r="N24" s="48">
        <f t="shared" si="3"/>
        <v>1</v>
      </c>
    </row>
    <row r="25" spans="1:14" ht="11.25">
      <c r="A25" s="2"/>
      <c r="B25" s="3" t="s">
        <v>24</v>
      </c>
      <c r="C25" s="14"/>
      <c r="D25" s="56">
        <f>SUM(D15:D24)</f>
        <v>65991063</v>
      </c>
      <c r="E25" s="56">
        <f>SUM(E15:E24)</f>
        <v>9156210</v>
      </c>
      <c r="F25" s="56">
        <f>SUM(F15:F24)</f>
        <v>0</v>
      </c>
      <c r="G25" s="56">
        <f>SUM(G15:G24)</f>
        <v>0</v>
      </c>
      <c r="H25" s="56">
        <f t="shared" si="0"/>
        <v>75147273</v>
      </c>
      <c r="I25" s="56">
        <f>SUM(I15:I24)</f>
        <v>70470481.36999999</v>
      </c>
      <c r="J25" s="56">
        <f>SUM(J15:J24)</f>
        <v>8713312.38</v>
      </c>
      <c r="K25" s="56">
        <f>SUM(K15:K24)</f>
        <v>0</v>
      </c>
      <c r="L25" s="56">
        <f>SUM(L15:L24)</f>
        <v>0</v>
      </c>
      <c r="M25" s="56">
        <f t="shared" si="1"/>
        <v>79183793.74999999</v>
      </c>
      <c r="N25" s="51">
        <f t="shared" si="3"/>
        <v>1.0537148001365264</v>
      </c>
    </row>
    <row r="26" spans="1:14" ht="33" customHeight="1">
      <c r="A26" s="2"/>
      <c r="B26" s="90" t="s">
        <v>25</v>
      </c>
      <c r="C26" s="15" t="s">
        <v>204</v>
      </c>
      <c r="D26" s="54">
        <v>35000</v>
      </c>
      <c r="E26" s="54"/>
      <c r="F26" s="54"/>
      <c r="G26" s="54"/>
      <c r="H26" s="54">
        <f t="shared" si="0"/>
        <v>35000</v>
      </c>
      <c r="I26" s="54">
        <v>8194.7</v>
      </c>
      <c r="J26" s="54"/>
      <c r="K26" s="54"/>
      <c r="L26" s="54"/>
      <c r="M26" s="55">
        <f t="shared" si="1"/>
        <v>8194.7</v>
      </c>
      <c r="N26" s="48">
        <f t="shared" si="3"/>
        <v>0.23413428571428574</v>
      </c>
    </row>
    <row r="27" spans="1:14" ht="45" customHeight="1">
      <c r="A27" s="2"/>
      <c r="B27" s="91"/>
      <c r="C27" s="15" t="s">
        <v>26</v>
      </c>
      <c r="D27" s="54">
        <v>26000</v>
      </c>
      <c r="E27" s="54"/>
      <c r="F27" s="54"/>
      <c r="G27" s="54"/>
      <c r="H27" s="54">
        <f t="shared" si="0"/>
        <v>26000</v>
      </c>
      <c r="I27" s="54">
        <v>203582.54</v>
      </c>
      <c r="J27" s="54"/>
      <c r="K27" s="54"/>
      <c r="L27" s="54"/>
      <c r="M27" s="55">
        <f t="shared" si="1"/>
        <v>203582.54</v>
      </c>
      <c r="N27" s="48">
        <f t="shared" si="3"/>
        <v>7.830097692307692</v>
      </c>
    </row>
    <row r="28" spans="1:14" ht="16.5" customHeight="1">
      <c r="A28" s="2"/>
      <c r="B28" s="95"/>
      <c r="C28" s="16" t="s">
        <v>16</v>
      </c>
      <c r="D28" s="54">
        <f>9019653+653277</f>
        <v>9672930</v>
      </c>
      <c r="E28" s="54"/>
      <c r="F28" s="54"/>
      <c r="G28" s="54"/>
      <c r="H28" s="54">
        <f t="shared" si="0"/>
        <v>9672930</v>
      </c>
      <c r="I28" s="54">
        <v>9173115.17</v>
      </c>
      <c r="J28" s="54"/>
      <c r="K28" s="54"/>
      <c r="L28" s="54"/>
      <c r="M28" s="55">
        <f t="shared" si="1"/>
        <v>9173115.17</v>
      </c>
      <c r="N28" s="48">
        <f t="shared" si="3"/>
        <v>0.9483284971564976</v>
      </c>
    </row>
    <row r="29" spans="1:14" ht="13.5" customHeight="1">
      <c r="A29" s="2"/>
      <c r="B29" s="23"/>
      <c r="C29" s="16" t="s">
        <v>19</v>
      </c>
      <c r="D29" s="54">
        <v>6000</v>
      </c>
      <c r="E29" s="54"/>
      <c r="F29" s="54"/>
      <c r="G29" s="54"/>
      <c r="H29" s="54">
        <f t="shared" si="0"/>
        <v>6000</v>
      </c>
      <c r="I29" s="54">
        <v>10333.93</v>
      </c>
      <c r="J29" s="54"/>
      <c r="K29" s="54"/>
      <c r="L29" s="54"/>
      <c r="M29" s="55">
        <f t="shared" si="1"/>
        <v>10333.93</v>
      </c>
      <c r="N29" s="48">
        <f t="shared" si="3"/>
        <v>1.7223216666666668</v>
      </c>
    </row>
    <row r="30" spans="1:14" ht="22.5" customHeight="1">
      <c r="A30" s="2"/>
      <c r="B30" s="23"/>
      <c r="C30" s="16" t="s">
        <v>20</v>
      </c>
      <c r="D30" s="54">
        <v>340000</v>
      </c>
      <c r="E30" s="54"/>
      <c r="F30" s="54"/>
      <c r="G30" s="54"/>
      <c r="H30" s="54">
        <f t="shared" si="0"/>
        <v>340000</v>
      </c>
      <c r="I30" s="54">
        <v>1065210.61</v>
      </c>
      <c r="J30" s="54"/>
      <c r="K30" s="54"/>
      <c r="L30" s="54"/>
      <c r="M30" s="55">
        <f t="shared" si="1"/>
        <v>1065210.61</v>
      </c>
      <c r="N30" s="48">
        <f t="shared" si="3"/>
        <v>3.1329723823529414</v>
      </c>
    </row>
    <row r="31" spans="1:14" ht="88.5" customHeight="1">
      <c r="A31" s="2"/>
      <c r="B31" s="2"/>
      <c r="C31" s="16" t="s">
        <v>27</v>
      </c>
      <c r="D31" s="54">
        <f>11042838+1031900-7669789+13780305</f>
        <v>18185254</v>
      </c>
      <c r="E31" s="54"/>
      <c r="F31" s="54"/>
      <c r="G31" s="54"/>
      <c r="H31" s="54">
        <f t="shared" si="0"/>
        <v>18185254</v>
      </c>
      <c r="I31" s="54">
        <v>7161661.79</v>
      </c>
      <c r="J31" s="54"/>
      <c r="K31" s="54"/>
      <c r="L31" s="54"/>
      <c r="M31" s="55">
        <f t="shared" si="1"/>
        <v>7161661.79</v>
      </c>
      <c r="N31" s="48">
        <f t="shared" si="3"/>
        <v>0.39381697885550565</v>
      </c>
    </row>
    <row r="32" spans="1:14" ht="81" customHeight="1">
      <c r="A32" s="2"/>
      <c r="B32" s="23"/>
      <c r="C32" s="16" t="s">
        <v>324</v>
      </c>
      <c r="D32" s="54"/>
      <c r="E32" s="54"/>
      <c r="F32" s="54"/>
      <c r="G32" s="54"/>
      <c r="H32" s="54">
        <f t="shared" si="0"/>
        <v>0</v>
      </c>
      <c r="I32" s="54"/>
      <c r="J32" s="54">
        <v>102154.26</v>
      </c>
      <c r="K32" s="54"/>
      <c r="L32" s="54"/>
      <c r="M32" s="55">
        <f t="shared" si="1"/>
        <v>102154.26</v>
      </c>
      <c r="N32" s="48"/>
    </row>
    <row r="33" spans="1:14" ht="79.5" customHeight="1">
      <c r="A33" s="2"/>
      <c r="B33" s="23"/>
      <c r="C33" s="16" t="s">
        <v>325</v>
      </c>
      <c r="D33" s="54"/>
      <c r="E33" s="54"/>
      <c r="F33" s="54"/>
      <c r="G33" s="54"/>
      <c r="H33" s="54">
        <f t="shared" si="0"/>
        <v>0</v>
      </c>
      <c r="I33" s="54"/>
      <c r="J33" s="54">
        <v>82576.25</v>
      </c>
      <c r="K33" s="54"/>
      <c r="L33" s="54"/>
      <c r="M33" s="55">
        <f t="shared" si="1"/>
        <v>82576.25</v>
      </c>
      <c r="N33" s="48"/>
    </row>
    <row r="34" spans="1:14" ht="92.25" customHeight="1">
      <c r="A34" s="2"/>
      <c r="B34" s="23"/>
      <c r="C34" s="16" t="s">
        <v>326</v>
      </c>
      <c r="D34" s="54"/>
      <c r="E34" s="54"/>
      <c r="F34" s="54"/>
      <c r="G34" s="54"/>
      <c r="H34" s="54">
        <f t="shared" si="0"/>
        <v>0</v>
      </c>
      <c r="I34" s="54"/>
      <c r="J34" s="54">
        <v>165214.84</v>
      </c>
      <c r="K34" s="54"/>
      <c r="L34" s="54"/>
      <c r="M34" s="55">
        <f t="shared" si="1"/>
        <v>165214.84</v>
      </c>
      <c r="N34" s="48"/>
    </row>
    <row r="35" spans="1:14" ht="11.25">
      <c r="A35" s="2"/>
      <c r="B35" s="3" t="s">
        <v>28</v>
      </c>
      <c r="C35" s="13"/>
      <c r="D35" s="56">
        <f>SUM(D26:D34)</f>
        <v>28265184</v>
      </c>
      <c r="E35" s="56">
        <f>SUM(E26:E34)</f>
        <v>0</v>
      </c>
      <c r="F35" s="56">
        <f>SUM(F26:F34)</f>
        <v>0</v>
      </c>
      <c r="G35" s="56">
        <f>SUM(G26:G34)</f>
        <v>0</v>
      </c>
      <c r="H35" s="56">
        <f aca="true" t="shared" si="4" ref="H35:H66">SUM(D35:G35)</f>
        <v>28265184</v>
      </c>
      <c r="I35" s="56">
        <f>SUM(I26:I34)</f>
        <v>17622098.74</v>
      </c>
      <c r="J35" s="56">
        <f>SUM(J26:J34)</f>
        <v>349945.35</v>
      </c>
      <c r="K35" s="56">
        <f>SUM(K26:K34)</f>
        <v>0</v>
      </c>
      <c r="L35" s="56">
        <f>SUM(L26:L34)</f>
        <v>0</v>
      </c>
      <c r="M35" s="56">
        <f t="shared" si="1"/>
        <v>17972044.09</v>
      </c>
      <c r="N35" s="51">
        <f t="shared" si="3"/>
        <v>0.6358367980197829</v>
      </c>
    </row>
    <row r="36" spans="1:14" ht="47.25" customHeight="1">
      <c r="A36" s="2"/>
      <c r="B36" s="22" t="s">
        <v>213</v>
      </c>
      <c r="C36" s="15" t="s">
        <v>26</v>
      </c>
      <c r="D36" s="54"/>
      <c r="E36" s="54"/>
      <c r="F36" s="54"/>
      <c r="G36" s="54"/>
      <c r="H36" s="54">
        <f t="shared" si="4"/>
        <v>0</v>
      </c>
      <c r="I36" s="54">
        <v>1348.1</v>
      </c>
      <c r="J36" s="54"/>
      <c r="K36" s="54"/>
      <c r="L36" s="54"/>
      <c r="M36" s="55">
        <f t="shared" si="1"/>
        <v>1348.1</v>
      </c>
      <c r="N36" s="48"/>
    </row>
    <row r="37" spans="1:14" ht="24.75" customHeight="1">
      <c r="A37" s="2"/>
      <c r="B37" s="22" t="s">
        <v>213</v>
      </c>
      <c r="C37" s="16" t="s">
        <v>20</v>
      </c>
      <c r="D37" s="54"/>
      <c r="E37" s="54"/>
      <c r="F37" s="54"/>
      <c r="G37" s="54"/>
      <c r="H37" s="54">
        <f t="shared" si="4"/>
        <v>0</v>
      </c>
      <c r="I37" s="54">
        <v>90594.77</v>
      </c>
      <c r="J37" s="54"/>
      <c r="K37" s="54"/>
      <c r="L37" s="54"/>
      <c r="M37" s="55">
        <f t="shared" si="1"/>
        <v>90594.77</v>
      </c>
      <c r="N37" s="48"/>
    </row>
    <row r="38" spans="1:14" ht="11.25">
      <c r="A38" s="2"/>
      <c r="B38" s="3" t="s">
        <v>214</v>
      </c>
      <c r="C38" s="13"/>
      <c r="D38" s="56">
        <f>SUM(D36:D37)</f>
        <v>0</v>
      </c>
      <c r="E38" s="56">
        <f>SUM(E36:E37)</f>
        <v>0</v>
      </c>
      <c r="F38" s="56">
        <f>SUM(F36:F37)</f>
        <v>0</v>
      </c>
      <c r="G38" s="56">
        <f>SUM(G36:G37)</f>
        <v>0</v>
      </c>
      <c r="H38" s="56">
        <f t="shared" si="4"/>
        <v>0</v>
      </c>
      <c r="I38" s="56">
        <f>SUM(I36:I37)</f>
        <v>91942.87000000001</v>
      </c>
      <c r="J38" s="56">
        <f>SUM(J36:J37)</f>
        <v>0</v>
      </c>
      <c r="K38" s="56">
        <f>SUM(K36:K37)</f>
        <v>0</v>
      </c>
      <c r="L38" s="56">
        <f>SUM(L36:L37)</f>
        <v>0</v>
      </c>
      <c r="M38" s="56">
        <f t="shared" si="1"/>
        <v>91942.87000000001</v>
      </c>
      <c r="N38" s="51"/>
    </row>
    <row r="39" spans="1:14" ht="12.75" customHeight="1">
      <c r="A39" s="2"/>
      <c r="B39" s="105" t="s">
        <v>29</v>
      </c>
      <c r="C39" s="15" t="s">
        <v>16</v>
      </c>
      <c r="D39" s="54">
        <v>10260</v>
      </c>
      <c r="E39" s="54"/>
      <c r="F39" s="54"/>
      <c r="G39" s="54"/>
      <c r="H39" s="54">
        <f t="shared" si="4"/>
        <v>10260</v>
      </c>
      <c r="I39" s="54">
        <v>3438.76</v>
      </c>
      <c r="J39" s="54"/>
      <c r="K39" s="54"/>
      <c r="L39" s="54"/>
      <c r="M39" s="55">
        <f t="shared" si="1"/>
        <v>3438.76</v>
      </c>
      <c r="N39" s="48">
        <f aca="true" t="shared" si="5" ref="N39:N46">M39/H39</f>
        <v>0.3351617933723197</v>
      </c>
    </row>
    <row r="40" spans="1:14" ht="12.75" customHeight="1">
      <c r="A40" s="2"/>
      <c r="B40" s="122"/>
      <c r="C40" s="16" t="s">
        <v>19</v>
      </c>
      <c r="D40" s="54"/>
      <c r="E40" s="54"/>
      <c r="F40" s="54"/>
      <c r="G40" s="54"/>
      <c r="H40" s="54">
        <f t="shared" si="4"/>
        <v>0</v>
      </c>
      <c r="I40" s="54">
        <v>2.12</v>
      </c>
      <c r="J40" s="54"/>
      <c r="K40" s="54"/>
      <c r="L40" s="54"/>
      <c r="M40" s="55">
        <f t="shared" si="1"/>
        <v>2.12</v>
      </c>
      <c r="N40" s="48"/>
    </row>
    <row r="41" spans="1:14" ht="12.75" customHeight="1">
      <c r="A41" s="2"/>
      <c r="B41" s="122"/>
      <c r="C41" s="16" t="s">
        <v>215</v>
      </c>
      <c r="D41" s="54"/>
      <c r="E41" s="54"/>
      <c r="F41" s="54"/>
      <c r="G41" s="54"/>
      <c r="H41" s="54">
        <f t="shared" si="4"/>
        <v>0</v>
      </c>
      <c r="I41" s="54">
        <v>3163.56</v>
      </c>
      <c r="J41" s="54"/>
      <c r="K41" s="54"/>
      <c r="L41" s="54"/>
      <c r="M41" s="55">
        <f t="shared" si="1"/>
        <v>3163.56</v>
      </c>
      <c r="N41" s="48"/>
    </row>
    <row r="42" spans="1:14" ht="59.25" customHeight="1">
      <c r="A42" s="2"/>
      <c r="B42" s="122"/>
      <c r="C42" s="11" t="s">
        <v>225</v>
      </c>
      <c r="D42" s="54"/>
      <c r="E42" s="54"/>
      <c r="F42" s="54"/>
      <c r="G42" s="54"/>
      <c r="H42" s="54">
        <f t="shared" si="4"/>
        <v>0</v>
      </c>
      <c r="I42" s="54">
        <v>216000</v>
      </c>
      <c r="J42" s="54"/>
      <c r="K42" s="54"/>
      <c r="L42" s="54"/>
      <c r="M42" s="55">
        <f t="shared" si="1"/>
        <v>216000</v>
      </c>
      <c r="N42" s="48"/>
    </row>
    <row r="43" spans="1:14" ht="84.75" customHeight="1">
      <c r="A43" s="2"/>
      <c r="B43" s="121"/>
      <c r="C43" s="16" t="s">
        <v>23</v>
      </c>
      <c r="D43" s="54">
        <v>511356</v>
      </c>
      <c r="E43" s="54"/>
      <c r="F43" s="54"/>
      <c r="G43" s="54"/>
      <c r="H43" s="54">
        <f t="shared" si="4"/>
        <v>511356</v>
      </c>
      <c r="I43" s="54"/>
      <c r="J43" s="54"/>
      <c r="K43" s="54"/>
      <c r="L43" s="54"/>
      <c r="M43" s="55">
        <f t="shared" si="1"/>
        <v>0</v>
      </c>
      <c r="N43" s="48">
        <f t="shared" si="5"/>
        <v>0</v>
      </c>
    </row>
    <row r="44" spans="1:14" ht="69" customHeight="1">
      <c r="A44" s="2"/>
      <c r="B44" s="2"/>
      <c r="C44" s="16" t="s">
        <v>30</v>
      </c>
      <c r="D44" s="54">
        <v>63750</v>
      </c>
      <c r="E44" s="54"/>
      <c r="F44" s="54"/>
      <c r="G44" s="54"/>
      <c r="H44" s="54">
        <f t="shared" si="4"/>
        <v>63750</v>
      </c>
      <c r="I44" s="54"/>
      <c r="J44" s="54"/>
      <c r="K44" s="54"/>
      <c r="L44" s="54"/>
      <c r="M44" s="55">
        <f t="shared" si="1"/>
        <v>0</v>
      </c>
      <c r="N44" s="48">
        <f t="shared" si="5"/>
        <v>0</v>
      </c>
    </row>
    <row r="45" spans="1:14" ht="11.25">
      <c r="A45" s="2"/>
      <c r="B45" s="3" t="s">
        <v>31</v>
      </c>
      <c r="C45" s="17"/>
      <c r="D45" s="56">
        <f>SUM(D39:D44)</f>
        <v>585366</v>
      </c>
      <c r="E45" s="56">
        <f>SUM(E39:E44)</f>
        <v>0</v>
      </c>
      <c r="F45" s="56">
        <f>SUM(F39:F44)</f>
        <v>0</v>
      </c>
      <c r="G45" s="56">
        <f>SUM(G39:G44)</f>
        <v>0</v>
      </c>
      <c r="H45" s="56">
        <f t="shared" si="4"/>
        <v>585366</v>
      </c>
      <c r="I45" s="56">
        <f>SUM(I39:I44)</f>
        <v>222604.44</v>
      </c>
      <c r="J45" s="56">
        <f>SUM(J39:J44)</f>
        <v>0</v>
      </c>
      <c r="K45" s="56">
        <f>SUM(K39:K44)</f>
        <v>0</v>
      </c>
      <c r="L45" s="56">
        <f>SUM(L39:L44)</f>
        <v>0</v>
      </c>
      <c r="M45" s="56">
        <f t="shared" si="1"/>
        <v>222604.44</v>
      </c>
      <c r="N45" s="50">
        <f t="shared" si="5"/>
        <v>0.3802824899293775</v>
      </c>
    </row>
    <row r="46" spans="1:14" ht="11.25">
      <c r="A46" s="24" t="s">
        <v>32</v>
      </c>
      <c r="B46" s="5"/>
      <c r="C46" s="9"/>
      <c r="D46" s="57">
        <f>SUM(D45,D38,D35,D25)</f>
        <v>94841613</v>
      </c>
      <c r="E46" s="57">
        <f>SUM(E45,E38,E35,E25)</f>
        <v>9156210</v>
      </c>
      <c r="F46" s="57">
        <f>SUM(F45,F38,F35,F25)</f>
        <v>0</v>
      </c>
      <c r="G46" s="57">
        <f>SUM(G45,G38,G35,G25)</f>
        <v>0</v>
      </c>
      <c r="H46" s="57">
        <f t="shared" si="4"/>
        <v>103997823</v>
      </c>
      <c r="I46" s="57">
        <f>SUM(I45,I38,I35,I25)</f>
        <v>88407127.41999999</v>
      </c>
      <c r="J46" s="57">
        <f>SUM(J45,J38,J35,J25)</f>
        <v>9063257.73</v>
      </c>
      <c r="K46" s="57">
        <f>SUM(K45,K38,K35,K25)</f>
        <v>0</v>
      </c>
      <c r="L46" s="57">
        <f>SUM(L45,L38,L35,L25)</f>
        <v>0</v>
      </c>
      <c r="M46" s="57">
        <f t="shared" si="1"/>
        <v>97470385.14999999</v>
      </c>
      <c r="N46" s="52">
        <f t="shared" si="5"/>
        <v>0.9372348606758816</v>
      </c>
    </row>
    <row r="47" spans="1:14" ht="70.5" customHeight="1">
      <c r="A47" s="1" t="s">
        <v>288</v>
      </c>
      <c r="B47" s="1" t="s">
        <v>290</v>
      </c>
      <c r="C47" s="12" t="s">
        <v>292</v>
      </c>
      <c r="D47" s="54"/>
      <c r="E47" s="54"/>
      <c r="F47" s="54"/>
      <c r="G47" s="54"/>
      <c r="H47" s="54">
        <f t="shared" si="4"/>
        <v>0</v>
      </c>
      <c r="I47" s="54"/>
      <c r="J47" s="54">
        <v>493926.53</v>
      </c>
      <c r="K47" s="54"/>
      <c r="L47" s="54"/>
      <c r="M47" s="55">
        <f t="shared" si="1"/>
        <v>493926.53</v>
      </c>
      <c r="N47" s="48"/>
    </row>
    <row r="48" spans="1:14" ht="11.25">
      <c r="A48" s="2"/>
      <c r="B48" s="3" t="s">
        <v>291</v>
      </c>
      <c r="C48" s="20"/>
      <c r="D48" s="56">
        <f>SUM(D47:D47)</f>
        <v>0</v>
      </c>
      <c r="E48" s="56">
        <f>SUM(E47:E47)</f>
        <v>0</v>
      </c>
      <c r="F48" s="56">
        <f>SUM(F47:F47)</f>
        <v>0</v>
      </c>
      <c r="G48" s="56">
        <f>SUM(G47:G47)</f>
        <v>0</v>
      </c>
      <c r="H48" s="56">
        <f t="shared" si="4"/>
        <v>0</v>
      </c>
      <c r="I48" s="56">
        <f>SUM(I47:I47)</f>
        <v>0</v>
      </c>
      <c r="J48" s="56">
        <f>SUM(J47:J47)</f>
        <v>493926.53</v>
      </c>
      <c r="K48" s="56">
        <f>SUM(K47:K47)</f>
        <v>0</v>
      </c>
      <c r="L48" s="56">
        <f>SUM(L47:L47)</f>
        <v>0</v>
      </c>
      <c r="M48" s="56">
        <f t="shared" si="1"/>
        <v>493926.53</v>
      </c>
      <c r="N48" s="50"/>
    </row>
    <row r="49" spans="1:14" ht="11.25">
      <c r="A49" s="24" t="s">
        <v>289</v>
      </c>
      <c r="B49" s="5"/>
      <c r="C49" s="9"/>
      <c r="D49" s="57">
        <f>SUM(D48)</f>
        <v>0</v>
      </c>
      <c r="E49" s="57">
        <f>SUM(E48)</f>
        <v>0</v>
      </c>
      <c r="F49" s="57">
        <f>SUM(F48)</f>
        <v>0</v>
      </c>
      <c r="G49" s="57">
        <f>SUM(G48)</f>
        <v>0</v>
      </c>
      <c r="H49" s="57">
        <f t="shared" si="4"/>
        <v>0</v>
      </c>
      <c r="I49" s="57">
        <f>SUM(I48)</f>
        <v>0</v>
      </c>
      <c r="J49" s="57">
        <f>SUM(J48)</f>
        <v>493926.53</v>
      </c>
      <c r="K49" s="57">
        <f>SUM(K48)</f>
        <v>0</v>
      </c>
      <c r="L49" s="57">
        <f>SUM(L48)</f>
        <v>0</v>
      </c>
      <c r="M49" s="57">
        <f t="shared" si="1"/>
        <v>493926.53</v>
      </c>
      <c r="N49" s="52"/>
    </row>
    <row r="50" spans="1:14" ht="102" customHeight="1">
      <c r="A50" s="93" t="s">
        <v>33</v>
      </c>
      <c r="B50" s="1" t="s">
        <v>216</v>
      </c>
      <c r="C50" s="15" t="s">
        <v>302</v>
      </c>
      <c r="D50" s="54"/>
      <c r="E50" s="54"/>
      <c r="F50" s="54"/>
      <c r="G50" s="54"/>
      <c r="H50" s="54">
        <f t="shared" si="4"/>
        <v>0</v>
      </c>
      <c r="I50" s="54">
        <v>42705</v>
      </c>
      <c r="J50" s="54"/>
      <c r="K50" s="54"/>
      <c r="L50" s="54"/>
      <c r="M50" s="55">
        <f t="shared" si="1"/>
        <v>42705</v>
      </c>
      <c r="N50" s="48"/>
    </row>
    <row r="51" spans="1:14" ht="11.25">
      <c r="A51" s="93"/>
      <c r="B51" s="3" t="s">
        <v>217</v>
      </c>
      <c r="C51" s="17"/>
      <c r="D51" s="56">
        <f>SUM(D50)</f>
        <v>0</v>
      </c>
      <c r="E51" s="56">
        <f>SUM(E50)</f>
        <v>0</v>
      </c>
      <c r="F51" s="56">
        <f>SUM(F50)</f>
        <v>0</v>
      </c>
      <c r="G51" s="56">
        <f>SUM(G50)</f>
        <v>0</v>
      </c>
      <c r="H51" s="56">
        <f t="shared" si="4"/>
        <v>0</v>
      </c>
      <c r="I51" s="56">
        <f>SUM(I50)</f>
        <v>42705</v>
      </c>
      <c r="J51" s="56">
        <f>SUM(J50)</f>
        <v>0</v>
      </c>
      <c r="K51" s="56">
        <f>SUM(K50)</f>
        <v>0</v>
      </c>
      <c r="L51" s="56">
        <f>SUM(L50)</f>
        <v>0</v>
      </c>
      <c r="M51" s="56">
        <f t="shared" si="1"/>
        <v>42705</v>
      </c>
      <c r="N51" s="51"/>
    </row>
    <row r="52" spans="1:14" ht="47.25" customHeight="1">
      <c r="A52" s="93"/>
      <c r="B52" s="90" t="s">
        <v>34</v>
      </c>
      <c r="C52" s="12" t="s">
        <v>35</v>
      </c>
      <c r="D52" s="54">
        <v>5500000</v>
      </c>
      <c r="E52" s="54"/>
      <c r="F52" s="54"/>
      <c r="G52" s="54"/>
      <c r="H52" s="54">
        <f t="shared" si="4"/>
        <v>5500000</v>
      </c>
      <c r="I52" s="54">
        <v>7638570.34</v>
      </c>
      <c r="J52" s="54"/>
      <c r="K52" s="54"/>
      <c r="L52" s="54"/>
      <c r="M52" s="55">
        <f t="shared" si="1"/>
        <v>7638570.34</v>
      </c>
      <c r="N52" s="48">
        <f>M52/H52</f>
        <v>1.388830970909091</v>
      </c>
    </row>
    <row r="53" spans="1:14" ht="90" customHeight="1">
      <c r="A53" s="94"/>
      <c r="B53" s="95"/>
      <c r="C53" s="12" t="s">
        <v>17</v>
      </c>
      <c r="D53" s="54">
        <v>9000000</v>
      </c>
      <c r="E53" s="54"/>
      <c r="F53" s="54"/>
      <c r="G53" s="54"/>
      <c r="H53" s="54">
        <f t="shared" si="4"/>
        <v>9000000</v>
      </c>
      <c r="I53" s="54">
        <v>8744169.66</v>
      </c>
      <c r="J53" s="54"/>
      <c r="K53" s="54"/>
      <c r="L53" s="54"/>
      <c r="M53" s="55">
        <f t="shared" si="1"/>
        <v>8744169.66</v>
      </c>
      <c r="N53" s="48">
        <f>M53/H53</f>
        <v>0.9715744066666667</v>
      </c>
    </row>
    <row r="54" spans="1:14" ht="57.75" customHeight="1">
      <c r="A54" s="2"/>
      <c r="B54" s="2"/>
      <c r="C54" s="11" t="s">
        <v>36</v>
      </c>
      <c r="D54" s="54">
        <v>3500000</v>
      </c>
      <c r="E54" s="54"/>
      <c r="F54" s="54"/>
      <c r="G54" s="54"/>
      <c r="H54" s="54">
        <f t="shared" si="4"/>
        <v>3500000</v>
      </c>
      <c r="I54" s="54">
        <v>3596452.76</v>
      </c>
      <c r="J54" s="54"/>
      <c r="K54" s="54"/>
      <c r="L54" s="54"/>
      <c r="M54" s="55">
        <f t="shared" si="1"/>
        <v>3596452.76</v>
      </c>
      <c r="N54" s="48">
        <f>M54/H54</f>
        <v>1.0275579314285714</v>
      </c>
    </row>
    <row r="55" spans="1:14" ht="47.25" customHeight="1">
      <c r="A55" s="2"/>
      <c r="B55" s="2"/>
      <c r="C55" s="11" t="s">
        <v>205</v>
      </c>
      <c r="D55" s="54">
        <v>41000000</v>
      </c>
      <c r="E55" s="54"/>
      <c r="F55" s="54"/>
      <c r="G55" s="54"/>
      <c r="H55" s="54">
        <f t="shared" si="4"/>
        <v>41000000</v>
      </c>
      <c r="I55" s="54">
        <v>12118173.63</v>
      </c>
      <c r="J55" s="54"/>
      <c r="K55" s="54"/>
      <c r="L55" s="54"/>
      <c r="M55" s="55">
        <f t="shared" si="1"/>
        <v>12118173.63</v>
      </c>
      <c r="N55" s="48">
        <f>M55/H55</f>
        <v>0.2955652104878049</v>
      </c>
    </row>
    <row r="56" spans="1:14" ht="11.25">
      <c r="A56" s="2"/>
      <c r="B56" s="2"/>
      <c r="C56" s="11" t="s">
        <v>18</v>
      </c>
      <c r="D56" s="54"/>
      <c r="E56" s="54"/>
      <c r="F56" s="54"/>
      <c r="G56" s="54"/>
      <c r="H56" s="54">
        <f t="shared" si="4"/>
        <v>0</v>
      </c>
      <c r="I56" s="54">
        <v>94456.58</v>
      </c>
      <c r="J56" s="54"/>
      <c r="K56" s="54"/>
      <c r="L56" s="54"/>
      <c r="M56" s="55">
        <f t="shared" si="1"/>
        <v>94456.58</v>
      </c>
      <c r="N56" s="48"/>
    </row>
    <row r="57" spans="1:14" ht="11.25">
      <c r="A57" s="2"/>
      <c r="B57" s="2"/>
      <c r="C57" s="11" t="s">
        <v>19</v>
      </c>
      <c r="D57" s="54"/>
      <c r="E57" s="54"/>
      <c r="F57" s="54"/>
      <c r="G57" s="54"/>
      <c r="H57" s="54">
        <f t="shared" si="4"/>
        <v>0</v>
      </c>
      <c r="I57" s="54">
        <v>185900.29</v>
      </c>
      <c r="J57" s="54"/>
      <c r="K57" s="54"/>
      <c r="L57" s="54"/>
      <c r="M57" s="55">
        <f t="shared" si="1"/>
        <v>185900.29</v>
      </c>
      <c r="N57" s="48"/>
    </row>
    <row r="58" spans="1:14" ht="68.25" customHeight="1">
      <c r="A58" s="2"/>
      <c r="B58" s="2"/>
      <c r="C58" s="11" t="s">
        <v>37</v>
      </c>
      <c r="D58" s="54"/>
      <c r="E58" s="54"/>
      <c r="F58" s="54"/>
      <c r="G58" s="54">
        <f>3198428+2517211+25553+10171+10900</f>
        <v>5762263</v>
      </c>
      <c r="H58" s="54">
        <f t="shared" si="4"/>
        <v>5762263</v>
      </c>
      <c r="I58" s="54"/>
      <c r="J58" s="54"/>
      <c r="K58" s="54"/>
      <c r="L58" s="54">
        <v>5761160.08</v>
      </c>
      <c r="M58" s="55">
        <f t="shared" si="1"/>
        <v>5761160.08</v>
      </c>
      <c r="N58" s="48">
        <f>M58/H58</f>
        <v>0.9998085960324963</v>
      </c>
    </row>
    <row r="59" spans="1:14" ht="58.5" customHeight="1">
      <c r="A59" s="2"/>
      <c r="B59" s="2"/>
      <c r="C59" s="11" t="s">
        <v>38</v>
      </c>
      <c r="D59" s="54">
        <v>2037500</v>
      </c>
      <c r="E59" s="54"/>
      <c r="F59" s="54"/>
      <c r="G59" s="54"/>
      <c r="H59" s="54">
        <f t="shared" si="4"/>
        <v>2037500</v>
      </c>
      <c r="I59" s="59">
        <v>3828603.22</v>
      </c>
      <c r="J59" s="54"/>
      <c r="K59" s="54"/>
      <c r="L59" s="54"/>
      <c r="M59" s="55">
        <f t="shared" si="1"/>
        <v>3828603.22</v>
      </c>
      <c r="N59" s="48">
        <f>M59/H59</f>
        <v>1.879069065030675</v>
      </c>
    </row>
    <row r="60" spans="1:14" ht="15" customHeight="1">
      <c r="A60" s="2"/>
      <c r="B60" s="3" t="s">
        <v>39</v>
      </c>
      <c r="C60" s="14"/>
      <c r="D60" s="56">
        <f>SUM(D52:D59)</f>
        <v>61037500</v>
      </c>
      <c r="E60" s="56">
        <f>SUM(E52:E59)</f>
        <v>0</v>
      </c>
      <c r="F60" s="56">
        <f>SUM(F52:F59)</f>
        <v>0</v>
      </c>
      <c r="G60" s="56">
        <f>SUM(G52:G59)</f>
        <v>5762263</v>
      </c>
      <c r="H60" s="56">
        <f t="shared" si="4"/>
        <v>66799763</v>
      </c>
      <c r="I60" s="56">
        <f>SUM(I52:I59)</f>
        <v>36206326.48</v>
      </c>
      <c r="J60" s="56">
        <f>SUM(J52:J59)</f>
        <v>0</v>
      </c>
      <c r="K60" s="56">
        <f>SUM(K52:K59)</f>
        <v>0</v>
      </c>
      <c r="L60" s="56">
        <f>SUM(L52:L59)</f>
        <v>5761160.08</v>
      </c>
      <c r="M60" s="56">
        <f t="shared" si="1"/>
        <v>41967486.559999995</v>
      </c>
      <c r="N60" s="51">
        <f>M60/H60</f>
        <v>0.628258015825595</v>
      </c>
    </row>
    <row r="61" spans="1:14" ht="91.5" customHeight="1">
      <c r="A61" s="2"/>
      <c r="B61" s="90" t="s">
        <v>40</v>
      </c>
      <c r="C61" s="15" t="s">
        <v>17</v>
      </c>
      <c r="D61" s="54">
        <v>2000000</v>
      </c>
      <c r="E61" s="54"/>
      <c r="F61" s="54"/>
      <c r="G61" s="54"/>
      <c r="H61" s="54">
        <f t="shared" si="4"/>
        <v>2000000</v>
      </c>
      <c r="I61" s="59">
        <v>3226503.53</v>
      </c>
      <c r="J61" s="54"/>
      <c r="K61" s="54"/>
      <c r="L61" s="54"/>
      <c r="M61" s="55">
        <f t="shared" si="1"/>
        <v>3226503.53</v>
      </c>
      <c r="N61" s="48">
        <f>M61/H61</f>
        <v>1.613251765</v>
      </c>
    </row>
    <row r="62" spans="1:14" ht="11.25" customHeight="1">
      <c r="A62" s="2"/>
      <c r="B62" s="92"/>
      <c r="C62" s="16" t="s">
        <v>19</v>
      </c>
      <c r="D62" s="54"/>
      <c r="E62" s="54"/>
      <c r="F62" s="54"/>
      <c r="G62" s="54"/>
      <c r="H62" s="54">
        <f t="shared" si="4"/>
        <v>0</v>
      </c>
      <c r="I62" s="59">
        <v>22637.07</v>
      </c>
      <c r="J62" s="54"/>
      <c r="K62" s="54"/>
      <c r="L62" s="54"/>
      <c r="M62" s="55">
        <f t="shared" si="1"/>
        <v>22637.07</v>
      </c>
      <c r="N62" s="48"/>
    </row>
    <row r="63" spans="1:14" ht="14.25" customHeight="1">
      <c r="A63" s="2"/>
      <c r="B63" s="3" t="s">
        <v>41</v>
      </c>
      <c r="C63" s="17"/>
      <c r="D63" s="56">
        <f>SUM(D61:D62)</f>
        <v>2000000</v>
      </c>
      <c r="E63" s="56">
        <f>SUM(E61:E62)</f>
        <v>0</v>
      </c>
      <c r="F63" s="56">
        <f>SUM(F61:F62)</f>
        <v>0</v>
      </c>
      <c r="G63" s="56">
        <f>SUM(G61:G62)</f>
        <v>0</v>
      </c>
      <c r="H63" s="56">
        <f t="shared" si="4"/>
        <v>2000000</v>
      </c>
      <c r="I63" s="56">
        <f>SUM(I61:I62)</f>
        <v>3249140.5999999996</v>
      </c>
      <c r="J63" s="56">
        <f>SUM(J61:J62)</f>
        <v>0</v>
      </c>
      <c r="K63" s="56">
        <f>SUM(K61:K62)</f>
        <v>0</v>
      </c>
      <c r="L63" s="56">
        <f>SUM(L61:L62)</f>
        <v>0</v>
      </c>
      <c r="M63" s="56">
        <f t="shared" si="1"/>
        <v>3249140.5999999996</v>
      </c>
      <c r="N63" s="50">
        <f>M63/H63</f>
        <v>1.6245702999999998</v>
      </c>
    </row>
    <row r="64" spans="1:14" ht="14.25" customHeight="1">
      <c r="A64" s="4" t="s">
        <v>42</v>
      </c>
      <c r="B64" s="5"/>
      <c r="C64" s="9"/>
      <c r="D64" s="57">
        <f>SUM(D63,D60,D51)</f>
        <v>63037500</v>
      </c>
      <c r="E64" s="57">
        <f>SUM(E63,E60,E51)</f>
        <v>0</v>
      </c>
      <c r="F64" s="57">
        <f>SUM(F63,F60,F51)</f>
        <v>0</v>
      </c>
      <c r="G64" s="57">
        <f>SUM(G63,G60,G51)</f>
        <v>5762263</v>
      </c>
      <c r="H64" s="57">
        <f t="shared" si="4"/>
        <v>68799763</v>
      </c>
      <c r="I64" s="57">
        <f>SUM(I63,I60,I51)</f>
        <v>39498172.08</v>
      </c>
      <c r="J64" s="57">
        <f>SUM(J63,J60,J51)</f>
        <v>0</v>
      </c>
      <c r="K64" s="57">
        <f>SUM(K63,K60,K51)</f>
        <v>0</v>
      </c>
      <c r="L64" s="57">
        <f>SUM(L63,L60,L51)</f>
        <v>5761160.08</v>
      </c>
      <c r="M64" s="57">
        <f t="shared" si="1"/>
        <v>45259332.16</v>
      </c>
      <c r="N64" s="52">
        <f>M64/H64</f>
        <v>0.6578413963431822</v>
      </c>
    </row>
    <row r="65" spans="1:14" ht="45">
      <c r="A65" s="96" t="s">
        <v>43</v>
      </c>
      <c r="B65" s="1" t="s">
        <v>219</v>
      </c>
      <c r="C65" s="15" t="s">
        <v>20</v>
      </c>
      <c r="D65" s="54"/>
      <c r="E65" s="54"/>
      <c r="F65" s="54"/>
      <c r="G65" s="54"/>
      <c r="H65" s="54">
        <f t="shared" si="4"/>
        <v>0</v>
      </c>
      <c r="I65" s="54">
        <v>953.14</v>
      </c>
      <c r="J65" s="54"/>
      <c r="K65" s="54"/>
      <c r="L65" s="54"/>
      <c r="M65" s="55">
        <f t="shared" si="1"/>
        <v>953.14</v>
      </c>
      <c r="N65" s="48"/>
    </row>
    <row r="66" spans="1:14" ht="11.25">
      <c r="A66" s="97"/>
      <c r="B66" s="25" t="s">
        <v>220</v>
      </c>
      <c r="C66" s="14"/>
      <c r="D66" s="56">
        <f>SUM(D65)</f>
        <v>0</v>
      </c>
      <c r="E66" s="56">
        <f>SUM(E65)</f>
        <v>0</v>
      </c>
      <c r="F66" s="56">
        <f>SUM(F65)</f>
        <v>0</v>
      </c>
      <c r="G66" s="56">
        <f>SUM(G65)</f>
        <v>0</v>
      </c>
      <c r="H66" s="56">
        <f t="shared" si="4"/>
        <v>0</v>
      </c>
      <c r="I66" s="56">
        <f>SUM(I65)</f>
        <v>953.14</v>
      </c>
      <c r="J66" s="56">
        <f>SUM(J65)</f>
        <v>0</v>
      </c>
      <c r="K66" s="56">
        <f>SUM(K65)</f>
        <v>0</v>
      </c>
      <c r="L66" s="56">
        <f>SUM(L65)</f>
        <v>0</v>
      </c>
      <c r="M66" s="56">
        <f t="shared" si="1"/>
        <v>953.14</v>
      </c>
      <c r="N66" s="51"/>
    </row>
    <row r="67" spans="1:14" ht="68.25" customHeight="1">
      <c r="A67" s="97"/>
      <c r="B67" s="1" t="s">
        <v>44</v>
      </c>
      <c r="C67" s="11" t="s">
        <v>37</v>
      </c>
      <c r="D67" s="54"/>
      <c r="E67" s="54"/>
      <c r="F67" s="54"/>
      <c r="G67" s="54">
        <v>99000</v>
      </c>
      <c r="H67" s="54">
        <f aca="true" t="shared" si="6" ref="H67:H98">SUM(D67:G67)</f>
        <v>99000</v>
      </c>
      <c r="I67" s="54"/>
      <c r="J67" s="54"/>
      <c r="K67" s="54"/>
      <c r="L67" s="54">
        <v>99000</v>
      </c>
      <c r="M67" s="55">
        <f aca="true" t="shared" si="7" ref="M67:M130">SUM(I67:L67)</f>
        <v>99000</v>
      </c>
      <c r="N67" s="48">
        <f aca="true" t="shared" si="8" ref="N67:N73">M67/H67</f>
        <v>1</v>
      </c>
    </row>
    <row r="68" spans="1:14" ht="11.25">
      <c r="A68" s="98"/>
      <c r="B68" s="3" t="s">
        <v>45</v>
      </c>
      <c r="C68" s="14"/>
      <c r="D68" s="56">
        <f>SUM(D67)</f>
        <v>0</v>
      </c>
      <c r="E68" s="56">
        <f>SUM(E67)</f>
        <v>0</v>
      </c>
      <c r="F68" s="56">
        <f>SUM(F67)</f>
        <v>0</v>
      </c>
      <c r="G68" s="56">
        <f>SUM(G67)</f>
        <v>99000</v>
      </c>
      <c r="H68" s="56">
        <f t="shared" si="6"/>
        <v>99000</v>
      </c>
      <c r="I68" s="56">
        <f>SUM(I67)</f>
        <v>0</v>
      </c>
      <c r="J68" s="56">
        <f>SUM(J67)</f>
        <v>0</v>
      </c>
      <c r="K68" s="56">
        <f>SUM(K67)</f>
        <v>0</v>
      </c>
      <c r="L68" s="56">
        <f>SUM(L67)</f>
        <v>99000</v>
      </c>
      <c r="M68" s="56">
        <f t="shared" si="7"/>
        <v>99000</v>
      </c>
      <c r="N68" s="51">
        <f t="shared" si="8"/>
        <v>1</v>
      </c>
    </row>
    <row r="69" spans="1:14" ht="11.25" customHeight="1">
      <c r="A69" s="2"/>
      <c r="B69" s="90" t="s">
        <v>46</v>
      </c>
      <c r="C69" s="15" t="s">
        <v>18</v>
      </c>
      <c r="D69" s="54">
        <v>950000</v>
      </c>
      <c r="E69" s="54"/>
      <c r="F69" s="54"/>
      <c r="G69" s="54"/>
      <c r="H69" s="54">
        <f t="shared" si="6"/>
        <v>950000</v>
      </c>
      <c r="I69" s="54">
        <v>911005.56</v>
      </c>
      <c r="J69" s="54"/>
      <c r="K69" s="54"/>
      <c r="L69" s="54"/>
      <c r="M69" s="55">
        <f t="shared" si="7"/>
        <v>911005.56</v>
      </c>
      <c r="N69" s="48">
        <f t="shared" si="8"/>
        <v>0.9589532210526316</v>
      </c>
    </row>
    <row r="70" spans="1:14" ht="11.25">
      <c r="A70" s="2"/>
      <c r="B70" s="91"/>
      <c r="C70" s="16" t="s">
        <v>19</v>
      </c>
      <c r="D70" s="54">
        <v>5000</v>
      </c>
      <c r="E70" s="54"/>
      <c r="F70" s="54"/>
      <c r="G70" s="54"/>
      <c r="H70" s="54">
        <f t="shared" si="6"/>
        <v>5000</v>
      </c>
      <c r="I70" s="54">
        <v>247.68</v>
      </c>
      <c r="J70" s="54"/>
      <c r="K70" s="54"/>
      <c r="L70" s="54"/>
      <c r="M70" s="55">
        <f t="shared" si="7"/>
        <v>247.68</v>
      </c>
      <c r="N70" s="48">
        <f t="shared" si="8"/>
        <v>0.049536000000000004</v>
      </c>
    </row>
    <row r="71" spans="1:14" ht="22.5">
      <c r="A71" s="2"/>
      <c r="B71" s="91"/>
      <c r="C71" s="16" t="s">
        <v>20</v>
      </c>
      <c r="D71" s="54">
        <v>1059976</v>
      </c>
      <c r="E71" s="54"/>
      <c r="F71" s="54"/>
      <c r="G71" s="54"/>
      <c r="H71" s="54">
        <f t="shared" si="6"/>
        <v>1059976</v>
      </c>
      <c r="I71" s="54"/>
      <c r="J71" s="54"/>
      <c r="K71" s="54"/>
      <c r="L71" s="54"/>
      <c r="M71" s="55">
        <f t="shared" si="7"/>
        <v>0</v>
      </c>
      <c r="N71" s="48">
        <f t="shared" si="8"/>
        <v>0</v>
      </c>
    </row>
    <row r="72" spans="1:14" ht="66.75" customHeight="1">
      <c r="A72" s="2"/>
      <c r="B72" s="92"/>
      <c r="C72" s="16" t="s">
        <v>37</v>
      </c>
      <c r="D72" s="54"/>
      <c r="E72" s="54"/>
      <c r="F72" s="54"/>
      <c r="G72" s="54">
        <v>38000</v>
      </c>
      <c r="H72" s="54">
        <f t="shared" si="6"/>
        <v>38000</v>
      </c>
      <c r="I72" s="54"/>
      <c r="J72" s="54"/>
      <c r="K72" s="54"/>
      <c r="L72" s="54">
        <v>38000</v>
      </c>
      <c r="M72" s="55">
        <f t="shared" si="7"/>
        <v>38000</v>
      </c>
      <c r="N72" s="48">
        <f t="shared" si="8"/>
        <v>1</v>
      </c>
    </row>
    <row r="73" spans="1:14" ht="11.25">
      <c r="A73" s="2"/>
      <c r="B73" s="3" t="s">
        <v>47</v>
      </c>
      <c r="C73" s="18"/>
      <c r="D73" s="56">
        <f>SUM(D69:D72)</f>
        <v>2014976</v>
      </c>
      <c r="E73" s="56">
        <f>SUM(E69:E72)</f>
        <v>0</v>
      </c>
      <c r="F73" s="56">
        <f>SUM(F69:F72)</f>
        <v>0</v>
      </c>
      <c r="G73" s="56">
        <f>SUM(G69:G72)</f>
        <v>38000</v>
      </c>
      <c r="H73" s="56">
        <f t="shared" si="6"/>
        <v>2052976</v>
      </c>
      <c r="I73" s="56">
        <f>SUM(I69:I72)</f>
        <v>911253.2400000001</v>
      </c>
      <c r="J73" s="56">
        <f>SUM(J69:J72)</f>
        <v>0</v>
      </c>
      <c r="K73" s="56">
        <f>SUM(K69:K72)</f>
        <v>0</v>
      </c>
      <c r="L73" s="56">
        <f>SUM(L69:L72)</f>
        <v>38000</v>
      </c>
      <c r="M73" s="56">
        <f t="shared" si="7"/>
        <v>949253.2400000001</v>
      </c>
      <c r="N73" s="51">
        <f t="shared" si="8"/>
        <v>0.4623791218212001</v>
      </c>
    </row>
    <row r="74" spans="1:14" ht="33.75">
      <c r="A74" s="2"/>
      <c r="B74" s="90" t="s">
        <v>48</v>
      </c>
      <c r="C74" s="11" t="s">
        <v>293</v>
      </c>
      <c r="D74" s="54"/>
      <c r="E74" s="54"/>
      <c r="F74" s="54"/>
      <c r="G74" s="54"/>
      <c r="H74" s="54">
        <f t="shared" si="6"/>
        <v>0</v>
      </c>
      <c r="I74" s="54">
        <v>22.17</v>
      </c>
      <c r="J74" s="54"/>
      <c r="K74" s="54"/>
      <c r="L74" s="54"/>
      <c r="M74" s="55">
        <f t="shared" si="7"/>
        <v>22.17</v>
      </c>
      <c r="N74" s="48"/>
    </row>
    <row r="75" spans="1:14" ht="69" customHeight="1">
      <c r="A75" s="2"/>
      <c r="B75" s="91"/>
      <c r="C75" s="11" t="s">
        <v>37</v>
      </c>
      <c r="D75" s="54"/>
      <c r="E75" s="54"/>
      <c r="F75" s="54"/>
      <c r="G75" s="54">
        <f>777000+6500</f>
        <v>783500</v>
      </c>
      <c r="H75" s="54">
        <f t="shared" si="6"/>
        <v>783500</v>
      </c>
      <c r="I75" s="54"/>
      <c r="J75" s="54"/>
      <c r="K75" s="54"/>
      <c r="L75" s="54">
        <v>782803.9</v>
      </c>
      <c r="M75" s="55">
        <f t="shared" si="7"/>
        <v>782803.9</v>
      </c>
      <c r="N75" s="48">
        <f>M75/H75</f>
        <v>0.9991115507338865</v>
      </c>
    </row>
    <row r="76" spans="1:14" ht="57.75" customHeight="1">
      <c r="A76" s="2"/>
      <c r="B76" s="92"/>
      <c r="C76" s="27" t="s">
        <v>38</v>
      </c>
      <c r="D76" s="54"/>
      <c r="E76" s="54"/>
      <c r="F76" s="54"/>
      <c r="G76" s="54"/>
      <c r="H76" s="54">
        <f t="shared" si="6"/>
        <v>0</v>
      </c>
      <c r="I76" s="59">
        <v>6.32</v>
      </c>
      <c r="J76" s="54"/>
      <c r="K76" s="54"/>
      <c r="L76" s="54"/>
      <c r="M76" s="55">
        <f t="shared" si="7"/>
        <v>6.32</v>
      </c>
      <c r="N76" s="48"/>
    </row>
    <row r="77" spans="1:14" ht="11.25">
      <c r="A77" s="2"/>
      <c r="B77" s="3" t="s">
        <v>49</v>
      </c>
      <c r="C77" s="14"/>
      <c r="D77" s="56">
        <f>SUM(D74:D76)</f>
        <v>0</v>
      </c>
      <c r="E77" s="56">
        <f>SUM(E74:E76)</f>
        <v>0</v>
      </c>
      <c r="F77" s="56">
        <f>SUM(F74:F76)</f>
        <v>0</v>
      </c>
      <c r="G77" s="56">
        <f>SUM(G74:G76)</f>
        <v>783500</v>
      </c>
      <c r="H77" s="56">
        <f t="shared" si="6"/>
        <v>783500</v>
      </c>
      <c r="I77" s="56">
        <f>SUM(I74:I76)</f>
        <v>28.490000000000002</v>
      </c>
      <c r="J77" s="56">
        <f>SUM(J74:J76)</f>
        <v>0</v>
      </c>
      <c r="K77" s="56">
        <f>SUM(K74:K76)</f>
        <v>0</v>
      </c>
      <c r="L77" s="56">
        <f>SUM(L74:L76)</f>
        <v>782803.9</v>
      </c>
      <c r="M77" s="56">
        <f t="shared" si="7"/>
        <v>782832.39</v>
      </c>
      <c r="N77" s="51">
        <f>M77/H77</f>
        <v>0.9991479132099553</v>
      </c>
    </row>
    <row r="78" spans="1:14" ht="11.25">
      <c r="A78" s="2"/>
      <c r="B78" s="90" t="s">
        <v>50</v>
      </c>
      <c r="C78" s="68" t="s">
        <v>19</v>
      </c>
      <c r="D78" s="54"/>
      <c r="E78" s="54"/>
      <c r="F78" s="54"/>
      <c r="G78" s="54"/>
      <c r="H78" s="54">
        <f t="shared" si="6"/>
        <v>0</v>
      </c>
      <c r="I78" s="54">
        <v>598.54</v>
      </c>
      <c r="J78" s="54"/>
      <c r="K78" s="54"/>
      <c r="L78" s="54"/>
      <c r="M78" s="55">
        <f t="shared" si="7"/>
        <v>598.54</v>
      </c>
      <c r="N78" s="67"/>
    </row>
    <row r="79" spans="1:14" ht="78" customHeight="1">
      <c r="A79" s="2"/>
      <c r="B79" s="92"/>
      <c r="C79" s="15" t="s">
        <v>51</v>
      </c>
      <c r="D79" s="54"/>
      <c r="E79" s="54">
        <v>36000</v>
      </c>
      <c r="F79" s="54"/>
      <c r="G79" s="54"/>
      <c r="H79" s="54">
        <f t="shared" si="6"/>
        <v>36000</v>
      </c>
      <c r="I79" s="54"/>
      <c r="J79" s="54">
        <v>35985.94</v>
      </c>
      <c r="K79" s="54"/>
      <c r="L79" s="54"/>
      <c r="M79" s="55">
        <f t="shared" si="7"/>
        <v>35985.94</v>
      </c>
      <c r="N79" s="48">
        <f>M79/H79</f>
        <v>0.9996094444444446</v>
      </c>
    </row>
    <row r="80" spans="1:14" ht="11.25">
      <c r="A80" s="2"/>
      <c r="B80" s="3" t="s">
        <v>52</v>
      </c>
      <c r="C80" s="19"/>
      <c r="D80" s="56">
        <f>SUM(D78:D79)</f>
        <v>0</v>
      </c>
      <c r="E80" s="56">
        <f>SUM(E78:E79)</f>
        <v>36000</v>
      </c>
      <c r="F80" s="56">
        <f>SUM(F78:F79)</f>
        <v>0</v>
      </c>
      <c r="G80" s="56">
        <f>SUM(G78:G79)</f>
        <v>0</v>
      </c>
      <c r="H80" s="56">
        <f t="shared" si="6"/>
        <v>36000</v>
      </c>
      <c r="I80" s="56">
        <f>SUM(I78:I79)</f>
        <v>598.54</v>
      </c>
      <c r="J80" s="56">
        <f>SUM(J78:J79)</f>
        <v>35985.94</v>
      </c>
      <c r="K80" s="56">
        <f>SUM(K78:K79)</f>
        <v>0</v>
      </c>
      <c r="L80" s="56">
        <f>SUM(L78:L79)</f>
        <v>0</v>
      </c>
      <c r="M80" s="56">
        <f t="shared" si="7"/>
        <v>36584.48</v>
      </c>
      <c r="N80" s="51">
        <f>M80/H80</f>
        <v>1.0162355555555556</v>
      </c>
    </row>
    <row r="81" spans="1:14" ht="90" customHeight="1">
      <c r="A81" s="2"/>
      <c r="B81" s="1" t="s">
        <v>53</v>
      </c>
      <c r="C81" s="15" t="s">
        <v>17</v>
      </c>
      <c r="D81" s="54">
        <v>1154991</v>
      </c>
      <c r="E81" s="54"/>
      <c r="F81" s="54"/>
      <c r="G81" s="54"/>
      <c r="H81" s="54">
        <f t="shared" si="6"/>
        <v>1154991</v>
      </c>
      <c r="I81" s="54">
        <v>1236715.26</v>
      </c>
      <c r="J81" s="54"/>
      <c r="K81" s="54"/>
      <c r="L81" s="54"/>
      <c r="M81" s="55">
        <f t="shared" si="7"/>
        <v>1236715.26</v>
      </c>
      <c r="N81" s="48">
        <f>M81/H81</f>
        <v>1.0707574864219722</v>
      </c>
    </row>
    <row r="82" spans="1:14" ht="11.25">
      <c r="A82" s="2"/>
      <c r="B82" s="2"/>
      <c r="C82" s="11" t="s">
        <v>18</v>
      </c>
      <c r="D82" s="54">
        <v>1172763</v>
      </c>
      <c r="E82" s="54"/>
      <c r="F82" s="54"/>
      <c r="G82" s="54"/>
      <c r="H82" s="54">
        <f t="shared" si="6"/>
        <v>1172763</v>
      </c>
      <c r="I82" s="54">
        <v>1092917.21</v>
      </c>
      <c r="J82" s="54"/>
      <c r="K82" s="54"/>
      <c r="L82" s="54"/>
      <c r="M82" s="55">
        <f t="shared" si="7"/>
        <v>1092917.21</v>
      </c>
      <c r="N82" s="48">
        <f>M82/H82</f>
        <v>0.931916516806891</v>
      </c>
    </row>
    <row r="83" spans="1:14" ht="11.25">
      <c r="A83" s="2"/>
      <c r="B83" s="2"/>
      <c r="C83" s="11" t="s">
        <v>19</v>
      </c>
      <c r="D83" s="54"/>
      <c r="E83" s="54"/>
      <c r="F83" s="54"/>
      <c r="G83" s="54"/>
      <c r="H83" s="54">
        <f t="shared" si="6"/>
        <v>0</v>
      </c>
      <c r="I83" s="54">
        <v>160301.12</v>
      </c>
      <c r="J83" s="54"/>
      <c r="K83" s="54"/>
      <c r="L83" s="54"/>
      <c r="M83" s="55">
        <f t="shared" si="7"/>
        <v>160301.12</v>
      </c>
      <c r="N83" s="48"/>
    </row>
    <row r="84" spans="1:14" ht="22.5">
      <c r="A84" s="2"/>
      <c r="B84" s="2"/>
      <c r="C84" s="11" t="s">
        <v>20</v>
      </c>
      <c r="D84" s="54">
        <f>33700+21500+2014878</f>
        <v>2070078</v>
      </c>
      <c r="E84" s="54"/>
      <c r="F84" s="54"/>
      <c r="G84" s="54"/>
      <c r="H84" s="54">
        <f t="shared" si="6"/>
        <v>2070078</v>
      </c>
      <c r="I84" s="54">
        <v>2173239.86</v>
      </c>
      <c r="J84" s="54"/>
      <c r="K84" s="54"/>
      <c r="L84" s="54"/>
      <c r="M84" s="55">
        <f t="shared" si="7"/>
        <v>2173239.86</v>
      </c>
      <c r="N84" s="48">
        <f aca="true" t="shared" si="9" ref="N84:N94">M84/H84</f>
        <v>1.0498347695111006</v>
      </c>
    </row>
    <row r="85" spans="1:14" ht="80.25" customHeight="1">
      <c r="A85" s="2"/>
      <c r="B85" s="2"/>
      <c r="C85" s="11" t="s">
        <v>54</v>
      </c>
      <c r="D85" s="54">
        <f>61200+25000+33000+19200</f>
        <v>138400</v>
      </c>
      <c r="E85" s="54"/>
      <c r="F85" s="54"/>
      <c r="G85" s="54"/>
      <c r="H85" s="54">
        <f t="shared" si="6"/>
        <v>138400</v>
      </c>
      <c r="I85" s="54">
        <v>239026</v>
      </c>
      <c r="J85" s="54"/>
      <c r="K85" s="54"/>
      <c r="L85" s="54"/>
      <c r="M85" s="55">
        <f t="shared" si="7"/>
        <v>239026</v>
      </c>
      <c r="N85" s="48">
        <f t="shared" si="9"/>
        <v>1.7270664739884394</v>
      </c>
    </row>
    <row r="86" spans="1:14" ht="80.25" customHeight="1">
      <c r="A86" s="2"/>
      <c r="B86" s="2"/>
      <c r="C86" s="11" t="s">
        <v>23</v>
      </c>
      <c r="D86" s="54">
        <v>1489660</v>
      </c>
      <c r="E86" s="54"/>
      <c r="F86" s="54"/>
      <c r="G86" s="54"/>
      <c r="H86" s="54">
        <f t="shared" si="6"/>
        <v>1489660</v>
      </c>
      <c r="I86" s="54">
        <v>604104.32</v>
      </c>
      <c r="J86" s="54"/>
      <c r="K86" s="54"/>
      <c r="L86" s="54"/>
      <c r="M86" s="55">
        <f t="shared" si="7"/>
        <v>604104.32</v>
      </c>
      <c r="N86" s="48">
        <f t="shared" si="9"/>
        <v>0.4055316783695608</v>
      </c>
    </row>
    <row r="87" spans="1:14" ht="90.75" customHeight="1">
      <c r="A87" s="2"/>
      <c r="B87" s="2"/>
      <c r="C87" s="11" t="s">
        <v>27</v>
      </c>
      <c r="D87" s="54">
        <f>49372512-24039213</f>
        <v>25333299</v>
      </c>
      <c r="E87" s="54"/>
      <c r="F87" s="54"/>
      <c r="G87" s="54"/>
      <c r="H87" s="54">
        <f t="shared" si="6"/>
        <v>25333299</v>
      </c>
      <c r="I87" s="54">
        <v>24767623.57</v>
      </c>
      <c r="J87" s="54"/>
      <c r="K87" s="54"/>
      <c r="L87" s="54"/>
      <c r="M87" s="55">
        <f t="shared" si="7"/>
        <v>24767623.57</v>
      </c>
      <c r="N87" s="48">
        <f t="shared" si="9"/>
        <v>0.9776706764484168</v>
      </c>
    </row>
    <row r="88" spans="1:14" ht="93" customHeight="1">
      <c r="A88" s="2"/>
      <c r="B88" s="2"/>
      <c r="C88" s="11" t="s">
        <v>206</v>
      </c>
      <c r="D88" s="54">
        <f>4994829-1786712</f>
        <v>3208117</v>
      </c>
      <c r="E88" s="54"/>
      <c r="F88" s="54"/>
      <c r="G88" s="54"/>
      <c r="H88" s="54">
        <f t="shared" si="6"/>
        <v>3208117</v>
      </c>
      <c r="I88" s="54">
        <v>3185464.04</v>
      </c>
      <c r="J88" s="54"/>
      <c r="K88" s="54"/>
      <c r="L88" s="54"/>
      <c r="M88" s="55">
        <f t="shared" si="7"/>
        <v>3185464.04</v>
      </c>
      <c r="N88" s="48">
        <f t="shared" si="9"/>
        <v>0.9929388610203431</v>
      </c>
    </row>
    <row r="89" spans="1:14" ht="11.25">
      <c r="A89" s="2"/>
      <c r="B89" s="3" t="s">
        <v>55</v>
      </c>
      <c r="C89" s="20"/>
      <c r="D89" s="56">
        <f>SUM(D81:D88)</f>
        <v>34567308</v>
      </c>
      <c r="E89" s="56">
        <f>SUM(E81:E88)</f>
        <v>0</v>
      </c>
      <c r="F89" s="56">
        <f>SUM(F81:F88)</f>
        <v>0</v>
      </c>
      <c r="G89" s="56">
        <f>SUM(G81:G88)</f>
        <v>0</v>
      </c>
      <c r="H89" s="56">
        <f t="shared" si="6"/>
        <v>34567308</v>
      </c>
      <c r="I89" s="56">
        <f>SUM(I81:I88)</f>
        <v>33459391.38</v>
      </c>
      <c r="J89" s="56">
        <f>SUM(J81:J88)</f>
        <v>0</v>
      </c>
      <c r="K89" s="56">
        <f>SUM(K81:K88)</f>
        <v>0</v>
      </c>
      <c r="L89" s="56">
        <f>SUM(L81:L88)</f>
        <v>0</v>
      </c>
      <c r="M89" s="56">
        <f t="shared" si="7"/>
        <v>33459391.38</v>
      </c>
      <c r="N89" s="50">
        <f t="shared" si="9"/>
        <v>0.9679490048805651</v>
      </c>
    </row>
    <row r="90" spans="1:14" ht="11.25">
      <c r="A90" s="4" t="s">
        <v>56</v>
      </c>
      <c r="B90" s="5"/>
      <c r="C90" s="9"/>
      <c r="D90" s="57">
        <f>SUM(D89,D80,D77,D66,D73,D68)</f>
        <v>36582284</v>
      </c>
      <c r="E90" s="57">
        <f>SUM(E89,E80,E77,E66,E73,E68)</f>
        <v>36000</v>
      </c>
      <c r="F90" s="57">
        <f>SUM(F89,F80,F77,F66,F73,F68)</f>
        <v>0</v>
      </c>
      <c r="G90" s="57">
        <f>SUM(G89,G80,G77,G66,G73,G68)</f>
        <v>920500</v>
      </c>
      <c r="H90" s="57">
        <f t="shared" si="6"/>
        <v>37538784</v>
      </c>
      <c r="I90" s="57">
        <f>SUM(I89,I80,I77,I66,I73,I68)</f>
        <v>34372224.79</v>
      </c>
      <c r="J90" s="57">
        <f>SUM(J89,J80,J77,J66,J73,J68)</f>
        <v>35985.94</v>
      </c>
      <c r="K90" s="57">
        <f>SUM(K89,K80,K77,K66,K73,K68)</f>
        <v>0</v>
      </c>
      <c r="L90" s="57">
        <f>SUM(L89,L80,L77,L66,L73,L68)</f>
        <v>919803.9</v>
      </c>
      <c r="M90" s="57">
        <f t="shared" si="7"/>
        <v>35328014.629999995</v>
      </c>
      <c r="N90" s="52">
        <f t="shared" si="9"/>
        <v>0.9411070595680455</v>
      </c>
    </row>
    <row r="91" spans="1:14" ht="78" customHeight="1">
      <c r="A91" s="1" t="s">
        <v>57</v>
      </c>
      <c r="B91" s="1" t="s">
        <v>58</v>
      </c>
      <c r="C91" s="11" t="s">
        <v>59</v>
      </c>
      <c r="D91" s="54"/>
      <c r="E91" s="54"/>
      <c r="F91" s="54">
        <v>1361000</v>
      </c>
      <c r="G91" s="54"/>
      <c r="H91" s="54">
        <f t="shared" si="6"/>
        <v>1361000</v>
      </c>
      <c r="I91" s="54"/>
      <c r="J91" s="54"/>
      <c r="K91" s="54">
        <v>1361000</v>
      </c>
      <c r="L91" s="54"/>
      <c r="M91" s="55">
        <f t="shared" si="7"/>
        <v>1361000</v>
      </c>
      <c r="N91" s="48">
        <f t="shared" si="9"/>
        <v>1</v>
      </c>
    </row>
    <row r="92" spans="1:14" ht="70.5" customHeight="1">
      <c r="A92" s="2"/>
      <c r="B92" s="2"/>
      <c r="C92" s="11" t="s">
        <v>37</v>
      </c>
      <c r="D92" s="54"/>
      <c r="E92" s="54"/>
      <c r="F92" s="54"/>
      <c r="G92" s="54">
        <v>598000</v>
      </c>
      <c r="H92" s="54">
        <f t="shared" si="6"/>
        <v>598000</v>
      </c>
      <c r="I92" s="54"/>
      <c r="J92" s="54"/>
      <c r="K92" s="54"/>
      <c r="L92" s="54">
        <v>598000</v>
      </c>
      <c r="M92" s="55">
        <f t="shared" si="7"/>
        <v>598000</v>
      </c>
      <c r="N92" s="48">
        <f t="shared" si="9"/>
        <v>1</v>
      </c>
    </row>
    <row r="93" spans="1:14" ht="58.5" customHeight="1">
      <c r="A93" s="2"/>
      <c r="B93" s="2"/>
      <c r="C93" s="11" t="s">
        <v>38</v>
      </c>
      <c r="D93" s="54">
        <v>1806</v>
      </c>
      <c r="E93" s="54"/>
      <c r="F93" s="54"/>
      <c r="G93" s="54"/>
      <c r="H93" s="54">
        <f t="shared" si="6"/>
        <v>1806</v>
      </c>
      <c r="I93" s="59">
        <v>2582.3</v>
      </c>
      <c r="J93" s="54"/>
      <c r="K93" s="54"/>
      <c r="L93" s="54"/>
      <c r="M93" s="55">
        <f t="shared" si="7"/>
        <v>2582.3</v>
      </c>
      <c r="N93" s="48">
        <f t="shared" si="9"/>
        <v>1.4298449612403101</v>
      </c>
    </row>
    <row r="94" spans="1:14" ht="11.25">
      <c r="A94" s="2"/>
      <c r="B94" s="3" t="s">
        <v>60</v>
      </c>
      <c r="C94" s="14"/>
      <c r="D94" s="56">
        <f>SUM(D91:D93)</f>
        <v>1806</v>
      </c>
      <c r="E94" s="56">
        <f>SUM(E91:E93)</f>
        <v>0</v>
      </c>
      <c r="F94" s="56">
        <f>SUM(F91:F93)</f>
        <v>1361000</v>
      </c>
      <c r="G94" s="56">
        <f>SUM(G91:G93)</f>
        <v>598000</v>
      </c>
      <c r="H94" s="56">
        <f t="shared" si="6"/>
        <v>1960806</v>
      </c>
      <c r="I94" s="56">
        <f>SUM(I91:I93)</f>
        <v>2582.3</v>
      </c>
      <c r="J94" s="56">
        <f>SUM(J91:J93)</f>
        <v>0</v>
      </c>
      <c r="K94" s="56">
        <f>SUM(K91:K93)</f>
        <v>1361000</v>
      </c>
      <c r="L94" s="56">
        <f>SUM(L91:L93)</f>
        <v>598000</v>
      </c>
      <c r="M94" s="56">
        <f t="shared" si="7"/>
        <v>1961582.3</v>
      </c>
      <c r="N94" s="51">
        <f t="shared" si="9"/>
        <v>1.0003959086212506</v>
      </c>
    </row>
    <row r="95" spans="1:14" s="29" customFormat="1" ht="45" customHeight="1">
      <c r="A95" s="28"/>
      <c r="B95" s="90" t="s">
        <v>61</v>
      </c>
      <c r="C95" s="15" t="s">
        <v>26</v>
      </c>
      <c r="D95" s="58"/>
      <c r="E95" s="58"/>
      <c r="F95" s="58"/>
      <c r="G95" s="58"/>
      <c r="H95" s="54">
        <f t="shared" si="6"/>
        <v>0</v>
      </c>
      <c r="I95" s="54">
        <v>49584.87</v>
      </c>
      <c r="J95" s="58"/>
      <c r="K95" s="58"/>
      <c r="L95" s="58"/>
      <c r="M95" s="55">
        <f t="shared" si="7"/>
        <v>49584.87</v>
      </c>
      <c r="N95" s="48"/>
    </row>
    <row r="96" spans="1:14" ht="22.5" customHeight="1">
      <c r="A96" s="2"/>
      <c r="B96" s="95"/>
      <c r="C96" s="15" t="s">
        <v>62</v>
      </c>
      <c r="D96" s="54">
        <v>56000</v>
      </c>
      <c r="E96" s="54"/>
      <c r="F96" s="54"/>
      <c r="G96" s="54"/>
      <c r="H96" s="54">
        <f t="shared" si="6"/>
        <v>56000</v>
      </c>
      <c r="I96" s="54">
        <v>68520</v>
      </c>
      <c r="J96" s="54"/>
      <c r="K96" s="54"/>
      <c r="L96" s="54"/>
      <c r="M96" s="55">
        <f t="shared" si="7"/>
        <v>68520</v>
      </c>
      <c r="N96" s="48">
        <f aca="true" t="shared" si="10" ref="N96:N112">M96/H96</f>
        <v>1.2235714285714285</v>
      </c>
    </row>
    <row r="97" spans="1:14" ht="11.25">
      <c r="A97" s="2"/>
      <c r="B97" s="2"/>
      <c r="C97" s="11" t="s">
        <v>16</v>
      </c>
      <c r="D97" s="54">
        <v>36000</v>
      </c>
      <c r="E97" s="54"/>
      <c r="F97" s="54"/>
      <c r="G97" s="54"/>
      <c r="H97" s="54">
        <f t="shared" si="6"/>
        <v>36000</v>
      </c>
      <c r="I97" s="54">
        <v>336731.39</v>
      </c>
      <c r="J97" s="54"/>
      <c r="K97" s="54"/>
      <c r="L97" s="54"/>
      <c r="M97" s="55">
        <f t="shared" si="7"/>
        <v>336731.39</v>
      </c>
      <c r="N97" s="48">
        <f t="shared" si="10"/>
        <v>9.353649722222222</v>
      </c>
    </row>
    <row r="98" spans="1:14" ht="89.25" customHeight="1">
      <c r="A98" s="2"/>
      <c r="B98" s="2"/>
      <c r="C98" s="11" t="s">
        <v>17</v>
      </c>
      <c r="D98" s="54">
        <v>250000</v>
      </c>
      <c r="E98" s="54"/>
      <c r="F98" s="54"/>
      <c r="G98" s="54"/>
      <c r="H98" s="54">
        <f t="shared" si="6"/>
        <v>250000</v>
      </c>
      <c r="I98" s="54">
        <v>207107.21</v>
      </c>
      <c r="J98" s="54"/>
      <c r="K98" s="54"/>
      <c r="L98" s="54"/>
      <c r="M98" s="55">
        <f t="shared" si="7"/>
        <v>207107.21</v>
      </c>
      <c r="N98" s="48">
        <f t="shared" si="10"/>
        <v>0.8284288399999999</v>
      </c>
    </row>
    <row r="99" spans="1:14" ht="11.25">
      <c r="A99" s="2"/>
      <c r="B99" s="2"/>
      <c r="C99" s="11" t="s">
        <v>18</v>
      </c>
      <c r="D99" s="54"/>
      <c r="E99" s="54"/>
      <c r="F99" s="54"/>
      <c r="G99" s="54"/>
      <c r="H99" s="54">
        <f aca="true" t="shared" si="11" ref="H99:H130">SUM(D99:G99)</f>
        <v>0</v>
      </c>
      <c r="I99" s="54">
        <v>42279.13</v>
      </c>
      <c r="J99" s="54"/>
      <c r="K99" s="54"/>
      <c r="L99" s="54"/>
      <c r="M99" s="55">
        <f t="shared" si="7"/>
        <v>42279.13</v>
      </c>
      <c r="N99" s="48"/>
    </row>
    <row r="100" spans="1:14" ht="11.25">
      <c r="A100" s="2"/>
      <c r="B100" s="2"/>
      <c r="C100" s="11" t="s">
        <v>19</v>
      </c>
      <c r="D100" s="54"/>
      <c r="E100" s="54"/>
      <c r="F100" s="54"/>
      <c r="G100" s="54"/>
      <c r="H100" s="54">
        <f t="shared" si="11"/>
        <v>0</v>
      </c>
      <c r="I100" s="54">
        <v>4528.82</v>
      </c>
      <c r="J100" s="54"/>
      <c r="K100" s="54"/>
      <c r="L100" s="54"/>
      <c r="M100" s="55">
        <f t="shared" si="7"/>
        <v>4528.82</v>
      </c>
      <c r="N100" s="48"/>
    </row>
    <row r="101" spans="1:14" ht="33.75">
      <c r="A101" s="2"/>
      <c r="B101" s="2"/>
      <c r="C101" s="11" t="s">
        <v>243</v>
      </c>
      <c r="D101" s="54"/>
      <c r="E101" s="54"/>
      <c r="F101" s="54"/>
      <c r="G101" s="54"/>
      <c r="H101" s="54">
        <f t="shared" si="11"/>
        <v>0</v>
      </c>
      <c r="I101" s="54">
        <v>93664.55</v>
      </c>
      <c r="J101" s="54"/>
      <c r="K101" s="54"/>
      <c r="L101" s="54"/>
      <c r="M101" s="55">
        <f t="shared" si="7"/>
        <v>93664.55</v>
      </c>
      <c r="N101" s="48"/>
    </row>
    <row r="102" spans="1:14" ht="22.5">
      <c r="A102" s="2"/>
      <c r="B102" s="2"/>
      <c r="C102" s="11" t="s">
        <v>20</v>
      </c>
      <c r="D102" s="54">
        <v>300000</v>
      </c>
      <c r="E102" s="54"/>
      <c r="F102" s="54"/>
      <c r="G102" s="54"/>
      <c r="H102" s="54">
        <f t="shared" si="11"/>
        <v>300000</v>
      </c>
      <c r="I102" s="54">
        <v>440476.38</v>
      </c>
      <c r="J102" s="54"/>
      <c r="K102" s="54"/>
      <c r="L102" s="54"/>
      <c r="M102" s="55">
        <f t="shared" si="7"/>
        <v>440476.38</v>
      </c>
      <c r="N102" s="48">
        <f t="shared" si="10"/>
        <v>1.4682546</v>
      </c>
    </row>
    <row r="103" spans="1:14" ht="90" customHeight="1">
      <c r="A103" s="2"/>
      <c r="B103" s="2"/>
      <c r="C103" s="11" t="s">
        <v>10</v>
      </c>
      <c r="D103" s="54">
        <v>338955</v>
      </c>
      <c r="E103" s="54"/>
      <c r="F103" s="54"/>
      <c r="G103" s="54"/>
      <c r="H103" s="54">
        <f t="shared" si="11"/>
        <v>338955</v>
      </c>
      <c r="I103" s="54">
        <v>187716.33</v>
      </c>
      <c r="J103" s="54"/>
      <c r="K103" s="54"/>
      <c r="L103" s="54"/>
      <c r="M103" s="55">
        <f t="shared" si="7"/>
        <v>187716.33</v>
      </c>
      <c r="N103" s="48">
        <f t="shared" si="10"/>
        <v>0.5538090011948489</v>
      </c>
    </row>
    <row r="104" spans="1:14" ht="78.75" customHeight="1">
      <c r="A104" s="2"/>
      <c r="B104" s="2"/>
      <c r="C104" s="11" t="s">
        <v>183</v>
      </c>
      <c r="D104" s="54">
        <v>2040</v>
      </c>
      <c r="E104" s="54"/>
      <c r="F104" s="54"/>
      <c r="G104" s="54"/>
      <c r="H104" s="54">
        <f t="shared" si="11"/>
        <v>2040</v>
      </c>
      <c r="I104" s="54">
        <v>2040</v>
      </c>
      <c r="J104" s="54"/>
      <c r="K104" s="54"/>
      <c r="L104" s="54"/>
      <c r="M104" s="55">
        <f t="shared" si="7"/>
        <v>2040</v>
      </c>
      <c r="N104" s="48">
        <f t="shared" si="10"/>
        <v>1</v>
      </c>
    </row>
    <row r="105" spans="1:14" ht="89.25" customHeight="1">
      <c r="A105" s="2"/>
      <c r="B105" s="2"/>
      <c r="C105" s="11" t="s">
        <v>27</v>
      </c>
      <c r="D105" s="54">
        <v>1176738</v>
      </c>
      <c r="E105" s="54"/>
      <c r="F105" s="54"/>
      <c r="G105" s="54"/>
      <c r="H105" s="54">
        <f t="shared" si="11"/>
        <v>1176738</v>
      </c>
      <c r="I105" s="54">
        <v>32750.83</v>
      </c>
      <c r="J105" s="54"/>
      <c r="K105" s="54"/>
      <c r="L105" s="54"/>
      <c r="M105" s="55">
        <f t="shared" si="7"/>
        <v>32750.83</v>
      </c>
      <c r="N105" s="48">
        <f t="shared" si="10"/>
        <v>0.027831879313831968</v>
      </c>
    </row>
    <row r="106" spans="1:14" ht="69" customHeight="1">
      <c r="A106" s="2"/>
      <c r="B106" s="23"/>
      <c r="C106" s="27" t="s">
        <v>312</v>
      </c>
      <c r="D106" s="54">
        <v>12960</v>
      </c>
      <c r="E106" s="54"/>
      <c r="F106" s="54"/>
      <c r="G106" s="54"/>
      <c r="H106" s="54">
        <f t="shared" si="11"/>
        <v>12960</v>
      </c>
      <c r="I106" s="54">
        <v>12960</v>
      </c>
      <c r="J106" s="54"/>
      <c r="K106" s="54"/>
      <c r="L106" s="54"/>
      <c r="M106" s="55">
        <f t="shared" si="7"/>
        <v>12960</v>
      </c>
      <c r="N106" s="48">
        <f t="shared" si="10"/>
        <v>1</v>
      </c>
    </row>
    <row r="107" spans="1:14" ht="11.25">
      <c r="A107" s="2"/>
      <c r="B107" s="3" t="s">
        <v>63</v>
      </c>
      <c r="C107" s="14"/>
      <c r="D107" s="56">
        <f>SUM(D95:D106)</f>
        <v>2172693</v>
      </c>
      <c r="E107" s="56">
        <f>SUM(E95:E106)</f>
        <v>0</v>
      </c>
      <c r="F107" s="56">
        <f>SUM(F95:F106)</f>
        <v>0</v>
      </c>
      <c r="G107" s="56">
        <f>SUM(G95:G106)</f>
        <v>0</v>
      </c>
      <c r="H107" s="56">
        <f t="shared" si="11"/>
        <v>2172693</v>
      </c>
      <c r="I107" s="56">
        <f>SUM(I95:I106)</f>
        <v>1478359.5100000002</v>
      </c>
      <c r="J107" s="56">
        <f>SUM(J95:J106)</f>
        <v>0</v>
      </c>
      <c r="K107" s="56">
        <f>SUM(K95:K106)</f>
        <v>0</v>
      </c>
      <c r="L107" s="56">
        <f>SUM(L95:L106)</f>
        <v>0</v>
      </c>
      <c r="M107" s="56">
        <f t="shared" si="7"/>
        <v>1478359.5100000002</v>
      </c>
      <c r="N107" s="51">
        <f t="shared" si="10"/>
        <v>0.6804272439778654</v>
      </c>
    </row>
    <row r="108" spans="1:14" ht="69" customHeight="1">
      <c r="A108" s="2"/>
      <c r="B108" s="1" t="s">
        <v>64</v>
      </c>
      <c r="C108" s="16" t="s">
        <v>37</v>
      </c>
      <c r="D108" s="54"/>
      <c r="E108" s="54"/>
      <c r="F108" s="54"/>
      <c r="G108" s="54">
        <f>43000-1640-1126</f>
        <v>40234</v>
      </c>
      <c r="H108" s="54">
        <f t="shared" si="11"/>
        <v>40234</v>
      </c>
      <c r="I108" s="54"/>
      <c r="J108" s="54"/>
      <c r="K108" s="54"/>
      <c r="L108" s="54">
        <v>40233.72</v>
      </c>
      <c r="M108" s="55">
        <f t="shared" si="7"/>
        <v>40233.72</v>
      </c>
      <c r="N108" s="48">
        <f t="shared" si="10"/>
        <v>0.9999930407118358</v>
      </c>
    </row>
    <row r="109" spans="1:14" ht="80.25" customHeight="1">
      <c r="A109" s="2"/>
      <c r="B109" s="2"/>
      <c r="C109" s="16" t="s">
        <v>65</v>
      </c>
      <c r="D109" s="54"/>
      <c r="E109" s="54">
        <f>25000+1640-1910</f>
        <v>24730</v>
      </c>
      <c r="F109" s="54"/>
      <c r="G109" s="54"/>
      <c r="H109" s="54">
        <f t="shared" si="11"/>
        <v>24730</v>
      </c>
      <c r="I109" s="54"/>
      <c r="J109" s="54">
        <v>24730</v>
      </c>
      <c r="K109" s="54"/>
      <c r="L109" s="54"/>
      <c r="M109" s="55">
        <f t="shared" si="7"/>
        <v>24730</v>
      </c>
      <c r="N109" s="48">
        <f t="shared" si="10"/>
        <v>1</v>
      </c>
    </row>
    <row r="110" spans="1:14" ht="11.25">
      <c r="A110" s="2"/>
      <c r="B110" s="3" t="s">
        <v>66</v>
      </c>
      <c r="C110" s="17"/>
      <c r="D110" s="56">
        <f>SUM(D108:D109)</f>
        <v>0</v>
      </c>
      <c r="E110" s="56">
        <f>SUM(E108:E109)</f>
        <v>24730</v>
      </c>
      <c r="F110" s="56">
        <f>SUM(F108:F109)</f>
        <v>0</v>
      </c>
      <c r="G110" s="56">
        <f>SUM(G108:G109)</f>
        <v>40234</v>
      </c>
      <c r="H110" s="56">
        <f t="shared" si="11"/>
        <v>64964</v>
      </c>
      <c r="I110" s="56">
        <f>SUM(I108:I109)</f>
        <v>0</v>
      </c>
      <c r="J110" s="56">
        <f>SUM(J108:J109)</f>
        <v>24730</v>
      </c>
      <c r="K110" s="56">
        <f>SUM(K108:K109)</f>
        <v>0</v>
      </c>
      <c r="L110" s="56">
        <f>SUM(L108:L109)</f>
        <v>40233.72</v>
      </c>
      <c r="M110" s="56">
        <f t="shared" si="7"/>
        <v>64963.72</v>
      </c>
      <c r="N110" s="51">
        <f t="shared" si="10"/>
        <v>0.9999956899205714</v>
      </c>
    </row>
    <row r="111" spans="1:14" ht="81.75" customHeight="1">
      <c r="A111" s="2"/>
      <c r="B111" s="1" t="s">
        <v>270</v>
      </c>
      <c r="C111" s="12" t="s">
        <v>59</v>
      </c>
      <c r="D111" s="54"/>
      <c r="E111" s="54"/>
      <c r="F111" s="54">
        <f>187765+36422</f>
        <v>224187</v>
      </c>
      <c r="G111" s="54"/>
      <c r="H111" s="54">
        <f t="shared" si="11"/>
        <v>224187</v>
      </c>
      <c r="I111" s="54"/>
      <c r="J111" s="54"/>
      <c r="K111" s="54">
        <v>224183.02</v>
      </c>
      <c r="L111" s="54"/>
      <c r="M111" s="55">
        <f t="shared" si="7"/>
        <v>224183.02</v>
      </c>
      <c r="N111" s="48">
        <f t="shared" si="10"/>
        <v>0.9999822469634724</v>
      </c>
    </row>
    <row r="112" spans="1:14" ht="11.25">
      <c r="A112" s="2"/>
      <c r="B112" s="3" t="s">
        <v>271</v>
      </c>
      <c r="C112" s="17"/>
      <c r="D112" s="56">
        <f>SUM(D111:D111)</f>
        <v>0</v>
      </c>
      <c r="E112" s="56">
        <f>SUM(E111:E111)</f>
        <v>0</v>
      </c>
      <c r="F112" s="56">
        <f>SUM(F111:F111)</f>
        <v>224187</v>
      </c>
      <c r="G112" s="56">
        <f>SUM(G111:G111)</f>
        <v>0</v>
      </c>
      <c r="H112" s="56">
        <f t="shared" si="11"/>
        <v>224187</v>
      </c>
      <c r="I112" s="56">
        <f>SUM(I111:I111)</f>
        <v>0</v>
      </c>
      <c r="J112" s="56">
        <f>SUM(J111:J111)</f>
        <v>0</v>
      </c>
      <c r="K112" s="56">
        <f>SUM(K111:K111)</f>
        <v>224183.02</v>
      </c>
      <c r="L112" s="56">
        <f>SUM(L111:L111)</f>
        <v>0</v>
      </c>
      <c r="M112" s="56">
        <f t="shared" si="7"/>
        <v>224183.02</v>
      </c>
      <c r="N112" s="51">
        <f t="shared" si="10"/>
        <v>0.9999822469634724</v>
      </c>
    </row>
    <row r="113" spans="1:14" ht="46.5" customHeight="1">
      <c r="A113" s="2"/>
      <c r="B113" s="22" t="s">
        <v>221</v>
      </c>
      <c r="C113" s="15" t="s">
        <v>20</v>
      </c>
      <c r="D113" s="54"/>
      <c r="E113" s="54"/>
      <c r="F113" s="54"/>
      <c r="G113" s="54"/>
      <c r="H113" s="54">
        <f t="shared" si="11"/>
        <v>0</v>
      </c>
      <c r="I113" s="59">
        <v>10474.38</v>
      </c>
      <c r="J113" s="54"/>
      <c r="K113" s="54"/>
      <c r="L113" s="54"/>
      <c r="M113" s="55">
        <f t="shared" si="7"/>
        <v>10474.38</v>
      </c>
      <c r="N113" s="48"/>
    </row>
    <row r="114" spans="1:14" ht="11.25" customHeight="1">
      <c r="A114" s="2"/>
      <c r="B114" s="3" t="s">
        <v>221</v>
      </c>
      <c r="C114" s="3"/>
      <c r="D114" s="56">
        <f>SUM(D113:D113)</f>
        <v>0</v>
      </c>
      <c r="E114" s="56">
        <f>SUM(E113:E113)</f>
        <v>0</v>
      </c>
      <c r="F114" s="56">
        <f>SUM(F113:F113)</f>
        <v>0</v>
      </c>
      <c r="G114" s="56">
        <f>SUM(G113:G113)</f>
        <v>0</v>
      </c>
      <c r="H114" s="56">
        <f t="shared" si="11"/>
        <v>0</v>
      </c>
      <c r="I114" s="56">
        <f>SUM(I113:I113)</f>
        <v>10474.38</v>
      </c>
      <c r="J114" s="56">
        <f>SUM(J113:J113)</f>
        <v>0</v>
      </c>
      <c r="K114" s="56">
        <f>SUM(K113:K113)</f>
        <v>0</v>
      </c>
      <c r="L114" s="56">
        <f>SUM(L113:L113)</f>
        <v>0</v>
      </c>
      <c r="M114" s="56">
        <f t="shared" si="7"/>
        <v>10474.38</v>
      </c>
      <c r="N114" s="50"/>
    </row>
    <row r="115" spans="1:14" ht="11.25">
      <c r="A115" s="4" t="s">
        <v>67</v>
      </c>
      <c r="B115" s="5"/>
      <c r="C115" s="9"/>
      <c r="D115" s="57">
        <f>SUM(D110,D107,D112,D94,D114)</f>
        <v>2174499</v>
      </c>
      <c r="E115" s="57">
        <f>SUM(E110,E107,E112,E94,E114)</f>
        <v>24730</v>
      </c>
      <c r="F115" s="57">
        <f>SUM(F110,F107,F112,F94,F114)</f>
        <v>1585187</v>
      </c>
      <c r="G115" s="57">
        <f>SUM(G110,G107,G112,G94,G114)</f>
        <v>638234</v>
      </c>
      <c r="H115" s="57">
        <f t="shared" si="11"/>
        <v>4422650</v>
      </c>
      <c r="I115" s="57">
        <f>SUM(I110,I107,I94,I112,I114)</f>
        <v>1491416.1900000002</v>
      </c>
      <c r="J115" s="57">
        <f>SUM(J110,J107,J94,J112,J114)</f>
        <v>24730</v>
      </c>
      <c r="K115" s="57">
        <f>SUM(K110,K107,K94,K112,K114)</f>
        <v>1585183.02</v>
      </c>
      <c r="L115" s="57">
        <f>SUM(L110,L107,L94,L112,L114)</f>
        <v>638233.72</v>
      </c>
      <c r="M115" s="57">
        <f t="shared" si="7"/>
        <v>3739562.9299999997</v>
      </c>
      <c r="N115" s="52">
        <f aca="true" t="shared" si="12" ref="N115:N125">M115/H115</f>
        <v>0.8455480153301753</v>
      </c>
    </row>
    <row r="116" spans="1:14" ht="80.25" customHeight="1">
      <c r="A116" s="99" t="s">
        <v>68</v>
      </c>
      <c r="B116" s="1" t="s">
        <v>69</v>
      </c>
      <c r="C116" s="12" t="s">
        <v>59</v>
      </c>
      <c r="D116" s="54"/>
      <c r="E116" s="54"/>
      <c r="F116" s="54">
        <v>41100</v>
      </c>
      <c r="G116" s="54"/>
      <c r="H116" s="54">
        <f t="shared" si="11"/>
        <v>41100</v>
      </c>
      <c r="I116" s="54"/>
      <c r="J116" s="54"/>
      <c r="K116" s="54">
        <v>40848.51</v>
      </c>
      <c r="L116" s="54"/>
      <c r="M116" s="55">
        <f t="shared" si="7"/>
        <v>40848.51</v>
      </c>
      <c r="N116" s="48">
        <f t="shared" si="12"/>
        <v>0.9938810218978102</v>
      </c>
    </row>
    <row r="117" spans="1:14" ht="11.25">
      <c r="A117" s="93"/>
      <c r="B117" s="3" t="s">
        <v>70</v>
      </c>
      <c r="C117" s="20"/>
      <c r="D117" s="56">
        <f>SUM(D116)</f>
        <v>0</v>
      </c>
      <c r="E117" s="56">
        <f>SUM(E116)</f>
        <v>0</v>
      </c>
      <c r="F117" s="56">
        <f>SUM(F116)</f>
        <v>41100</v>
      </c>
      <c r="G117" s="56">
        <f>SUM(G116)</f>
        <v>0</v>
      </c>
      <c r="H117" s="56">
        <f t="shared" si="11"/>
        <v>41100</v>
      </c>
      <c r="I117" s="56">
        <f>SUM(I116)</f>
        <v>0</v>
      </c>
      <c r="J117" s="56">
        <f>SUM(J116)</f>
        <v>0</v>
      </c>
      <c r="K117" s="56">
        <f>SUM(K116)</f>
        <v>40848.51</v>
      </c>
      <c r="L117" s="56">
        <f>SUM(L116)</f>
        <v>0</v>
      </c>
      <c r="M117" s="56">
        <f t="shared" si="7"/>
        <v>40848.51</v>
      </c>
      <c r="N117" s="50">
        <f t="shared" si="12"/>
        <v>0.9938810218978102</v>
      </c>
    </row>
    <row r="118" spans="1:14" ht="78.75">
      <c r="A118" s="93"/>
      <c r="B118" s="1" t="s">
        <v>307</v>
      </c>
      <c r="C118" s="12" t="s">
        <v>59</v>
      </c>
      <c r="D118" s="54"/>
      <c r="E118" s="54"/>
      <c r="F118" s="54">
        <f>142882+20000+167580</f>
        <v>330462</v>
      </c>
      <c r="G118" s="54"/>
      <c r="H118" s="54">
        <f t="shared" si="11"/>
        <v>330462</v>
      </c>
      <c r="I118" s="54"/>
      <c r="J118" s="54"/>
      <c r="K118" s="54">
        <v>320991.94</v>
      </c>
      <c r="L118" s="54"/>
      <c r="M118" s="55">
        <f t="shared" si="7"/>
        <v>320991.94</v>
      </c>
      <c r="N118" s="48">
        <f t="shared" si="12"/>
        <v>0.9713429683291877</v>
      </c>
    </row>
    <row r="119" spans="1:14" ht="11.25">
      <c r="A119" s="100"/>
      <c r="B119" s="3" t="s">
        <v>308</v>
      </c>
      <c r="C119" s="20"/>
      <c r="D119" s="56">
        <f>SUM(D118)</f>
        <v>0</v>
      </c>
      <c r="E119" s="56">
        <f>SUM(E118)</f>
        <v>0</v>
      </c>
      <c r="F119" s="56">
        <f>SUM(F118)</f>
        <v>330462</v>
      </c>
      <c r="G119" s="56">
        <f>SUM(G118)</f>
        <v>0</v>
      </c>
      <c r="H119" s="56">
        <f t="shared" si="11"/>
        <v>330462</v>
      </c>
      <c r="I119" s="56">
        <f>SUM(I118)</f>
        <v>0</v>
      </c>
      <c r="J119" s="56">
        <f>SUM(J118)</f>
        <v>0</v>
      </c>
      <c r="K119" s="56">
        <f>SUM(K118)</f>
        <v>320991.94</v>
      </c>
      <c r="L119" s="56">
        <f>SUM(L118)</f>
        <v>0</v>
      </c>
      <c r="M119" s="56">
        <f t="shared" si="7"/>
        <v>320991.94</v>
      </c>
      <c r="N119" s="50">
        <f t="shared" si="12"/>
        <v>0.9713429683291877</v>
      </c>
    </row>
    <row r="120" spans="1:14" ht="11.25">
      <c r="A120" s="4" t="s">
        <v>71</v>
      </c>
      <c r="B120" s="5"/>
      <c r="C120" s="9"/>
      <c r="D120" s="57">
        <f>SUM(D119,D117)</f>
        <v>0</v>
      </c>
      <c r="E120" s="57">
        <f>SUM(E119,E117)</f>
        <v>0</v>
      </c>
      <c r="F120" s="57">
        <f>SUM(F119,F117)</f>
        <v>371562</v>
      </c>
      <c r="G120" s="57">
        <f>SUM(G119,G117)</f>
        <v>0</v>
      </c>
      <c r="H120" s="57">
        <f t="shared" si="11"/>
        <v>371562</v>
      </c>
      <c r="I120" s="57">
        <f>SUM(I119,I117)</f>
        <v>0</v>
      </c>
      <c r="J120" s="57">
        <f>SUM(J119,J117)</f>
        <v>0</v>
      </c>
      <c r="K120" s="57">
        <f>SUM(K119,K117)</f>
        <v>361840.45</v>
      </c>
      <c r="L120" s="57">
        <f>SUM(L119,L117)</f>
        <v>0</v>
      </c>
      <c r="M120" s="57">
        <f t="shared" si="7"/>
        <v>361840.45</v>
      </c>
      <c r="N120" s="52">
        <f t="shared" si="12"/>
        <v>0.9738359950694635</v>
      </c>
    </row>
    <row r="121" spans="1:14" ht="68.25" customHeight="1">
      <c r="A121" s="99" t="s">
        <v>72</v>
      </c>
      <c r="B121" s="90" t="s">
        <v>73</v>
      </c>
      <c r="C121" s="12" t="s">
        <v>37</v>
      </c>
      <c r="D121" s="54"/>
      <c r="E121" s="54"/>
      <c r="F121" s="54"/>
      <c r="G121" s="54">
        <f>11593872+7200+106300+339295+232255</f>
        <v>12278922</v>
      </c>
      <c r="H121" s="54">
        <f t="shared" si="11"/>
        <v>12278922</v>
      </c>
      <c r="I121" s="54"/>
      <c r="J121" s="54"/>
      <c r="K121" s="54"/>
      <c r="L121" s="54">
        <v>12278789.5</v>
      </c>
      <c r="M121" s="55">
        <f t="shared" si="7"/>
        <v>12278789.5</v>
      </c>
      <c r="N121" s="48">
        <f t="shared" si="12"/>
        <v>0.999989209150445</v>
      </c>
    </row>
    <row r="122" spans="1:14" ht="57.75" customHeight="1">
      <c r="A122" s="94"/>
      <c r="B122" s="91"/>
      <c r="C122" s="11" t="s">
        <v>38</v>
      </c>
      <c r="D122" s="54">
        <v>1800</v>
      </c>
      <c r="E122" s="54"/>
      <c r="F122" s="54"/>
      <c r="G122" s="54"/>
      <c r="H122" s="54">
        <f t="shared" si="11"/>
        <v>1800</v>
      </c>
      <c r="I122" s="54">
        <v>1668.59</v>
      </c>
      <c r="J122" s="54"/>
      <c r="K122" s="54"/>
      <c r="L122" s="54"/>
      <c r="M122" s="55">
        <f t="shared" si="7"/>
        <v>1668.59</v>
      </c>
      <c r="N122" s="48">
        <f t="shared" si="12"/>
        <v>0.9269944444444445</v>
      </c>
    </row>
    <row r="123" spans="1:14" ht="79.5" customHeight="1">
      <c r="A123" s="23"/>
      <c r="B123" s="92"/>
      <c r="C123" s="15" t="s">
        <v>303</v>
      </c>
      <c r="D123" s="54"/>
      <c r="E123" s="54"/>
      <c r="F123" s="54"/>
      <c r="G123" s="54">
        <f>25348+111426</f>
        <v>136774</v>
      </c>
      <c r="H123" s="54">
        <f t="shared" si="11"/>
        <v>136774</v>
      </c>
      <c r="I123" s="54"/>
      <c r="J123" s="54"/>
      <c r="K123" s="54"/>
      <c r="L123" s="54">
        <v>136772.8</v>
      </c>
      <c r="M123" s="55">
        <f t="shared" si="7"/>
        <v>136772.8</v>
      </c>
      <c r="N123" s="48">
        <f t="shared" si="12"/>
        <v>0.9999912264026788</v>
      </c>
    </row>
    <row r="124" spans="1:14" ht="11.25">
      <c r="A124" s="2"/>
      <c r="B124" s="3" t="s">
        <v>74</v>
      </c>
      <c r="C124" s="14"/>
      <c r="D124" s="56">
        <f>SUM(D121:D123)</f>
        <v>1800</v>
      </c>
      <c r="E124" s="56">
        <f>SUM(E121:E123)</f>
        <v>0</v>
      </c>
      <c r="F124" s="56">
        <f>SUM(F121:F123)</f>
        <v>0</v>
      </c>
      <c r="G124" s="56">
        <f>SUM(G121:G123)</f>
        <v>12415696</v>
      </c>
      <c r="H124" s="56">
        <f t="shared" si="11"/>
        <v>12417496</v>
      </c>
      <c r="I124" s="56">
        <f>SUM(I121:I123)</f>
        <v>1668.59</v>
      </c>
      <c r="J124" s="56">
        <f>SUM(J121:J123)</f>
        <v>0</v>
      </c>
      <c r="K124" s="56">
        <f>SUM(K121:K123)</f>
        <v>0</v>
      </c>
      <c r="L124" s="56">
        <f>SUM(L121:L123)</f>
        <v>12415562.3</v>
      </c>
      <c r="M124" s="56">
        <f t="shared" si="7"/>
        <v>12417230.89</v>
      </c>
      <c r="N124" s="51">
        <f t="shared" si="12"/>
        <v>0.9999786502850495</v>
      </c>
    </row>
    <row r="125" spans="1:14" ht="24" customHeight="1">
      <c r="A125" s="2"/>
      <c r="B125" s="90" t="s">
        <v>75</v>
      </c>
      <c r="C125" s="15" t="s">
        <v>204</v>
      </c>
      <c r="D125" s="54">
        <v>180000</v>
      </c>
      <c r="E125" s="54"/>
      <c r="F125" s="54"/>
      <c r="G125" s="54"/>
      <c r="H125" s="54">
        <f t="shared" si="11"/>
        <v>180000</v>
      </c>
      <c r="I125" s="54">
        <v>152564.88</v>
      </c>
      <c r="J125" s="54"/>
      <c r="K125" s="54"/>
      <c r="L125" s="54"/>
      <c r="M125" s="55">
        <f t="shared" si="7"/>
        <v>152564.88</v>
      </c>
      <c r="N125" s="48">
        <f t="shared" si="12"/>
        <v>0.8475826666666667</v>
      </c>
    </row>
    <row r="126" spans="1:14" ht="13.5" customHeight="1">
      <c r="A126" s="2"/>
      <c r="B126" s="92"/>
      <c r="C126" s="15" t="s">
        <v>16</v>
      </c>
      <c r="D126" s="54"/>
      <c r="E126" s="54"/>
      <c r="F126" s="54"/>
      <c r="G126" s="54"/>
      <c r="H126" s="54">
        <f t="shared" si="11"/>
        <v>0</v>
      </c>
      <c r="I126" s="54">
        <v>12.76</v>
      </c>
      <c r="J126" s="54"/>
      <c r="K126" s="54"/>
      <c r="L126" s="54"/>
      <c r="M126" s="55">
        <f t="shared" si="7"/>
        <v>12.76</v>
      </c>
      <c r="N126" s="48"/>
    </row>
    <row r="127" spans="1:14" ht="11.25">
      <c r="A127" s="2"/>
      <c r="B127" s="3" t="s">
        <v>76</v>
      </c>
      <c r="C127" s="17"/>
      <c r="D127" s="56">
        <f>SUM(D125:D126)</f>
        <v>180000</v>
      </c>
      <c r="E127" s="56">
        <f>SUM(E125:E126)</f>
        <v>0</v>
      </c>
      <c r="F127" s="56">
        <f>SUM(F125:F126)</f>
        <v>0</v>
      </c>
      <c r="G127" s="56">
        <f>SUM(G125:G126)</f>
        <v>0</v>
      </c>
      <c r="H127" s="56">
        <f t="shared" si="11"/>
        <v>180000</v>
      </c>
      <c r="I127" s="56">
        <f>SUM(I125:I126)</f>
        <v>152577.64</v>
      </c>
      <c r="J127" s="56">
        <f>SUM(J125:J126)</f>
        <v>0</v>
      </c>
      <c r="K127" s="56">
        <f>SUM(K125:K126)</f>
        <v>0</v>
      </c>
      <c r="L127" s="56">
        <f>SUM(L125:L126)</f>
        <v>0</v>
      </c>
      <c r="M127" s="56">
        <f t="shared" si="7"/>
        <v>152577.64</v>
      </c>
      <c r="N127" s="50">
        <f aca="true" t="shared" si="13" ref="N127:N133">M127/H127</f>
        <v>0.8476535555555557</v>
      </c>
    </row>
    <row r="128" spans="1:14" ht="78" customHeight="1">
      <c r="A128" s="2"/>
      <c r="B128" s="22" t="s">
        <v>300</v>
      </c>
      <c r="C128" s="15" t="s">
        <v>303</v>
      </c>
      <c r="D128" s="54"/>
      <c r="E128" s="54"/>
      <c r="F128" s="54"/>
      <c r="G128" s="54">
        <f>500000-134238</f>
        <v>365762</v>
      </c>
      <c r="H128" s="54">
        <f t="shared" si="11"/>
        <v>365762</v>
      </c>
      <c r="I128" s="54"/>
      <c r="J128" s="54"/>
      <c r="K128" s="54"/>
      <c r="L128" s="54">
        <v>365762</v>
      </c>
      <c r="M128" s="55">
        <f t="shared" si="7"/>
        <v>365762</v>
      </c>
      <c r="N128" s="48">
        <f t="shared" si="13"/>
        <v>1</v>
      </c>
    </row>
    <row r="129" spans="1:14" ht="11.25">
      <c r="A129" s="2"/>
      <c r="B129" s="3" t="s">
        <v>301</v>
      </c>
      <c r="C129" s="17"/>
      <c r="D129" s="56">
        <f>SUM(D128:D128)</f>
        <v>0</v>
      </c>
      <c r="E129" s="56">
        <f>SUM(E128:E128)</f>
        <v>0</v>
      </c>
      <c r="F129" s="56">
        <f>SUM(F128:F128)</f>
        <v>0</v>
      </c>
      <c r="G129" s="56">
        <f>SUM(G128:G128)</f>
        <v>365762</v>
      </c>
      <c r="H129" s="56">
        <f t="shared" si="11"/>
        <v>365762</v>
      </c>
      <c r="I129" s="56">
        <f>SUM(I128:I128)</f>
        <v>0</v>
      </c>
      <c r="J129" s="56">
        <f>SUM(J128:J128)</f>
        <v>0</v>
      </c>
      <c r="K129" s="56">
        <f>SUM(K128:K128)</f>
        <v>0</v>
      </c>
      <c r="L129" s="56">
        <f>SUM(L128:L128)</f>
        <v>365762</v>
      </c>
      <c r="M129" s="56">
        <f t="shared" si="7"/>
        <v>365762</v>
      </c>
      <c r="N129" s="50">
        <f t="shared" si="13"/>
        <v>1</v>
      </c>
    </row>
    <row r="130" spans="1:14" ht="79.5" customHeight="1">
      <c r="A130" s="2"/>
      <c r="B130" s="22" t="s">
        <v>283</v>
      </c>
      <c r="C130" s="15" t="s">
        <v>51</v>
      </c>
      <c r="D130" s="54"/>
      <c r="E130" s="54">
        <v>29175</v>
      </c>
      <c r="F130" s="54"/>
      <c r="G130" s="54"/>
      <c r="H130" s="54">
        <f t="shared" si="11"/>
        <v>29175</v>
      </c>
      <c r="I130" s="54"/>
      <c r="J130" s="54">
        <v>29175</v>
      </c>
      <c r="K130" s="54"/>
      <c r="L130" s="54"/>
      <c r="M130" s="55">
        <f t="shared" si="7"/>
        <v>29175</v>
      </c>
      <c r="N130" s="48">
        <f t="shared" si="13"/>
        <v>1</v>
      </c>
    </row>
    <row r="131" spans="1:14" ht="11.25">
      <c r="A131" s="2"/>
      <c r="B131" s="3" t="s">
        <v>284</v>
      </c>
      <c r="C131" s="17"/>
      <c r="D131" s="56">
        <f>SUM(D130:D130)</f>
        <v>0</v>
      </c>
      <c r="E131" s="56">
        <f>SUM(E130:E130)</f>
        <v>29175</v>
      </c>
      <c r="F131" s="56">
        <f>SUM(F130:F130)</f>
        <v>0</v>
      </c>
      <c r="G131" s="56">
        <f>SUM(G130:G130)</f>
        <v>0</v>
      </c>
      <c r="H131" s="56">
        <f aca="true" t="shared" si="14" ref="H131:H163">SUM(D131:G131)</f>
        <v>29175</v>
      </c>
      <c r="I131" s="56">
        <f>SUM(I130:I130)</f>
        <v>0</v>
      </c>
      <c r="J131" s="56">
        <f>SUM(J130:J130)</f>
        <v>29175</v>
      </c>
      <c r="K131" s="56">
        <f>SUM(K130:K130)</f>
        <v>0</v>
      </c>
      <c r="L131" s="56">
        <f>SUM(L130:L130)</f>
        <v>0</v>
      </c>
      <c r="M131" s="56">
        <f aca="true" t="shared" si="15" ref="M131:M195">SUM(I131:L131)</f>
        <v>29175</v>
      </c>
      <c r="N131" s="50">
        <f t="shared" si="13"/>
        <v>1</v>
      </c>
    </row>
    <row r="132" spans="1:14" ht="11.25">
      <c r="A132" s="4" t="s">
        <v>77</v>
      </c>
      <c r="B132" s="5"/>
      <c r="C132" s="9"/>
      <c r="D132" s="57">
        <f>SUM(D127,D129,D124,D131)</f>
        <v>181800</v>
      </c>
      <c r="E132" s="57">
        <f>SUM(E127,E129,E124,E131)</f>
        <v>29175</v>
      </c>
      <c r="F132" s="57">
        <f>SUM(F127,F129,F124,F131)</f>
        <v>0</v>
      </c>
      <c r="G132" s="57">
        <f>SUM(G127,G129,G124,G131)</f>
        <v>12781458</v>
      </c>
      <c r="H132" s="57">
        <f t="shared" si="14"/>
        <v>12992433</v>
      </c>
      <c r="I132" s="57">
        <f>SUM(I127,I129,I124,I131)</f>
        <v>154246.23</v>
      </c>
      <c r="J132" s="57">
        <f>SUM(J127,J129,J124,J131)</f>
        <v>29175</v>
      </c>
      <c r="K132" s="57">
        <f>SUM(K127,K129,K124,K131)</f>
        <v>0</v>
      </c>
      <c r="L132" s="57">
        <f>SUM(L127,L129,L124,L131)</f>
        <v>12781324.3</v>
      </c>
      <c r="M132" s="57">
        <f t="shared" si="15"/>
        <v>12964745.530000001</v>
      </c>
      <c r="N132" s="52">
        <f t="shared" si="13"/>
        <v>0.9978689541827925</v>
      </c>
    </row>
    <row r="133" spans="1:14" ht="45" customHeight="1">
      <c r="A133" s="99" t="s">
        <v>78</v>
      </c>
      <c r="B133" s="105" t="s">
        <v>79</v>
      </c>
      <c r="C133" s="12" t="s">
        <v>80</v>
      </c>
      <c r="D133" s="54">
        <v>800000</v>
      </c>
      <c r="E133" s="54"/>
      <c r="F133" s="54"/>
      <c r="G133" s="54"/>
      <c r="H133" s="54">
        <f t="shared" si="14"/>
        <v>800000</v>
      </c>
      <c r="I133" s="59">
        <v>772325.05</v>
      </c>
      <c r="J133" s="54"/>
      <c r="K133" s="54"/>
      <c r="L133" s="54"/>
      <c r="M133" s="55">
        <f t="shared" si="15"/>
        <v>772325.05</v>
      </c>
      <c r="N133" s="48">
        <f t="shared" si="13"/>
        <v>0.9654063125000001</v>
      </c>
    </row>
    <row r="134" spans="1:14" ht="37.5" customHeight="1">
      <c r="A134" s="93"/>
      <c r="B134" s="106"/>
      <c r="C134" s="11" t="s">
        <v>88</v>
      </c>
      <c r="D134" s="54"/>
      <c r="E134" s="54"/>
      <c r="F134" s="54"/>
      <c r="G134" s="54"/>
      <c r="H134" s="54">
        <f t="shared" si="14"/>
        <v>0</v>
      </c>
      <c r="I134" s="54">
        <v>31703.3</v>
      </c>
      <c r="J134" s="54"/>
      <c r="K134" s="54"/>
      <c r="L134" s="54"/>
      <c r="M134" s="55">
        <f t="shared" si="15"/>
        <v>31703.3</v>
      </c>
      <c r="N134" s="48"/>
    </row>
    <row r="135" spans="1:14" ht="11.25">
      <c r="A135" s="93"/>
      <c r="B135" s="3" t="s">
        <v>81</v>
      </c>
      <c r="C135" s="8"/>
      <c r="D135" s="56">
        <f>SUM(D133:D134)</f>
        <v>800000</v>
      </c>
      <c r="E135" s="56">
        <f>SUM(E133:E134)</f>
        <v>0</v>
      </c>
      <c r="F135" s="56">
        <f>SUM(F133:F134)</f>
        <v>0</v>
      </c>
      <c r="G135" s="56">
        <f>SUM(G133:G134)</f>
        <v>0</v>
      </c>
      <c r="H135" s="56">
        <f t="shared" si="14"/>
        <v>800000</v>
      </c>
      <c r="I135" s="56">
        <f>SUM(I133:I134)</f>
        <v>804028.3500000001</v>
      </c>
      <c r="J135" s="56">
        <f>SUM(J133:J134)</f>
        <v>0</v>
      </c>
      <c r="K135" s="56">
        <f>SUM(K133:K134)</f>
        <v>0</v>
      </c>
      <c r="L135" s="56">
        <f>SUM(L133:L134)</f>
        <v>0</v>
      </c>
      <c r="M135" s="56">
        <f t="shared" si="15"/>
        <v>804028.3500000001</v>
      </c>
      <c r="N135" s="51">
        <f aca="true" t="shared" si="16" ref="N135:N173">M135/H135</f>
        <v>1.0050354375000001</v>
      </c>
    </row>
    <row r="136" spans="1:14" ht="18" customHeight="1">
      <c r="A136" s="93"/>
      <c r="B136" s="90" t="s">
        <v>82</v>
      </c>
      <c r="C136" s="12" t="s">
        <v>83</v>
      </c>
      <c r="D136" s="54">
        <f>148413000+50000</f>
        <v>148463000</v>
      </c>
      <c r="E136" s="54"/>
      <c r="F136" s="54"/>
      <c r="G136" s="54"/>
      <c r="H136" s="54">
        <f t="shared" si="14"/>
        <v>148463000</v>
      </c>
      <c r="I136" s="54">
        <v>140506802.3</v>
      </c>
      <c r="J136" s="54"/>
      <c r="K136" s="54"/>
      <c r="L136" s="54"/>
      <c r="M136" s="55">
        <f t="shared" si="15"/>
        <v>140506802.3</v>
      </c>
      <c r="N136" s="48">
        <f t="shared" si="16"/>
        <v>0.946409558610563</v>
      </c>
    </row>
    <row r="137" spans="1:14" ht="17.25" customHeight="1">
      <c r="A137" s="93"/>
      <c r="B137" s="91"/>
      <c r="C137" s="11" t="s">
        <v>84</v>
      </c>
      <c r="D137" s="54">
        <v>2100</v>
      </c>
      <c r="E137" s="54"/>
      <c r="F137" s="54"/>
      <c r="G137" s="54"/>
      <c r="H137" s="54">
        <f t="shared" si="14"/>
        <v>2100</v>
      </c>
      <c r="I137" s="54">
        <v>4515</v>
      </c>
      <c r="J137" s="54"/>
      <c r="K137" s="54"/>
      <c r="L137" s="54"/>
      <c r="M137" s="55">
        <f t="shared" si="15"/>
        <v>4515</v>
      </c>
      <c r="N137" s="48">
        <f t="shared" si="16"/>
        <v>2.15</v>
      </c>
    </row>
    <row r="138" spans="1:14" ht="17.25" customHeight="1">
      <c r="A138" s="93"/>
      <c r="B138" s="91"/>
      <c r="C138" s="11" t="s">
        <v>85</v>
      </c>
      <c r="D138" s="54">
        <v>72000</v>
      </c>
      <c r="E138" s="54"/>
      <c r="F138" s="54"/>
      <c r="G138" s="54"/>
      <c r="H138" s="54">
        <f t="shared" si="14"/>
        <v>72000</v>
      </c>
      <c r="I138" s="54">
        <v>93176</v>
      </c>
      <c r="J138" s="54"/>
      <c r="K138" s="54"/>
      <c r="L138" s="54"/>
      <c r="M138" s="55">
        <f t="shared" si="15"/>
        <v>93176</v>
      </c>
      <c r="N138" s="48">
        <f t="shared" si="16"/>
        <v>1.2941111111111112</v>
      </c>
    </row>
    <row r="139" spans="1:14" ht="30.75" customHeight="1">
      <c r="A139" s="93"/>
      <c r="B139" s="91"/>
      <c r="C139" s="11" t="s">
        <v>86</v>
      </c>
      <c r="D139" s="54">
        <v>6033500</v>
      </c>
      <c r="E139" s="54"/>
      <c r="F139" s="54"/>
      <c r="G139" s="54"/>
      <c r="H139" s="54">
        <f t="shared" si="14"/>
        <v>6033500</v>
      </c>
      <c r="I139" s="54">
        <v>5604411.28</v>
      </c>
      <c r="J139" s="54"/>
      <c r="K139" s="54"/>
      <c r="L139" s="54"/>
      <c r="M139" s="55">
        <f t="shared" si="15"/>
        <v>5604411.28</v>
      </c>
      <c r="N139" s="48">
        <f t="shared" si="16"/>
        <v>0.9288822872296346</v>
      </c>
    </row>
    <row r="140" spans="1:14" ht="28.5" customHeight="1">
      <c r="A140" s="93"/>
      <c r="B140" s="91"/>
      <c r="C140" s="11" t="s">
        <v>87</v>
      </c>
      <c r="D140" s="54">
        <v>3526100</v>
      </c>
      <c r="E140" s="54"/>
      <c r="F140" s="54"/>
      <c r="G140" s="54"/>
      <c r="H140" s="54">
        <f t="shared" si="14"/>
        <v>3526100</v>
      </c>
      <c r="I140" s="54">
        <v>2125653.2</v>
      </c>
      <c r="J140" s="54"/>
      <c r="K140" s="54"/>
      <c r="L140" s="54"/>
      <c r="M140" s="55">
        <f t="shared" si="15"/>
        <v>2125653.2</v>
      </c>
      <c r="N140" s="48">
        <f t="shared" si="16"/>
        <v>0.6028340659652308</v>
      </c>
    </row>
    <row r="141" spans="1:14" ht="36.75" customHeight="1">
      <c r="A141" s="94"/>
      <c r="B141" s="91"/>
      <c r="C141" s="11" t="s">
        <v>88</v>
      </c>
      <c r="D141" s="54">
        <v>450000</v>
      </c>
      <c r="E141" s="54"/>
      <c r="F141" s="54"/>
      <c r="G141" s="54"/>
      <c r="H141" s="54">
        <f t="shared" si="14"/>
        <v>450000</v>
      </c>
      <c r="I141" s="54">
        <v>9692737.23</v>
      </c>
      <c r="J141" s="54"/>
      <c r="K141" s="54"/>
      <c r="L141" s="54"/>
      <c r="M141" s="55">
        <f t="shared" si="15"/>
        <v>9692737.23</v>
      </c>
      <c r="N141" s="48">
        <f t="shared" si="16"/>
        <v>21.539416066666668</v>
      </c>
    </row>
    <row r="142" spans="1:14" ht="40.5" customHeight="1">
      <c r="A142" s="2"/>
      <c r="B142" s="92"/>
      <c r="C142" s="11" t="s">
        <v>89</v>
      </c>
      <c r="D142" s="54">
        <f>433000+143680</f>
        <v>576680</v>
      </c>
      <c r="E142" s="54"/>
      <c r="F142" s="54"/>
      <c r="G142" s="54"/>
      <c r="H142" s="54">
        <f t="shared" si="14"/>
        <v>576680</v>
      </c>
      <c r="I142" s="54">
        <v>429137</v>
      </c>
      <c r="J142" s="54"/>
      <c r="K142" s="54"/>
      <c r="L142" s="54"/>
      <c r="M142" s="55">
        <f t="shared" si="15"/>
        <v>429137</v>
      </c>
      <c r="N142" s="48">
        <f t="shared" si="16"/>
        <v>0.7441510022889645</v>
      </c>
    </row>
    <row r="143" spans="1:14" ht="11.25">
      <c r="A143" s="2"/>
      <c r="B143" s="3" t="s">
        <v>90</v>
      </c>
      <c r="C143" s="14"/>
      <c r="D143" s="56">
        <f>SUM(D136:D142)</f>
        <v>159123380</v>
      </c>
      <c r="E143" s="56">
        <f>SUM(E136:E142)</f>
        <v>0</v>
      </c>
      <c r="F143" s="56">
        <f>SUM(F136:F142)</f>
        <v>0</v>
      </c>
      <c r="G143" s="56">
        <f>SUM(G136:G142)</f>
        <v>0</v>
      </c>
      <c r="H143" s="56">
        <f t="shared" si="14"/>
        <v>159123380</v>
      </c>
      <c r="I143" s="56">
        <f>SUM(I136:I142)</f>
        <v>158456432.01</v>
      </c>
      <c r="J143" s="56">
        <f>SUM(J136:J142)</f>
        <v>0</v>
      </c>
      <c r="K143" s="56">
        <f>SUM(K136:K142)</f>
        <v>0</v>
      </c>
      <c r="L143" s="56">
        <f>SUM(L136:L142)</f>
        <v>0</v>
      </c>
      <c r="M143" s="56">
        <f t="shared" si="15"/>
        <v>158456432.01</v>
      </c>
      <c r="N143" s="51">
        <f t="shared" si="16"/>
        <v>0.9958086109659058</v>
      </c>
    </row>
    <row r="144" spans="1:14" ht="12.75" customHeight="1">
      <c r="A144" s="2"/>
      <c r="B144" s="90" t="s">
        <v>91</v>
      </c>
      <c r="C144" s="12" t="s">
        <v>83</v>
      </c>
      <c r="D144" s="54">
        <v>19165060</v>
      </c>
      <c r="E144" s="54"/>
      <c r="F144" s="54"/>
      <c r="G144" s="54"/>
      <c r="H144" s="54">
        <f t="shared" si="14"/>
        <v>19165060</v>
      </c>
      <c r="I144" s="54">
        <v>20124142.27</v>
      </c>
      <c r="J144" s="54"/>
      <c r="K144" s="54"/>
      <c r="L144" s="54"/>
      <c r="M144" s="55">
        <f t="shared" si="15"/>
        <v>20124142.27</v>
      </c>
      <c r="N144" s="48">
        <f t="shared" si="16"/>
        <v>1.0500432698880149</v>
      </c>
    </row>
    <row r="145" spans="1:14" ht="10.5" customHeight="1">
      <c r="A145" s="2"/>
      <c r="B145" s="91"/>
      <c r="C145" s="16" t="s">
        <v>84</v>
      </c>
      <c r="D145" s="54">
        <v>40530</v>
      </c>
      <c r="E145" s="54"/>
      <c r="F145" s="54"/>
      <c r="G145" s="54"/>
      <c r="H145" s="54">
        <f t="shared" si="14"/>
        <v>40530</v>
      </c>
      <c r="I145" s="54">
        <v>35801.96</v>
      </c>
      <c r="J145" s="54"/>
      <c r="K145" s="54"/>
      <c r="L145" s="54"/>
      <c r="M145" s="55">
        <f t="shared" si="15"/>
        <v>35801.96</v>
      </c>
      <c r="N145" s="48">
        <f t="shared" si="16"/>
        <v>0.8833446829509005</v>
      </c>
    </row>
    <row r="146" spans="1:14" ht="15" customHeight="1">
      <c r="A146" s="2"/>
      <c r="B146" s="91"/>
      <c r="C146" s="16" t="s">
        <v>85</v>
      </c>
      <c r="D146" s="54">
        <v>4360</v>
      </c>
      <c r="E146" s="54"/>
      <c r="F146" s="54"/>
      <c r="G146" s="54"/>
      <c r="H146" s="54">
        <f t="shared" si="14"/>
        <v>4360</v>
      </c>
      <c r="I146" s="54">
        <v>3523.9</v>
      </c>
      <c r="J146" s="54"/>
      <c r="K146" s="54"/>
      <c r="L146" s="54"/>
      <c r="M146" s="55">
        <f t="shared" si="15"/>
        <v>3523.9</v>
      </c>
      <c r="N146" s="48">
        <f t="shared" si="16"/>
        <v>0.8082339449541285</v>
      </c>
    </row>
    <row r="147" spans="1:14" ht="21.75" customHeight="1">
      <c r="A147" s="2"/>
      <c r="B147" s="91"/>
      <c r="C147" s="16" t="s">
        <v>86</v>
      </c>
      <c r="D147" s="54">
        <v>2300000</v>
      </c>
      <c r="E147" s="54"/>
      <c r="F147" s="54"/>
      <c r="G147" s="54"/>
      <c r="H147" s="54">
        <f t="shared" si="14"/>
        <v>2300000</v>
      </c>
      <c r="I147" s="54">
        <v>2035667.59</v>
      </c>
      <c r="J147" s="54"/>
      <c r="K147" s="54"/>
      <c r="L147" s="54"/>
      <c r="M147" s="55">
        <f t="shared" si="15"/>
        <v>2035667.59</v>
      </c>
      <c r="N147" s="48">
        <f t="shared" si="16"/>
        <v>0.8850728652173914</v>
      </c>
    </row>
    <row r="148" spans="1:14" ht="23.25" customHeight="1">
      <c r="A148" s="2"/>
      <c r="B148" s="91"/>
      <c r="C148" s="16" t="s">
        <v>92</v>
      </c>
      <c r="D148" s="54">
        <v>3500000</v>
      </c>
      <c r="E148" s="54"/>
      <c r="F148" s="54"/>
      <c r="G148" s="54"/>
      <c r="H148" s="54">
        <f t="shared" si="14"/>
        <v>3500000</v>
      </c>
      <c r="I148" s="59">
        <v>4357129.19</v>
      </c>
      <c r="J148" s="54"/>
      <c r="K148" s="54"/>
      <c r="L148" s="54"/>
      <c r="M148" s="55">
        <f t="shared" si="15"/>
        <v>4357129.19</v>
      </c>
      <c r="N148" s="48">
        <f t="shared" si="16"/>
        <v>1.2448940542857143</v>
      </c>
    </row>
    <row r="149" spans="1:14" ht="12.75" customHeight="1">
      <c r="A149" s="2"/>
      <c r="B149" s="91"/>
      <c r="C149" s="16" t="s">
        <v>93</v>
      </c>
      <c r="D149" s="54">
        <v>823000</v>
      </c>
      <c r="E149" s="54"/>
      <c r="F149" s="54"/>
      <c r="G149" s="54"/>
      <c r="H149" s="54">
        <f t="shared" si="14"/>
        <v>823000</v>
      </c>
      <c r="I149" s="59">
        <v>597993.3</v>
      </c>
      <c r="J149" s="54"/>
      <c r="K149" s="54"/>
      <c r="L149" s="54"/>
      <c r="M149" s="55">
        <f t="shared" si="15"/>
        <v>597993.3</v>
      </c>
      <c r="N149" s="48">
        <f t="shared" si="16"/>
        <v>0.7266018226002431</v>
      </c>
    </row>
    <row r="150" spans="1:14" ht="22.5">
      <c r="A150" s="2"/>
      <c r="B150" s="91"/>
      <c r="C150" s="16" t="s">
        <v>94</v>
      </c>
      <c r="D150" s="54">
        <v>100000</v>
      </c>
      <c r="E150" s="54"/>
      <c r="F150" s="54"/>
      <c r="G150" s="54"/>
      <c r="H150" s="54">
        <f t="shared" si="14"/>
        <v>100000</v>
      </c>
      <c r="I150" s="59">
        <v>84885.34</v>
      </c>
      <c r="J150" s="54"/>
      <c r="K150" s="54"/>
      <c r="L150" s="54"/>
      <c r="M150" s="55">
        <f t="shared" si="15"/>
        <v>84885.34</v>
      </c>
      <c r="N150" s="48">
        <f t="shared" si="16"/>
        <v>0.8488534</v>
      </c>
    </row>
    <row r="151" spans="1:14" ht="24" customHeight="1">
      <c r="A151" s="2"/>
      <c r="B151" s="91"/>
      <c r="C151" s="16" t="s">
        <v>87</v>
      </c>
      <c r="D151" s="54">
        <v>23473900</v>
      </c>
      <c r="E151" s="54"/>
      <c r="F151" s="54"/>
      <c r="G151" s="54"/>
      <c r="H151" s="54">
        <f t="shared" si="14"/>
        <v>23473900</v>
      </c>
      <c r="I151" s="59">
        <v>22934621.11</v>
      </c>
      <c r="J151" s="54"/>
      <c r="K151" s="54"/>
      <c r="L151" s="54"/>
      <c r="M151" s="55">
        <f t="shared" si="15"/>
        <v>22934621.11</v>
      </c>
      <c r="N151" s="48">
        <f t="shared" si="16"/>
        <v>0.9770264468196592</v>
      </c>
    </row>
    <row r="152" spans="1:14" ht="23.25" customHeight="1">
      <c r="A152" s="2"/>
      <c r="B152" s="91"/>
      <c r="C152" s="16" t="s">
        <v>207</v>
      </c>
      <c r="D152" s="54">
        <v>500</v>
      </c>
      <c r="E152" s="54"/>
      <c r="F152" s="54"/>
      <c r="G152" s="54"/>
      <c r="H152" s="54">
        <f t="shared" si="14"/>
        <v>500</v>
      </c>
      <c r="I152" s="59"/>
      <c r="J152" s="54"/>
      <c r="K152" s="54"/>
      <c r="L152" s="54"/>
      <c r="M152" s="55">
        <f t="shared" si="15"/>
        <v>0</v>
      </c>
      <c r="N152" s="48">
        <f t="shared" si="16"/>
        <v>0</v>
      </c>
    </row>
    <row r="153" spans="1:14" ht="33.75">
      <c r="A153" s="2"/>
      <c r="B153" s="92"/>
      <c r="C153" s="16" t="s">
        <v>88</v>
      </c>
      <c r="D153" s="54">
        <v>300000</v>
      </c>
      <c r="E153" s="54"/>
      <c r="F153" s="54"/>
      <c r="G153" s="54"/>
      <c r="H153" s="54">
        <f t="shared" si="14"/>
        <v>300000</v>
      </c>
      <c r="I153" s="59">
        <v>386200.42</v>
      </c>
      <c r="J153" s="54"/>
      <c r="K153" s="54"/>
      <c r="L153" s="54"/>
      <c r="M153" s="55">
        <f t="shared" si="15"/>
        <v>386200.42</v>
      </c>
      <c r="N153" s="48">
        <f t="shared" si="16"/>
        <v>1.2873347333333334</v>
      </c>
    </row>
    <row r="154" spans="1:14" ht="13.5" customHeight="1">
      <c r="A154" s="2"/>
      <c r="B154" s="3" t="s">
        <v>95</v>
      </c>
      <c r="C154" s="19"/>
      <c r="D154" s="56">
        <f>SUM(D144:D153)</f>
        <v>49707350</v>
      </c>
      <c r="E154" s="56">
        <f>SUM(E144:E153)</f>
        <v>0</v>
      </c>
      <c r="F154" s="56">
        <f>SUM(F144:F153)</f>
        <v>0</v>
      </c>
      <c r="G154" s="56">
        <f>SUM(G144:G153)</f>
        <v>0</v>
      </c>
      <c r="H154" s="56">
        <f t="shared" si="14"/>
        <v>49707350</v>
      </c>
      <c r="I154" s="56">
        <f>SUM(I144:I153)</f>
        <v>50559965.08</v>
      </c>
      <c r="J154" s="56">
        <f>SUM(J144:J153)</f>
        <v>0</v>
      </c>
      <c r="K154" s="56">
        <f>SUM(K144:K153)</f>
        <v>0</v>
      </c>
      <c r="L154" s="56">
        <f>SUM(L144:L153)</f>
        <v>0</v>
      </c>
      <c r="M154" s="56">
        <f t="shared" si="15"/>
        <v>50559965.08</v>
      </c>
      <c r="N154" s="51">
        <f t="shared" si="16"/>
        <v>1.017152696331629</v>
      </c>
    </row>
    <row r="155" spans="1:14" ht="24.75" customHeight="1">
      <c r="A155" s="2"/>
      <c r="B155" s="90" t="s">
        <v>96</v>
      </c>
      <c r="C155" s="16" t="s">
        <v>97</v>
      </c>
      <c r="D155" s="54">
        <v>4100000</v>
      </c>
      <c r="E155" s="54"/>
      <c r="F155" s="54"/>
      <c r="G155" s="54"/>
      <c r="H155" s="54">
        <f t="shared" si="14"/>
        <v>4100000</v>
      </c>
      <c r="I155" s="54">
        <v>3628615.49</v>
      </c>
      <c r="J155" s="54"/>
      <c r="K155" s="54"/>
      <c r="L155" s="54"/>
      <c r="M155" s="55">
        <f t="shared" si="15"/>
        <v>3628615.49</v>
      </c>
      <c r="N155" s="48">
        <f t="shared" si="16"/>
        <v>0.8850281682926829</v>
      </c>
    </row>
    <row r="156" spans="1:14" ht="25.5" customHeight="1">
      <c r="A156" s="2"/>
      <c r="B156" s="91"/>
      <c r="C156" s="16" t="s">
        <v>98</v>
      </c>
      <c r="D156" s="54">
        <v>5100000</v>
      </c>
      <c r="E156" s="54"/>
      <c r="F156" s="54"/>
      <c r="G156" s="54"/>
      <c r="H156" s="54">
        <f t="shared" si="14"/>
        <v>5100000</v>
      </c>
      <c r="I156" s="54">
        <v>5172084</v>
      </c>
      <c r="J156" s="54"/>
      <c r="K156" s="54"/>
      <c r="L156" s="54"/>
      <c r="M156" s="55">
        <f t="shared" si="15"/>
        <v>5172084</v>
      </c>
      <c r="N156" s="48">
        <f t="shared" si="16"/>
        <v>1.0141341176470589</v>
      </c>
    </row>
    <row r="157" spans="1:14" ht="39" customHeight="1">
      <c r="A157" s="2"/>
      <c r="B157" s="91"/>
      <c r="C157" s="21" t="s">
        <v>208</v>
      </c>
      <c r="D157" s="54">
        <v>5400000</v>
      </c>
      <c r="E157" s="54"/>
      <c r="F157" s="54"/>
      <c r="G157" s="54"/>
      <c r="H157" s="54">
        <f t="shared" si="14"/>
        <v>5400000</v>
      </c>
      <c r="I157" s="54">
        <v>4952639.84</v>
      </c>
      <c r="J157" s="54"/>
      <c r="K157" s="54"/>
      <c r="L157" s="54"/>
      <c r="M157" s="55">
        <f t="shared" si="15"/>
        <v>4952639.84</v>
      </c>
      <c r="N157" s="48">
        <f t="shared" si="16"/>
        <v>0.9171555259259259</v>
      </c>
    </row>
    <row r="158" spans="1:14" ht="45">
      <c r="A158" s="2"/>
      <c r="B158" s="91"/>
      <c r="C158" s="16" t="s">
        <v>99</v>
      </c>
      <c r="D158" s="54">
        <v>250000</v>
      </c>
      <c r="E158" s="54"/>
      <c r="F158" s="54"/>
      <c r="G158" s="54"/>
      <c r="H158" s="54">
        <f t="shared" si="14"/>
        <v>250000</v>
      </c>
      <c r="I158" s="54">
        <v>71939.13</v>
      </c>
      <c r="J158" s="54"/>
      <c r="K158" s="54"/>
      <c r="L158" s="54"/>
      <c r="M158" s="55">
        <f t="shared" si="15"/>
        <v>71939.13</v>
      </c>
      <c r="N158" s="48">
        <f t="shared" si="16"/>
        <v>0.28775652</v>
      </c>
    </row>
    <row r="159" spans="1:14" ht="22.5">
      <c r="A159" s="2"/>
      <c r="B159" s="91"/>
      <c r="C159" s="16" t="s">
        <v>314</v>
      </c>
      <c r="D159" s="54"/>
      <c r="E159" s="54"/>
      <c r="F159" s="54"/>
      <c r="G159" s="54"/>
      <c r="H159" s="54">
        <f t="shared" si="14"/>
        <v>0</v>
      </c>
      <c r="I159" s="54">
        <v>5622.87</v>
      </c>
      <c r="J159" s="54"/>
      <c r="K159" s="54"/>
      <c r="L159" s="54"/>
      <c r="M159" s="55">
        <f t="shared" si="15"/>
        <v>5622.87</v>
      </c>
      <c r="N159" s="48"/>
    </row>
    <row r="160" spans="1:14" ht="14.25" customHeight="1">
      <c r="A160" s="2"/>
      <c r="B160" s="92"/>
      <c r="C160" s="11" t="s">
        <v>19</v>
      </c>
      <c r="D160" s="54"/>
      <c r="E160" s="54"/>
      <c r="F160" s="54"/>
      <c r="G160" s="54"/>
      <c r="H160" s="54">
        <f t="shared" si="14"/>
        <v>0</v>
      </c>
      <c r="I160" s="54">
        <v>35.04</v>
      </c>
      <c r="J160" s="54"/>
      <c r="K160" s="54"/>
      <c r="L160" s="54"/>
      <c r="M160" s="55">
        <f t="shared" si="15"/>
        <v>35.04</v>
      </c>
      <c r="N160" s="48"/>
    </row>
    <row r="161" spans="1:14" ht="11.25">
      <c r="A161" s="2"/>
      <c r="B161" s="3" t="s">
        <v>100</v>
      </c>
      <c r="C161" s="19"/>
      <c r="D161" s="56">
        <f>SUM(D155:D160)</f>
        <v>14850000</v>
      </c>
      <c r="E161" s="56">
        <f>SUM(E155:E160)</f>
        <v>0</v>
      </c>
      <c r="F161" s="56">
        <f>SUM(F155:F160)</f>
        <v>0</v>
      </c>
      <c r="G161" s="56">
        <f>SUM(G155:G160)</f>
        <v>0</v>
      </c>
      <c r="H161" s="56">
        <f t="shared" si="14"/>
        <v>14850000</v>
      </c>
      <c r="I161" s="56">
        <f>SUM(I155:I160)</f>
        <v>13830936.37</v>
      </c>
      <c r="J161" s="56">
        <f>SUM(J155:J160)</f>
        <v>0</v>
      </c>
      <c r="K161" s="56">
        <f>SUM(K155:K160)</f>
        <v>0</v>
      </c>
      <c r="L161" s="56">
        <f>SUM(L155:L160)</f>
        <v>0</v>
      </c>
      <c r="M161" s="56">
        <f t="shared" si="15"/>
        <v>13830936.37</v>
      </c>
      <c r="N161" s="51">
        <f t="shared" si="16"/>
        <v>0.9313761865319865</v>
      </c>
    </row>
    <row r="162" spans="1:14" ht="22.5" customHeight="1">
      <c r="A162" s="2"/>
      <c r="B162" s="90" t="s">
        <v>101</v>
      </c>
      <c r="C162" s="12" t="s">
        <v>102</v>
      </c>
      <c r="D162" s="54">
        <v>217522232</v>
      </c>
      <c r="E162" s="54"/>
      <c r="F162" s="54"/>
      <c r="G162" s="54"/>
      <c r="H162" s="54">
        <f t="shared" si="14"/>
        <v>217522232</v>
      </c>
      <c r="I162" s="54">
        <v>221230421</v>
      </c>
      <c r="J162" s="54"/>
      <c r="K162" s="54"/>
      <c r="L162" s="54"/>
      <c r="M162" s="55">
        <f t="shared" si="15"/>
        <v>221230421</v>
      </c>
      <c r="N162" s="48">
        <f t="shared" si="16"/>
        <v>1.0170474023087441</v>
      </c>
    </row>
    <row r="163" spans="1:14" ht="20.25" customHeight="1">
      <c r="A163" s="2"/>
      <c r="B163" s="91"/>
      <c r="C163" s="12" t="s">
        <v>103</v>
      </c>
      <c r="D163" s="54">
        <v>19800000</v>
      </c>
      <c r="E163" s="54"/>
      <c r="F163" s="54"/>
      <c r="G163" s="54"/>
      <c r="H163" s="54">
        <f t="shared" si="14"/>
        <v>19800000</v>
      </c>
      <c r="I163" s="59">
        <v>16039276.87</v>
      </c>
      <c r="J163" s="54"/>
      <c r="K163" s="54"/>
      <c r="L163" s="54"/>
      <c r="M163" s="55">
        <f t="shared" si="15"/>
        <v>16039276.87</v>
      </c>
      <c r="N163" s="48">
        <f t="shared" si="16"/>
        <v>0.8100644883838384</v>
      </c>
    </row>
    <row r="164" spans="1:14" ht="42.75" customHeight="1">
      <c r="A164" s="2"/>
      <c r="B164" s="92"/>
      <c r="C164" s="72" t="s">
        <v>299</v>
      </c>
      <c r="D164" s="54"/>
      <c r="E164" s="54"/>
      <c r="F164" s="54"/>
      <c r="G164" s="54"/>
      <c r="H164" s="54">
        <f aca="true" t="shared" si="17" ref="H164:H186">SUM(D164:G164)</f>
        <v>0</v>
      </c>
      <c r="I164" s="59">
        <v>15</v>
      </c>
      <c r="J164" s="54"/>
      <c r="K164" s="54"/>
      <c r="L164" s="54"/>
      <c r="M164" s="55">
        <f t="shared" si="15"/>
        <v>15</v>
      </c>
      <c r="N164" s="48"/>
    </row>
    <row r="165" spans="1:14" ht="11.25">
      <c r="A165" s="2"/>
      <c r="B165" s="3" t="s">
        <v>104</v>
      </c>
      <c r="C165" s="19"/>
      <c r="D165" s="56">
        <f>SUM(D162:D164)</f>
        <v>237322232</v>
      </c>
      <c r="E165" s="56">
        <f>SUM(E162:E164)</f>
        <v>0</v>
      </c>
      <c r="F165" s="56">
        <f>SUM(F162:F164)</f>
        <v>0</v>
      </c>
      <c r="G165" s="56">
        <f>SUM(G162:G164)</f>
        <v>0</v>
      </c>
      <c r="H165" s="56">
        <f t="shared" si="17"/>
        <v>237322232</v>
      </c>
      <c r="I165" s="56">
        <f>SUM(I162:I164)</f>
        <v>237269712.87</v>
      </c>
      <c r="J165" s="56">
        <f>SUM(J162:J164)</f>
        <v>0</v>
      </c>
      <c r="K165" s="56">
        <f>SUM(K162:K164)</f>
        <v>0</v>
      </c>
      <c r="L165" s="56">
        <f>SUM(L162:L164)</f>
        <v>0</v>
      </c>
      <c r="M165" s="56">
        <f t="shared" si="15"/>
        <v>237269712.87</v>
      </c>
      <c r="N165" s="51">
        <f t="shared" si="16"/>
        <v>0.9997787011795845</v>
      </c>
    </row>
    <row r="166" spans="1:14" ht="24.75" customHeight="1">
      <c r="A166" s="2"/>
      <c r="B166" s="90" t="s">
        <v>105</v>
      </c>
      <c r="C166" s="12" t="s">
        <v>102</v>
      </c>
      <c r="D166" s="54">
        <v>60064733</v>
      </c>
      <c r="E166" s="54"/>
      <c r="F166" s="54"/>
      <c r="G166" s="54"/>
      <c r="H166" s="54">
        <f t="shared" si="17"/>
        <v>60064733</v>
      </c>
      <c r="I166" s="54">
        <v>61088674</v>
      </c>
      <c r="J166" s="54"/>
      <c r="K166" s="54"/>
      <c r="L166" s="54"/>
      <c r="M166" s="55">
        <f t="shared" si="15"/>
        <v>61088674</v>
      </c>
      <c r="N166" s="48">
        <f t="shared" si="16"/>
        <v>1.017047291294877</v>
      </c>
    </row>
    <row r="167" spans="1:14" ht="24" customHeight="1">
      <c r="A167" s="2"/>
      <c r="B167" s="91"/>
      <c r="C167" s="12" t="s">
        <v>103</v>
      </c>
      <c r="D167" s="54">
        <v>4200000</v>
      </c>
      <c r="E167" s="54"/>
      <c r="F167" s="54"/>
      <c r="G167" s="54"/>
      <c r="H167" s="54">
        <f t="shared" si="17"/>
        <v>4200000</v>
      </c>
      <c r="I167" s="59">
        <v>3346366.55</v>
      </c>
      <c r="J167" s="54"/>
      <c r="K167" s="54"/>
      <c r="L167" s="54"/>
      <c r="M167" s="55">
        <f t="shared" si="15"/>
        <v>3346366.55</v>
      </c>
      <c r="N167" s="48">
        <f t="shared" si="16"/>
        <v>0.7967539404761904</v>
      </c>
    </row>
    <row r="168" spans="1:14" ht="44.25" customHeight="1">
      <c r="A168" s="2"/>
      <c r="B168" s="92"/>
      <c r="C168" s="72" t="s">
        <v>299</v>
      </c>
      <c r="D168" s="54"/>
      <c r="E168" s="54"/>
      <c r="F168" s="54"/>
      <c r="G168" s="54"/>
      <c r="H168" s="54">
        <f t="shared" si="17"/>
        <v>0</v>
      </c>
      <c r="I168" s="59">
        <v>4</v>
      </c>
      <c r="J168" s="54"/>
      <c r="K168" s="54"/>
      <c r="L168" s="54"/>
      <c r="M168" s="55">
        <f t="shared" si="15"/>
        <v>4</v>
      </c>
      <c r="N168" s="48"/>
    </row>
    <row r="169" spans="1:14" ht="11.25">
      <c r="A169" s="2"/>
      <c r="B169" s="3" t="s">
        <v>106</v>
      </c>
      <c r="C169" s="20"/>
      <c r="D169" s="56">
        <f>SUM(D166:D168)</f>
        <v>64264733</v>
      </c>
      <c r="E169" s="56">
        <f>SUM(E166:E168)</f>
        <v>0</v>
      </c>
      <c r="F169" s="56">
        <f>SUM(F166:F168)</f>
        <v>0</v>
      </c>
      <c r="G169" s="56">
        <f>SUM(G166:G168)</f>
        <v>0</v>
      </c>
      <c r="H169" s="56">
        <f t="shared" si="17"/>
        <v>64264733</v>
      </c>
      <c r="I169" s="56">
        <f>SUM(I166:I168)</f>
        <v>64435044.55</v>
      </c>
      <c r="J169" s="56">
        <f>SUM(J166:J168)</f>
        <v>0</v>
      </c>
      <c r="K169" s="56">
        <f>SUM(K166:K168)</f>
        <v>0</v>
      </c>
      <c r="L169" s="56">
        <f>SUM(L166:L168)</f>
        <v>0</v>
      </c>
      <c r="M169" s="56">
        <f t="shared" si="15"/>
        <v>64435044.55</v>
      </c>
      <c r="N169" s="50">
        <f t="shared" si="16"/>
        <v>1.0026501557238243</v>
      </c>
    </row>
    <row r="170" spans="1:14" ht="11.25">
      <c r="A170" s="4" t="s">
        <v>107</v>
      </c>
      <c r="B170" s="5"/>
      <c r="C170" s="9"/>
      <c r="D170" s="57">
        <f>SUM(D169,D165,D161,D154,D143,D135)</f>
        <v>526067695</v>
      </c>
      <c r="E170" s="57">
        <f>SUM(E169,E165,E161,E154,E143,E135)</f>
        <v>0</v>
      </c>
      <c r="F170" s="57">
        <f>SUM(F169,F165,F161,F154,F143,F135)</f>
        <v>0</v>
      </c>
      <c r="G170" s="57">
        <f>SUM(G169,G165,G161,G154,G143,G135)</f>
        <v>0</v>
      </c>
      <c r="H170" s="57">
        <f t="shared" si="17"/>
        <v>526067695</v>
      </c>
      <c r="I170" s="57">
        <f>SUM(I169,I165,I161,I154,I143,I135)</f>
        <v>525356119.23</v>
      </c>
      <c r="J170" s="57">
        <f>SUM(J169,J165,J161,J154,J143,J135)</f>
        <v>0</v>
      </c>
      <c r="K170" s="57">
        <f>SUM(K169,K165,K161,K154,K143,K135)</f>
        <v>0</v>
      </c>
      <c r="L170" s="57">
        <f>SUM(L169,L165,L161,L154,L143,L135)</f>
        <v>0</v>
      </c>
      <c r="M170" s="57">
        <f t="shared" si="15"/>
        <v>525356119.23</v>
      </c>
      <c r="N170" s="52">
        <f t="shared" si="16"/>
        <v>0.9986473684342089</v>
      </c>
    </row>
    <row r="171" spans="1:14" ht="77.25" customHeight="1">
      <c r="A171" s="1" t="s">
        <v>108</v>
      </c>
      <c r="B171" s="1" t="s">
        <v>109</v>
      </c>
      <c r="C171" s="12" t="s">
        <v>110</v>
      </c>
      <c r="D171" s="59">
        <f>197962293+320000+81618+22428</f>
        <v>198386339</v>
      </c>
      <c r="E171" s="54"/>
      <c r="F171" s="55"/>
      <c r="G171" s="54"/>
      <c r="H171" s="54">
        <f t="shared" si="17"/>
        <v>198386339</v>
      </c>
      <c r="I171" s="54">
        <v>198386339</v>
      </c>
      <c r="J171" s="54"/>
      <c r="K171" s="54"/>
      <c r="L171" s="54"/>
      <c r="M171" s="55">
        <f t="shared" si="15"/>
        <v>198386339</v>
      </c>
      <c r="N171" s="48">
        <f t="shared" si="16"/>
        <v>1</v>
      </c>
    </row>
    <row r="172" spans="1:14" ht="11.25">
      <c r="A172" s="2"/>
      <c r="B172" s="3" t="s">
        <v>111</v>
      </c>
      <c r="C172" s="19"/>
      <c r="D172" s="56">
        <f>SUM(D171)</f>
        <v>198386339</v>
      </c>
      <c r="E172" s="56">
        <f>SUM(E171)</f>
        <v>0</v>
      </c>
      <c r="F172" s="56">
        <f>SUM(F171)</f>
        <v>0</v>
      </c>
      <c r="G172" s="56">
        <f>SUM(G171)</f>
        <v>0</v>
      </c>
      <c r="H172" s="56">
        <f t="shared" si="17"/>
        <v>198386339</v>
      </c>
      <c r="I172" s="56">
        <f>SUM(I171)</f>
        <v>198386339</v>
      </c>
      <c r="J172" s="56">
        <f>SUM(J171)</f>
        <v>0</v>
      </c>
      <c r="K172" s="56">
        <f>SUM(K171)</f>
        <v>0</v>
      </c>
      <c r="L172" s="56">
        <f>SUM(L171)</f>
        <v>0</v>
      </c>
      <c r="M172" s="56">
        <f t="shared" si="15"/>
        <v>198386339</v>
      </c>
      <c r="N172" s="51">
        <f t="shared" si="16"/>
        <v>1</v>
      </c>
    </row>
    <row r="173" spans="1:14" ht="16.5" customHeight="1">
      <c r="A173" s="2"/>
      <c r="B173" s="90" t="s">
        <v>112</v>
      </c>
      <c r="C173" s="12" t="s">
        <v>19</v>
      </c>
      <c r="D173" s="54">
        <v>500000</v>
      </c>
      <c r="E173" s="54"/>
      <c r="F173" s="54"/>
      <c r="G173" s="54"/>
      <c r="H173" s="54">
        <f t="shared" si="17"/>
        <v>500000</v>
      </c>
      <c r="I173" s="54">
        <v>3683502.59</v>
      </c>
      <c r="J173" s="54"/>
      <c r="K173" s="54"/>
      <c r="L173" s="54"/>
      <c r="M173" s="55">
        <f t="shared" si="15"/>
        <v>3683502.59</v>
      </c>
      <c r="N173" s="48">
        <f t="shared" si="16"/>
        <v>7.36700518</v>
      </c>
    </row>
    <row r="174" spans="1:14" ht="17.25" customHeight="1">
      <c r="A174" s="2"/>
      <c r="B174" s="92"/>
      <c r="C174" s="12" t="s">
        <v>126</v>
      </c>
      <c r="D174" s="54"/>
      <c r="E174" s="54"/>
      <c r="F174" s="54"/>
      <c r="G174" s="54"/>
      <c r="H174" s="54">
        <f t="shared" si="17"/>
        <v>0</v>
      </c>
      <c r="I174" s="54">
        <v>10088.01</v>
      </c>
      <c r="J174" s="54"/>
      <c r="K174" s="54"/>
      <c r="L174" s="54"/>
      <c r="M174" s="55">
        <f t="shared" si="15"/>
        <v>10088.01</v>
      </c>
      <c r="N174" s="48"/>
    </row>
    <row r="175" spans="1:14" ht="11.25">
      <c r="A175" s="2"/>
      <c r="B175" s="3" t="s">
        <v>113</v>
      </c>
      <c r="C175" s="19"/>
      <c r="D175" s="56">
        <f>SUM(D173:D174)</f>
        <v>500000</v>
      </c>
      <c r="E175" s="56">
        <f>SUM(E173:E174)</f>
        <v>0</v>
      </c>
      <c r="F175" s="56">
        <f>SUM(F173:F174)</f>
        <v>0</v>
      </c>
      <c r="G175" s="56">
        <f>SUM(G173:G174)</f>
        <v>0</v>
      </c>
      <c r="H175" s="56">
        <f t="shared" si="17"/>
        <v>500000</v>
      </c>
      <c r="I175" s="56">
        <f>SUM(I173:I174)</f>
        <v>3693590.5999999996</v>
      </c>
      <c r="J175" s="56">
        <f>SUM(J173:J174)</f>
        <v>0</v>
      </c>
      <c r="K175" s="56">
        <f>SUM(K173:K174)</f>
        <v>0</v>
      </c>
      <c r="L175" s="56">
        <f>SUM(L173:L174)</f>
        <v>0</v>
      </c>
      <c r="M175" s="56">
        <f t="shared" si="15"/>
        <v>3693590.5999999996</v>
      </c>
      <c r="N175" s="51">
        <f>M175/H175</f>
        <v>7.3871812</v>
      </c>
    </row>
    <row r="176" spans="1:14" ht="21.75" customHeight="1">
      <c r="A176" s="2"/>
      <c r="B176" s="22" t="s">
        <v>222</v>
      </c>
      <c r="C176" s="12" t="s">
        <v>224</v>
      </c>
      <c r="D176" s="54"/>
      <c r="E176" s="54"/>
      <c r="F176" s="54"/>
      <c r="G176" s="54"/>
      <c r="H176" s="54">
        <f t="shared" si="17"/>
        <v>0</v>
      </c>
      <c r="I176" s="54">
        <v>4715.53</v>
      </c>
      <c r="J176" s="54"/>
      <c r="K176" s="54"/>
      <c r="L176" s="54"/>
      <c r="M176" s="55">
        <f t="shared" si="15"/>
        <v>4715.53</v>
      </c>
      <c r="N176" s="48"/>
    </row>
    <row r="177" spans="1:14" ht="11.25">
      <c r="A177" s="2"/>
      <c r="B177" s="3" t="s">
        <v>223</v>
      </c>
      <c r="C177" s="19"/>
      <c r="D177" s="56">
        <f>SUM(D176:D176)</f>
        <v>0</v>
      </c>
      <c r="E177" s="56">
        <f>SUM(E176:E176)</f>
        <v>0</v>
      </c>
      <c r="F177" s="56">
        <f>SUM(F176:F176)</f>
        <v>0</v>
      </c>
      <c r="G177" s="56">
        <f>SUM(G176:G176)</f>
        <v>0</v>
      </c>
      <c r="H177" s="56">
        <f t="shared" si="17"/>
        <v>0</v>
      </c>
      <c r="I177" s="56">
        <f>SUM(I176:I176)</f>
        <v>4715.53</v>
      </c>
      <c r="J177" s="56">
        <f>SUM(J176:J176)</f>
        <v>0</v>
      </c>
      <c r="K177" s="56">
        <f>SUM(K176:K176)</f>
        <v>0</v>
      </c>
      <c r="L177" s="56">
        <f>SUM(L176:L176)</f>
        <v>0</v>
      </c>
      <c r="M177" s="56">
        <f t="shared" si="15"/>
        <v>4715.53</v>
      </c>
      <c r="N177" s="51"/>
    </row>
    <row r="178" spans="1:14" ht="57" customHeight="1">
      <c r="A178" s="2"/>
      <c r="B178" s="1" t="s">
        <v>114</v>
      </c>
      <c r="C178" s="12" t="s">
        <v>110</v>
      </c>
      <c r="D178" s="59">
        <v>6230290</v>
      </c>
      <c r="E178" s="54"/>
      <c r="F178" s="54"/>
      <c r="G178" s="54"/>
      <c r="H178" s="54">
        <f t="shared" si="17"/>
        <v>6230290</v>
      </c>
      <c r="I178" s="54">
        <v>6230290</v>
      </c>
      <c r="J178" s="54"/>
      <c r="K178" s="54"/>
      <c r="L178" s="54"/>
      <c r="M178" s="55">
        <f t="shared" si="15"/>
        <v>6230290</v>
      </c>
      <c r="N178" s="48">
        <f aca="true" t="shared" si="18" ref="N178:N193">M178/H178</f>
        <v>1</v>
      </c>
    </row>
    <row r="179" spans="1:14" ht="11.25">
      <c r="A179" s="2"/>
      <c r="B179" s="3" t="s">
        <v>115</v>
      </c>
      <c r="C179" s="17"/>
      <c r="D179" s="56">
        <f>SUM(D178)</f>
        <v>6230290</v>
      </c>
      <c r="E179" s="56">
        <f>SUM(E178)</f>
        <v>0</v>
      </c>
      <c r="F179" s="56">
        <f>SUM(F178)</f>
        <v>0</v>
      </c>
      <c r="G179" s="56">
        <f>SUM(G178)</f>
        <v>0</v>
      </c>
      <c r="H179" s="56">
        <f t="shared" si="17"/>
        <v>6230290</v>
      </c>
      <c r="I179" s="56">
        <f>SUM(I178)</f>
        <v>6230290</v>
      </c>
      <c r="J179" s="56">
        <f>SUM(J178)</f>
        <v>0</v>
      </c>
      <c r="K179" s="56">
        <f>SUM(K178)</f>
        <v>0</v>
      </c>
      <c r="L179" s="56">
        <f>SUM(L178)</f>
        <v>0</v>
      </c>
      <c r="M179" s="56">
        <f t="shared" si="15"/>
        <v>6230290</v>
      </c>
      <c r="N179" s="50">
        <f t="shared" si="18"/>
        <v>1</v>
      </c>
    </row>
    <row r="180" spans="1:14" ht="11.25">
      <c r="A180" s="4" t="s">
        <v>116</v>
      </c>
      <c r="B180" s="5"/>
      <c r="C180" s="9"/>
      <c r="D180" s="57">
        <f>SUM(D179,D175,D172,D177)</f>
        <v>205116629</v>
      </c>
      <c r="E180" s="57">
        <f>SUM(E179,E175,E172,E177)</f>
        <v>0</v>
      </c>
      <c r="F180" s="57">
        <f>SUM(F179,F175,F172,F177)</f>
        <v>0</v>
      </c>
      <c r="G180" s="57">
        <f>SUM(G179,G175,G172,G177)</f>
        <v>0</v>
      </c>
      <c r="H180" s="57">
        <f t="shared" si="17"/>
        <v>205116629</v>
      </c>
      <c r="I180" s="57">
        <f>SUM(I179,I175,I172,I177)</f>
        <v>208314935.13</v>
      </c>
      <c r="J180" s="57">
        <f>SUM(J179,J175,J172,J177)</f>
        <v>0</v>
      </c>
      <c r="K180" s="57">
        <f>SUM(K179,K175,K172,K177)</f>
        <v>0</v>
      </c>
      <c r="L180" s="57">
        <f>SUM(L179,L175,L172,L177)</f>
        <v>0</v>
      </c>
      <c r="M180" s="57">
        <f t="shared" si="15"/>
        <v>208314935.13</v>
      </c>
      <c r="N180" s="52">
        <f t="shared" si="18"/>
        <v>1.0155926223319514</v>
      </c>
    </row>
    <row r="181" spans="1:14" s="29" customFormat="1" ht="45">
      <c r="A181" s="34" t="s">
        <v>117</v>
      </c>
      <c r="B181" s="30" t="s">
        <v>118</v>
      </c>
      <c r="C181" s="11" t="s">
        <v>26</v>
      </c>
      <c r="D181" s="54">
        <v>15000</v>
      </c>
      <c r="E181" s="60"/>
      <c r="F181" s="60"/>
      <c r="G181" s="60"/>
      <c r="H181" s="54">
        <f t="shared" si="17"/>
        <v>15000</v>
      </c>
      <c r="I181" s="79">
        <v>15000</v>
      </c>
      <c r="J181" s="60"/>
      <c r="K181" s="60"/>
      <c r="L181" s="60"/>
      <c r="M181" s="55">
        <f t="shared" si="15"/>
        <v>15000</v>
      </c>
      <c r="N181" s="48">
        <f t="shared" si="18"/>
        <v>1</v>
      </c>
    </row>
    <row r="182" spans="1:14" ht="94.5" customHeight="1">
      <c r="A182" s="33"/>
      <c r="B182" s="26"/>
      <c r="C182" s="11" t="s">
        <v>17</v>
      </c>
      <c r="D182" s="54">
        <f>93372+5700+3000</f>
        <v>102072</v>
      </c>
      <c r="E182" s="54"/>
      <c r="F182" s="54"/>
      <c r="G182" s="54"/>
      <c r="H182" s="54">
        <f t="shared" si="17"/>
        <v>102072</v>
      </c>
      <c r="I182" s="54">
        <v>92960.78</v>
      </c>
      <c r="J182" s="54"/>
      <c r="K182" s="54"/>
      <c r="L182" s="54"/>
      <c r="M182" s="55">
        <f t="shared" si="15"/>
        <v>92960.78</v>
      </c>
      <c r="N182" s="48">
        <f t="shared" si="18"/>
        <v>0.9107373226741907</v>
      </c>
    </row>
    <row r="183" spans="1:14" ht="13.5" customHeight="1">
      <c r="A183" s="33"/>
      <c r="B183" s="26"/>
      <c r="C183" s="11" t="s">
        <v>19</v>
      </c>
      <c r="D183" s="54">
        <v>100</v>
      </c>
      <c r="E183" s="54"/>
      <c r="F183" s="54"/>
      <c r="G183" s="54"/>
      <c r="H183" s="54">
        <f t="shared" si="17"/>
        <v>100</v>
      </c>
      <c r="I183" s="54">
        <v>6305.33</v>
      </c>
      <c r="J183" s="54"/>
      <c r="K183" s="54"/>
      <c r="L183" s="54"/>
      <c r="M183" s="55">
        <f t="shared" si="15"/>
        <v>6305.33</v>
      </c>
      <c r="N183" s="48">
        <f t="shared" si="18"/>
        <v>63.0533</v>
      </c>
    </row>
    <row r="184" spans="1:14" ht="13.5" customHeight="1">
      <c r="A184" s="33"/>
      <c r="B184" s="26"/>
      <c r="C184" s="11" t="s">
        <v>126</v>
      </c>
      <c r="D184" s="54"/>
      <c r="E184" s="54"/>
      <c r="F184" s="54"/>
      <c r="G184" s="54"/>
      <c r="H184" s="54">
        <f t="shared" si="17"/>
        <v>0</v>
      </c>
      <c r="I184" s="54">
        <v>278.87</v>
      </c>
      <c r="J184" s="54"/>
      <c r="K184" s="54"/>
      <c r="L184" s="54"/>
      <c r="M184" s="55">
        <f t="shared" si="15"/>
        <v>278.87</v>
      </c>
      <c r="N184" s="48"/>
    </row>
    <row r="185" spans="1:14" ht="22.5">
      <c r="A185" s="35"/>
      <c r="B185" s="32"/>
      <c r="C185" s="11" t="s">
        <v>20</v>
      </c>
      <c r="D185" s="54">
        <v>1200</v>
      </c>
      <c r="E185" s="54"/>
      <c r="F185" s="54"/>
      <c r="G185" s="54"/>
      <c r="H185" s="54">
        <f t="shared" si="17"/>
        <v>1200</v>
      </c>
      <c r="I185" s="54">
        <v>92686.8</v>
      </c>
      <c r="J185" s="54"/>
      <c r="K185" s="54"/>
      <c r="L185" s="54"/>
      <c r="M185" s="55">
        <f t="shared" si="15"/>
        <v>92686.8</v>
      </c>
      <c r="N185" s="48">
        <f t="shared" si="18"/>
        <v>77.239</v>
      </c>
    </row>
    <row r="186" spans="1:14" ht="56.25">
      <c r="A186" s="35"/>
      <c r="B186" s="32"/>
      <c r="C186" s="11" t="s">
        <v>159</v>
      </c>
      <c r="D186" s="54">
        <f>47995+12000</f>
        <v>59995</v>
      </c>
      <c r="E186" s="54"/>
      <c r="F186" s="54"/>
      <c r="G186" s="54"/>
      <c r="H186" s="54">
        <f t="shared" si="17"/>
        <v>59995</v>
      </c>
      <c r="I186" s="54">
        <v>59892.38</v>
      </c>
      <c r="J186" s="54"/>
      <c r="K186" s="54"/>
      <c r="L186" s="54"/>
      <c r="M186" s="55">
        <f t="shared" si="15"/>
        <v>59892.38</v>
      </c>
      <c r="N186" s="48">
        <f t="shared" si="18"/>
        <v>0.9982895241270106</v>
      </c>
    </row>
    <row r="187" spans="1:14" ht="56.25">
      <c r="A187" s="35"/>
      <c r="B187" s="32"/>
      <c r="C187" s="11" t="s">
        <v>315</v>
      </c>
      <c r="D187" s="54"/>
      <c r="E187" s="54"/>
      <c r="F187" s="54"/>
      <c r="G187" s="54"/>
      <c r="H187" s="54"/>
      <c r="I187" s="54">
        <v>5547.82</v>
      </c>
      <c r="J187" s="54"/>
      <c r="K187" s="54"/>
      <c r="L187" s="54"/>
      <c r="M187" s="55">
        <f t="shared" si="15"/>
        <v>5547.82</v>
      </c>
      <c r="N187" s="48"/>
    </row>
    <row r="188" spans="1:14" ht="58.5" customHeight="1">
      <c r="A188" s="36"/>
      <c r="B188" s="2"/>
      <c r="C188" s="11" t="s">
        <v>225</v>
      </c>
      <c r="D188" s="59">
        <v>59301</v>
      </c>
      <c r="E188" s="54"/>
      <c r="F188" s="54"/>
      <c r="G188" s="54"/>
      <c r="H188" s="54">
        <f aca="true" t="shared" si="19" ref="H188:H210">SUM(D188:G188)</f>
        <v>59301</v>
      </c>
      <c r="I188" s="54">
        <v>59301</v>
      </c>
      <c r="J188" s="54"/>
      <c r="K188" s="54"/>
      <c r="L188" s="54"/>
      <c r="M188" s="55">
        <f t="shared" si="15"/>
        <v>59301</v>
      </c>
      <c r="N188" s="48">
        <f t="shared" si="18"/>
        <v>1</v>
      </c>
    </row>
    <row r="189" spans="1:14" ht="82.5" customHeight="1">
      <c r="A189" s="2"/>
      <c r="B189" s="2"/>
      <c r="C189" s="11" t="s">
        <v>119</v>
      </c>
      <c r="D189" s="54">
        <f>11959+9422</f>
        <v>21381</v>
      </c>
      <c r="E189" s="54"/>
      <c r="F189" s="54"/>
      <c r="G189" s="54"/>
      <c r="H189" s="54">
        <f t="shared" si="19"/>
        <v>21381</v>
      </c>
      <c r="I189" s="54">
        <v>21116.54</v>
      </c>
      <c r="J189" s="54"/>
      <c r="K189" s="54"/>
      <c r="L189" s="54"/>
      <c r="M189" s="55">
        <f t="shared" si="15"/>
        <v>21116.54</v>
      </c>
      <c r="N189" s="48">
        <f t="shared" si="18"/>
        <v>0.9876310743183201</v>
      </c>
    </row>
    <row r="190" spans="1:14" ht="82.5" customHeight="1">
      <c r="A190" s="2"/>
      <c r="B190" s="23"/>
      <c r="C190" s="11" t="s">
        <v>305</v>
      </c>
      <c r="D190" s="54">
        <v>9554</v>
      </c>
      <c r="E190" s="54"/>
      <c r="F190" s="54"/>
      <c r="G190" s="54"/>
      <c r="H190" s="54">
        <f t="shared" si="19"/>
        <v>9554</v>
      </c>
      <c r="I190" s="54"/>
      <c r="J190" s="54"/>
      <c r="K190" s="54"/>
      <c r="L190" s="54"/>
      <c r="M190" s="55">
        <f t="shared" si="15"/>
        <v>0</v>
      </c>
      <c r="N190" s="48">
        <f t="shared" si="18"/>
        <v>0</v>
      </c>
    </row>
    <row r="191" spans="1:14" ht="82.5" customHeight="1">
      <c r="A191" s="2"/>
      <c r="B191" s="23"/>
      <c r="C191" s="11" t="s">
        <v>306</v>
      </c>
      <c r="D191" s="54">
        <v>1686</v>
      </c>
      <c r="E191" s="54"/>
      <c r="F191" s="54"/>
      <c r="G191" s="54"/>
      <c r="H191" s="54">
        <f t="shared" si="19"/>
        <v>1686</v>
      </c>
      <c r="I191" s="54"/>
      <c r="J191" s="54"/>
      <c r="K191" s="54"/>
      <c r="L191" s="54"/>
      <c r="M191" s="55">
        <f t="shared" si="15"/>
        <v>0</v>
      </c>
      <c r="N191" s="48">
        <f t="shared" si="18"/>
        <v>0</v>
      </c>
    </row>
    <row r="192" spans="1:14" ht="70.5" customHeight="1">
      <c r="A192" s="2"/>
      <c r="B192" s="23"/>
      <c r="C192" s="27" t="s">
        <v>285</v>
      </c>
      <c r="D192" s="54">
        <v>211961</v>
      </c>
      <c r="E192" s="54"/>
      <c r="F192" s="54"/>
      <c r="G192" s="54"/>
      <c r="H192" s="54">
        <f t="shared" si="19"/>
        <v>211961</v>
      </c>
      <c r="I192" s="54">
        <v>203469</v>
      </c>
      <c r="J192" s="54"/>
      <c r="K192" s="54"/>
      <c r="L192" s="54"/>
      <c r="M192" s="55">
        <f t="shared" si="15"/>
        <v>203469</v>
      </c>
      <c r="N192" s="48">
        <f t="shared" si="18"/>
        <v>0.9599360259670411</v>
      </c>
    </row>
    <row r="193" spans="1:14" ht="11.25">
      <c r="A193" s="2"/>
      <c r="B193" s="3" t="s">
        <v>120</v>
      </c>
      <c r="C193" s="14"/>
      <c r="D193" s="56">
        <f>SUM(D181:D192)</f>
        <v>482250</v>
      </c>
      <c r="E193" s="56">
        <f>SUM(E181:E192)</f>
        <v>0</v>
      </c>
      <c r="F193" s="56">
        <f>SUM(F181:F192)</f>
        <v>0</v>
      </c>
      <c r="G193" s="56">
        <f>SUM(G181:G192)</f>
        <v>0</v>
      </c>
      <c r="H193" s="56">
        <f t="shared" si="19"/>
        <v>482250</v>
      </c>
      <c r="I193" s="56">
        <f>SUM(I181:I192)</f>
        <v>556558.52</v>
      </c>
      <c r="J193" s="56">
        <f>SUM(J181:J192)</f>
        <v>0</v>
      </c>
      <c r="K193" s="56">
        <f>SUM(K181:K192)</f>
        <v>0</v>
      </c>
      <c r="L193" s="56">
        <f>SUM(L181:L192)</f>
        <v>0</v>
      </c>
      <c r="M193" s="56">
        <f t="shared" si="15"/>
        <v>556558.52</v>
      </c>
      <c r="N193" s="51">
        <f t="shared" si="18"/>
        <v>1.1540871332296527</v>
      </c>
    </row>
    <row r="194" spans="1:14" ht="90.75" customHeight="1">
      <c r="A194" s="1" t="s">
        <v>117</v>
      </c>
      <c r="B194" s="30" t="s">
        <v>226</v>
      </c>
      <c r="C194" s="11" t="s">
        <v>17</v>
      </c>
      <c r="D194" s="54"/>
      <c r="E194" s="54"/>
      <c r="F194" s="54"/>
      <c r="G194" s="54"/>
      <c r="H194" s="54">
        <f t="shared" si="19"/>
        <v>0</v>
      </c>
      <c r="I194" s="54">
        <v>886.6</v>
      </c>
      <c r="J194" s="54"/>
      <c r="K194" s="54"/>
      <c r="L194" s="54"/>
      <c r="M194" s="55">
        <f t="shared" si="15"/>
        <v>886.6</v>
      </c>
      <c r="N194" s="48"/>
    </row>
    <row r="195" spans="1:14" ht="22.5">
      <c r="A195" s="23"/>
      <c r="B195" s="26"/>
      <c r="C195" s="11" t="s">
        <v>137</v>
      </c>
      <c r="D195" s="54"/>
      <c r="E195" s="54"/>
      <c r="F195" s="54"/>
      <c r="G195" s="54"/>
      <c r="H195" s="54">
        <f t="shared" si="19"/>
        <v>0</v>
      </c>
      <c r="I195" s="54">
        <v>6230</v>
      </c>
      <c r="J195" s="54"/>
      <c r="K195" s="54"/>
      <c r="L195" s="54"/>
      <c r="M195" s="55">
        <f t="shared" si="15"/>
        <v>6230</v>
      </c>
      <c r="N195" s="48"/>
    </row>
    <row r="196" spans="1:14" ht="15.75" customHeight="1">
      <c r="A196" s="23"/>
      <c r="B196" s="31"/>
      <c r="C196" s="11" t="s">
        <v>19</v>
      </c>
      <c r="D196" s="54"/>
      <c r="E196" s="54"/>
      <c r="F196" s="54"/>
      <c r="G196" s="54"/>
      <c r="H196" s="54">
        <f t="shared" si="19"/>
        <v>0</v>
      </c>
      <c r="I196" s="54"/>
      <c r="J196" s="54"/>
      <c r="K196" s="54"/>
      <c r="L196" s="54"/>
      <c r="M196" s="55">
        <f aca="true" t="shared" si="20" ref="M196:M259">SUM(I196:L196)</f>
        <v>0</v>
      </c>
      <c r="N196" s="48"/>
    </row>
    <row r="197" spans="1:14" ht="24.75" customHeight="1">
      <c r="A197" s="2"/>
      <c r="B197" s="2"/>
      <c r="C197" s="11" t="s">
        <v>20</v>
      </c>
      <c r="D197" s="54"/>
      <c r="E197" s="54"/>
      <c r="F197" s="54"/>
      <c r="G197" s="54"/>
      <c r="H197" s="54">
        <f t="shared" si="19"/>
        <v>0</v>
      </c>
      <c r="I197" s="54">
        <v>5471.49</v>
      </c>
      <c r="J197" s="54"/>
      <c r="K197" s="54"/>
      <c r="L197" s="54"/>
      <c r="M197" s="55">
        <f t="shared" si="20"/>
        <v>5471.49</v>
      </c>
      <c r="N197" s="48"/>
    </row>
    <row r="198" spans="1:14" ht="57.75" customHeight="1">
      <c r="A198" s="2"/>
      <c r="B198" s="23"/>
      <c r="C198" s="11" t="s">
        <v>315</v>
      </c>
      <c r="D198" s="54"/>
      <c r="E198" s="54"/>
      <c r="F198" s="54"/>
      <c r="G198" s="54"/>
      <c r="H198" s="54">
        <f t="shared" si="19"/>
        <v>0</v>
      </c>
      <c r="I198" s="54">
        <v>59.69</v>
      </c>
      <c r="J198" s="54"/>
      <c r="K198" s="54"/>
      <c r="L198" s="54"/>
      <c r="M198" s="55">
        <f t="shared" si="20"/>
        <v>59.69</v>
      </c>
      <c r="N198" s="48"/>
    </row>
    <row r="199" spans="1:14" ht="11.25">
      <c r="A199" s="2"/>
      <c r="B199" s="3" t="s">
        <v>227</v>
      </c>
      <c r="C199" s="14"/>
      <c r="D199" s="56">
        <f>SUM(D194:D198)</f>
        <v>0</v>
      </c>
      <c r="E199" s="56">
        <f>SUM(E194:E198)</f>
        <v>0</v>
      </c>
      <c r="F199" s="56">
        <f>SUM(F194:F198)</f>
        <v>0</v>
      </c>
      <c r="G199" s="56">
        <f>SUM(G194:G198)</f>
        <v>0</v>
      </c>
      <c r="H199" s="56">
        <f t="shared" si="19"/>
        <v>0</v>
      </c>
      <c r="I199" s="56">
        <f>SUM(I194:I198)</f>
        <v>12647.78</v>
      </c>
      <c r="J199" s="56">
        <f>SUM(J194:J198)</f>
        <v>0</v>
      </c>
      <c r="K199" s="56">
        <f>SUM(K194:K198)</f>
        <v>0</v>
      </c>
      <c r="L199" s="56">
        <f>SUM(L194:L198)</f>
        <v>0</v>
      </c>
      <c r="M199" s="56">
        <f t="shared" si="20"/>
        <v>12647.78</v>
      </c>
      <c r="N199" s="51"/>
    </row>
    <row r="200" spans="1:14" s="29" customFormat="1" ht="25.5" customHeight="1">
      <c r="A200" s="28"/>
      <c r="B200" s="90" t="s">
        <v>121</v>
      </c>
      <c r="C200" s="11" t="s">
        <v>20</v>
      </c>
      <c r="D200" s="58"/>
      <c r="E200" s="58"/>
      <c r="F200" s="58"/>
      <c r="G200" s="58"/>
      <c r="H200" s="54">
        <f t="shared" si="19"/>
        <v>0</v>
      </c>
      <c r="I200" s="54">
        <v>74.14</v>
      </c>
      <c r="J200" s="58"/>
      <c r="K200" s="58"/>
      <c r="L200" s="58"/>
      <c r="M200" s="55">
        <f t="shared" si="20"/>
        <v>74.14</v>
      </c>
      <c r="N200" s="48"/>
    </row>
    <row r="201" spans="1:14" ht="47.25" customHeight="1">
      <c r="A201" s="2"/>
      <c r="B201" s="92"/>
      <c r="C201" s="12" t="s">
        <v>22</v>
      </c>
      <c r="D201" s="54"/>
      <c r="E201" s="54">
        <v>33012</v>
      </c>
      <c r="F201" s="54"/>
      <c r="G201" s="54"/>
      <c r="H201" s="54">
        <f t="shared" si="19"/>
        <v>33012</v>
      </c>
      <c r="I201" s="54"/>
      <c r="J201" s="54">
        <f>50168.75+4116</f>
        <v>54284.75</v>
      </c>
      <c r="K201" s="54"/>
      <c r="L201" s="54"/>
      <c r="M201" s="55">
        <f t="shared" si="20"/>
        <v>54284.75</v>
      </c>
      <c r="N201" s="48">
        <f aca="true" t="shared" si="21" ref="N201:N237">M201/H201</f>
        <v>1.6443944626196534</v>
      </c>
    </row>
    <row r="202" spans="1:14" ht="11.25">
      <c r="A202" s="2"/>
      <c r="B202" s="3" t="s">
        <v>122</v>
      </c>
      <c r="C202" s="19"/>
      <c r="D202" s="56">
        <f>SUM(D200:D201)</f>
        <v>0</v>
      </c>
      <c r="E202" s="56">
        <f>SUM(E200:E201)</f>
        <v>33012</v>
      </c>
      <c r="F202" s="56">
        <f>SUM(F200:F201)</f>
        <v>0</v>
      </c>
      <c r="G202" s="56">
        <f>SUM(G200:G201)</f>
        <v>0</v>
      </c>
      <c r="H202" s="56">
        <f t="shared" si="19"/>
        <v>33012</v>
      </c>
      <c r="I202" s="56">
        <f>SUM(I200:I201)</f>
        <v>74.14</v>
      </c>
      <c r="J202" s="56">
        <f>SUM(J200:J201)</f>
        <v>54284.75</v>
      </c>
      <c r="K202" s="56">
        <f>SUM(K200:K201)</f>
        <v>0</v>
      </c>
      <c r="L202" s="56">
        <f>SUM(L200:L201)</f>
        <v>0</v>
      </c>
      <c r="M202" s="56">
        <f t="shared" si="20"/>
        <v>54358.89</v>
      </c>
      <c r="N202" s="51">
        <f t="shared" si="21"/>
        <v>1.6466403126135951</v>
      </c>
    </row>
    <row r="203" spans="1:14" s="29" customFormat="1" ht="36.75" customHeight="1">
      <c r="A203" s="28"/>
      <c r="B203" s="90" t="s">
        <v>123</v>
      </c>
      <c r="C203" s="16" t="s">
        <v>204</v>
      </c>
      <c r="D203" s="58"/>
      <c r="E203" s="58"/>
      <c r="F203" s="58"/>
      <c r="G203" s="58"/>
      <c r="H203" s="54">
        <f t="shared" si="19"/>
        <v>0</v>
      </c>
      <c r="I203" s="54">
        <v>4620</v>
      </c>
      <c r="J203" s="58"/>
      <c r="K203" s="58"/>
      <c r="L203" s="58"/>
      <c r="M203" s="55">
        <f t="shared" si="20"/>
        <v>4620</v>
      </c>
      <c r="N203" s="48"/>
    </row>
    <row r="204" spans="1:14" s="29" customFormat="1" ht="18" customHeight="1">
      <c r="A204" s="28"/>
      <c r="B204" s="91"/>
      <c r="C204" s="11" t="s">
        <v>16</v>
      </c>
      <c r="D204" s="58"/>
      <c r="E204" s="58"/>
      <c r="F204" s="58"/>
      <c r="G204" s="58"/>
      <c r="H204" s="54">
        <f t="shared" si="19"/>
        <v>0</v>
      </c>
      <c r="I204" s="54">
        <v>292.14</v>
      </c>
      <c r="J204" s="58"/>
      <c r="K204" s="58"/>
      <c r="L204" s="58"/>
      <c r="M204" s="55">
        <f t="shared" si="20"/>
        <v>292.14</v>
      </c>
      <c r="N204" s="48"/>
    </row>
    <row r="205" spans="1:14" ht="90.75" customHeight="1">
      <c r="A205" s="2"/>
      <c r="B205" s="95"/>
      <c r="C205" s="12" t="s">
        <v>17</v>
      </c>
      <c r="D205" s="54">
        <f>8526+3200</f>
        <v>11726</v>
      </c>
      <c r="E205" s="54"/>
      <c r="F205" s="54"/>
      <c r="G205" s="54"/>
      <c r="H205" s="54">
        <f t="shared" si="19"/>
        <v>11726</v>
      </c>
      <c r="I205" s="54">
        <v>16129.88</v>
      </c>
      <c r="J205" s="54"/>
      <c r="K205" s="54"/>
      <c r="L205" s="54"/>
      <c r="M205" s="55">
        <f t="shared" si="20"/>
        <v>16129.88</v>
      </c>
      <c r="N205" s="48">
        <f t="shared" si="21"/>
        <v>1.3755654101995565</v>
      </c>
    </row>
    <row r="206" spans="1:14" ht="13.5" customHeight="1">
      <c r="A206" s="2"/>
      <c r="B206" s="2"/>
      <c r="C206" s="16" t="s">
        <v>18</v>
      </c>
      <c r="D206" s="54">
        <v>9438458</v>
      </c>
      <c r="E206" s="54"/>
      <c r="F206" s="54"/>
      <c r="G206" s="54"/>
      <c r="H206" s="54">
        <f t="shared" si="19"/>
        <v>9438458</v>
      </c>
      <c r="I206" s="54">
        <v>8760237</v>
      </c>
      <c r="J206" s="54"/>
      <c r="K206" s="54"/>
      <c r="L206" s="54"/>
      <c r="M206" s="55">
        <f t="shared" si="20"/>
        <v>8760237</v>
      </c>
      <c r="N206" s="48">
        <f t="shared" si="21"/>
        <v>0.9281428173966553</v>
      </c>
    </row>
    <row r="207" spans="1:14" ht="93.75" customHeight="1">
      <c r="A207" s="2"/>
      <c r="B207" s="2"/>
      <c r="C207" s="16" t="s">
        <v>236</v>
      </c>
      <c r="D207" s="54"/>
      <c r="E207" s="54"/>
      <c r="F207" s="54"/>
      <c r="G207" s="54"/>
      <c r="H207" s="54">
        <f t="shared" si="19"/>
        <v>0</v>
      </c>
      <c r="I207" s="54"/>
      <c r="J207" s="54">
        <v>9</v>
      </c>
      <c r="K207" s="54"/>
      <c r="L207" s="54"/>
      <c r="M207" s="55">
        <f t="shared" si="20"/>
        <v>9</v>
      </c>
      <c r="N207" s="48"/>
    </row>
    <row r="208" spans="1:14" ht="15" customHeight="1">
      <c r="A208" s="2"/>
      <c r="B208" s="2"/>
      <c r="C208" s="16" t="s">
        <v>19</v>
      </c>
      <c r="D208" s="54">
        <v>3847</v>
      </c>
      <c r="E208" s="54"/>
      <c r="F208" s="54"/>
      <c r="G208" s="54"/>
      <c r="H208" s="54">
        <f t="shared" si="19"/>
        <v>3847</v>
      </c>
      <c r="I208" s="54">
        <v>9091.09</v>
      </c>
      <c r="J208" s="54"/>
      <c r="K208" s="54"/>
      <c r="L208" s="54"/>
      <c r="M208" s="55">
        <f t="shared" si="20"/>
        <v>9091.09</v>
      </c>
      <c r="N208" s="48">
        <f t="shared" si="21"/>
        <v>2.3631635040291137</v>
      </c>
    </row>
    <row r="209" spans="1:14" ht="24" customHeight="1">
      <c r="A209" s="2"/>
      <c r="B209" s="2"/>
      <c r="C209" s="11" t="s">
        <v>20</v>
      </c>
      <c r="D209" s="54"/>
      <c r="E209" s="54"/>
      <c r="F209" s="54"/>
      <c r="G209" s="54"/>
      <c r="H209" s="54">
        <f t="shared" si="19"/>
        <v>0</v>
      </c>
      <c r="I209" s="54">
        <v>92238.31</v>
      </c>
      <c r="J209" s="54">
        <v>778</v>
      </c>
      <c r="K209" s="54"/>
      <c r="L209" s="54"/>
      <c r="M209" s="55">
        <f t="shared" si="20"/>
        <v>93016.31</v>
      </c>
      <c r="N209" s="48"/>
    </row>
    <row r="210" spans="1:14" ht="60.75" customHeight="1">
      <c r="A210" s="2"/>
      <c r="B210" s="2"/>
      <c r="C210" s="16" t="s">
        <v>22</v>
      </c>
      <c r="D210" s="54"/>
      <c r="E210" s="54">
        <v>182148</v>
      </c>
      <c r="F210" s="54"/>
      <c r="G210" s="54"/>
      <c r="H210" s="54">
        <f t="shared" si="19"/>
        <v>182148</v>
      </c>
      <c r="I210" s="54"/>
      <c r="J210" s="54">
        <f>374305.1-4116</f>
        <v>370189.1</v>
      </c>
      <c r="K210" s="54"/>
      <c r="L210" s="54"/>
      <c r="M210" s="55">
        <f t="shared" si="20"/>
        <v>370189.1</v>
      </c>
      <c r="N210" s="48">
        <f t="shared" si="21"/>
        <v>2.0323533610031403</v>
      </c>
    </row>
    <row r="211" spans="1:14" ht="56.25" customHeight="1">
      <c r="A211" s="2"/>
      <c r="B211" s="23"/>
      <c r="C211" s="11" t="s">
        <v>315</v>
      </c>
      <c r="D211" s="54"/>
      <c r="E211" s="54"/>
      <c r="F211" s="54"/>
      <c r="G211" s="54"/>
      <c r="H211" s="54"/>
      <c r="I211" s="54">
        <v>31786.02</v>
      </c>
      <c r="J211" s="54"/>
      <c r="K211" s="54"/>
      <c r="L211" s="54"/>
      <c r="M211" s="55">
        <f t="shared" si="20"/>
        <v>31786.02</v>
      </c>
      <c r="N211" s="48"/>
    </row>
    <row r="212" spans="1:14" ht="11.25">
      <c r="A212" s="2"/>
      <c r="B212" s="3" t="s">
        <v>124</v>
      </c>
      <c r="C212" s="19"/>
      <c r="D212" s="56">
        <f>SUM(D203:D210)</f>
        <v>9454031</v>
      </c>
      <c r="E212" s="56">
        <f>SUM(E203:E210)</f>
        <v>182148</v>
      </c>
      <c r="F212" s="56">
        <f>SUM(F203:F210)</f>
        <v>0</v>
      </c>
      <c r="G212" s="56">
        <f>SUM(G203:G210)</f>
        <v>0</v>
      </c>
      <c r="H212" s="56">
        <f aca="true" t="shared" si="22" ref="H212:H245">SUM(D212:G212)</f>
        <v>9636179</v>
      </c>
      <c r="I212" s="56">
        <f>SUM(I203:I211)</f>
        <v>8914394.44</v>
      </c>
      <c r="J212" s="56">
        <f>SUM(J203:J210)</f>
        <v>370976.1</v>
      </c>
      <c r="K212" s="56">
        <f>SUM(K203:K210)</f>
        <v>0</v>
      </c>
      <c r="L212" s="56">
        <f>SUM(L203:L210)</f>
        <v>0</v>
      </c>
      <c r="M212" s="56">
        <f t="shared" si="20"/>
        <v>9285370.54</v>
      </c>
      <c r="N212" s="51">
        <f t="shared" si="21"/>
        <v>0.9635946509503402</v>
      </c>
    </row>
    <row r="213" spans="1:14" ht="91.5" customHeight="1">
      <c r="A213" s="2"/>
      <c r="B213" s="1" t="s">
        <v>125</v>
      </c>
      <c r="C213" s="12" t="s">
        <v>17</v>
      </c>
      <c r="D213" s="54">
        <v>5670</v>
      </c>
      <c r="E213" s="54"/>
      <c r="F213" s="54"/>
      <c r="G213" s="54"/>
      <c r="H213" s="54">
        <f t="shared" si="22"/>
        <v>5670</v>
      </c>
      <c r="I213" s="54">
        <v>6197.77</v>
      </c>
      <c r="J213" s="54"/>
      <c r="K213" s="54"/>
      <c r="L213" s="54"/>
      <c r="M213" s="55">
        <f t="shared" si="20"/>
        <v>6197.77</v>
      </c>
      <c r="N213" s="48">
        <f t="shared" si="21"/>
        <v>1.0930811287477955</v>
      </c>
    </row>
    <row r="214" spans="1:14" ht="12.75" customHeight="1">
      <c r="A214" s="2"/>
      <c r="B214" s="23"/>
      <c r="C214" s="69" t="s">
        <v>19</v>
      </c>
      <c r="D214" s="54"/>
      <c r="E214" s="54"/>
      <c r="F214" s="54"/>
      <c r="G214" s="54"/>
      <c r="H214" s="54">
        <f t="shared" si="22"/>
        <v>0</v>
      </c>
      <c r="I214" s="54">
        <v>130.71</v>
      </c>
      <c r="J214" s="54"/>
      <c r="K214" s="54"/>
      <c r="L214" s="54"/>
      <c r="M214" s="55">
        <f t="shared" si="20"/>
        <v>130.71</v>
      </c>
      <c r="N214" s="48"/>
    </row>
    <row r="215" spans="1:14" ht="13.5" customHeight="1">
      <c r="A215" s="2"/>
      <c r="B215" s="2"/>
      <c r="C215" s="16" t="s">
        <v>126</v>
      </c>
      <c r="D215" s="54">
        <f>238+644</f>
        <v>882</v>
      </c>
      <c r="E215" s="54"/>
      <c r="F215" s="54"/>
      <c r="G215" s="54"/>
      <c r="H215" s="54">
        <f t="shared" si="22"/>
        <v>882</v>
      </c>
      <c r="I215" s="54">
        <v>2516.12</v>
      </c>
      <c r="J215" s="54"/>
      <c r="K215" s="54"/>
      <c r="L215" s="54"/>
      <c r="M215" s="55">
        <f t="shared" si="20"/>
        <v>2516.12</v>
      </c>
      <c r="N215" s="48">
        <f t="shared" si="21"/>
        <v>2.8527437641723354</v>
      </c>
    </row>
    <row r="216" spans="1:14" ht="21" customHeight="1">
      <c r="A216" s="2"/>
      <c r="B216" s="2"/>
      <c r="C216" s="16" t="s">
        <v>20</v>
      </c>
      <c r="D216" s="54"/>
      <c r="E216" s="54"/>
      <c r="F216" s="54"/>
      <c r="G216" s="54"/>
      <c r="H216" s="54">
        <f t="shared" si="22"/>
        <v>0</v>
      </c>
      <c r="I216" s="54">
        <v>4132.8</v>
      </c>
      <c r="J216" s="54"/>
      <c r="K216" s="54"/>
      <c r="L216" s="54"/>
      <c r="M216" s="55">
        <f t="shared" si="20"/>
        <v>4132.8</v>
      </c>
      <c r="N216" s="48"/>
    </row>
    <row r="217" spans="1:14" ht="58.5" customHeight="1">
      <c r="A217" s="2"/>
      <c r="B217" s="2"/>
      <c r="C217" s="11" t="s">
        <v>315</v>
      </c>
      <c r="D217" s="54"/>
      <c r="E217" s="54"/>
      <c r="F217" s="54"/>
      <c r="G217" s="54"/>
      <c r="H217" s="54">
        <f t="shared" si="22"/>
        <v>0</v>
      </c>
      <c r="I217" s="54">
        <v>600.47</v>
      </c>
      <c r="J217" s="54"/>
      <c r="K217" s="54"/>
      <c r="L217" s="54"/>
      <c r="M217" s="55">
        <f t="shared" si="20"/>
        <v>600.47</v>
      </c>
      <c r="N217" s="48"/>
    </row>
    <row r="218" spans="1:14" ht="58.5" customHeight="1">
      <c r="A218" s="2"/>
      <c r="B218" s="2"/>
      <c r="C218" s="11" t="s">
        <v>225</v>
      </c>
      <c r="D218" s="59">
        <v>61685</v>
      </c>
      <c r="E218" s="54"/>
      <c r="F218" s="54"/>
      <c r="G218" s="54"/>
      <c r="H218" s="54">
        <f t="shared" si="22"/>
        <v>61685</v>
      </c>
      <c r="I218" s="54">
        <v>61685</v>
      </c>
      <c r="J218" s="54"/>
      <c r="K218" s="54"/>
      <c r="L218" s="54"/>
      <c r="M218" s="55">
        <f t="shared" si="20"/>
        <v>61685</v>
      </c>
      <c r="N218" s="48">
        <f t="shared" si="21"/>
        <v>1</v>
      </c>
    </row>
    <row r="219" spans="1:14" ht="78" customHeight="1">
      <c r="A219" s="2"/>
      <c r="B219" s="2"/>
      <c r="C219" s="16" t="s">
        <v>276</v>
      </c>
      <c r="D219" s="59">
        <v>19469</v>
      </c>
      <c r="E219" s="54"/>
      <c r="F219" s="54"/>
      <c r="G219" s="54"/>
      <c r="H219" s="54">
        <f t="shared" si="22"/>
        <v>19469</v>
      </c>
      <c r="I219" s="54">
        <v>19162.47</v>
      </c>
      <c r="J219" s="54"/>
      <c r="K219" s="54"/>
      <c r="L219" s="54"/>
      <c r="M219" s="55">
        <f t="shared" si="20"/>
        <v>19162.47</v>
      </c>
      <c r="N219" s="48">
        <f t="shared" si="21"/>
        <v>0.9842554830756588</v>
      </c>
    </row>
    <row r="220" spans="1:14" ht="78.75" customHeight="1">
      <c r="A220" s="2"/>
      <c r="B220" s="2"/>
      <c r="C220" s="16" t="s">
        <v>119</v>
      </c>
      <c r="D220" s="54">
        <f>19135+37149+3143+131194+72526</f>
        <v>263147</v>
      </c>
      <c r="E220" s="54"/>
      <c r="F220" s="54"/>
      <c r="G220" s="54"/>
      <c r="H220" s="54">
        <f t="shared" si="22"/>
        <v>263147</v>
      </c>
      <c r="I220" s="54">
        <v>195767.85</v>
      </c>
      <c r="J220" s="54"/>
      <c r="K220" s="54"/>
      <c r="L220" s="54"/>
      <c r="M220" s="55">
        <f t="shared" si="20"/>
        <v>195767.85</v>
      </c>
      <c r="N220" s="48">
        <f t="shared" si="21"/>
        <v>0.7439486294732602</v>
      </c>
    </row>
    <row r="221" spans="1:14" ht="11.25">
      <c r="A221" s="2"/>
      <c r="B221" s="3" t="s">
        <v>127</v>
      </c>
      <c r="C221" s="18"/>
      <c r="D221" s="56">
        <f>SUM(D213:D220)</f>
        <v>350853</v>
      </c>
      <c r="E221" s="56">
        <f>SUM(E213:E220)</f>
        <v>0</v>
      </c>
      <c r="F221" s="56">
        <f>SUM(F213:F220)</f>
        <v>0</v>
      </c>
      <c r="G221" s="56">
        <f>SUM(G213:G220)</f>
        <v>0</v>
      </c>
      <c r="H221" s="56">
        <f t="shared" si="22"/>
        <v>350853</v>
      </c>
      <c r="I221" s="56">
        <f>SUM(I213:I220)</f>
        <v>290193.19</v>
      </c>
      <c r="J221" s="56">
        <f>SUM(J213:J220)</f>
        <v>0</v>
      </c>
      <c r="K221" s="56">
        <f>SUM(K213:K220)</f>
        <v>0</v>
      </c>
      <c r="L221" s="56">
        <f>SUM(L213:L220)</f>
        <v>0</v>
      </c>
      <c r="M221" s="56">
        <f t="shared" si="20"/>
        <v>290193.19</v>
      </c>
      <c r="N221" s="51">
        <f t="shared" si="21"/>
        <v>0.8271076205704383</v>
      </c>
    </row>
    <row r="222" spans="1:14" ht="87.75" customHeight="1">
      <c r="A222" s="2"/>
      <c r="B222" s="90" t="s">
        <v>128</v>
      </c>
      <c r="C222" s="11" t="s">
        <v>17</v>
      </c>
      <c r="D222" s="54">
        <v>5500</v>
      </c>
      <c r="E222" s="54"/>
      <c r="F222" s="54"/>
      <c r="G222" s="54"/>
      <c r="H222" s="54">
        <f t="shared" si="22"/>
        <v>5500</v>
      </c>
      <c r="I222" s="54">
        <v>5813.22</v>
      </c>
      <c r="J222" s="54"/>
      <c r="K222" s="54"/>
      <c r="L222" s="54"/>
      <c r="M222" s="55">
        <f t="shared" si="20"/>
        <v>5813.22</v>
      </c>
      <c r="N222" s="48">
        <f t="shared" si="21"/>
        <v>1.056949090909091</v>
      </c>
    </row>
    <row r="223" spans="1:14" ht="12" customHeight="1">
      <c r="A223" s="2"/>
      <c r="B223" s="91"/>
      <c r="C223" s="16" t="s">
        <v>19</v>
      </c>
      <c r="D223" s="54"/>
      <c r="E223" s="54"/>
      <c r="F223" s="54"/>
      <c r="G223" s="54"/>
      <c r="H223" s="54">
        <f t="shared" si="22"/>
        <v>0</v>
      </c>
      <c r="I223" s="54">
        <v>534.29</v>
      </c>
      <c r="J223" s="54"/>
      <c r="K223" s="54"/>
      <c r="L223" s="54"/>
      <c r="M223" s="55">
        <f t="shared" si="20"/>
        <v>534.29</v>
      </c>
      <c r="N223" s="48"/>
    </row>
    <row r="224" spans="1:14" ht="23.25" customHeight="1">
      <c r="A224" s="2"/>
      <c r="B224" s="91"/>
      <c r="C224" s="11" t="s">
        <v>20</v>
      </c>
      <c r="D224" s="54">
        <v>344631</v>
      </c>
      <c r="E224" s="54"/>
      <c r="F224" s="54"/>
      <c r="G224" s="54"/>
      <c r="H224" s="54">
        <f t="shared" si="22"/>
        <v>344631</v>
      </c>
      <c r="I224" s="54">
        <v>352546.82</v>
      </c>
      <c r="J224" s="54"/>
      <c r="K224" s="54"/>
      <c r="L224" s="54"/>
      <c r="M224" s="55">
        <f t="shared" si="20"/>
        <v>352546.82</v>
      </c>
      <c r="N224" s="48">
        <f t="shared" si="21"/>
        <v>1.0229689726112856</v>
      </c>
    </row>
    <row r="225" spans="1:14" ht="55.5" customHeight="1">
      <c r="A225" s="2"/>
      <c r="B225" s="91"/>
      <c r="C225" s="11" t="s">
        <v>315</v>
      </c>
      <c r="D225" s="54"/>
      <c r="E225" s="54"/>
      <c r="F225" s="54"/>
      <c r="G225" s="54"/>
      <c r="H225" s="54">
        <f t="shared" si="22"/>
        <v>0</v>
      </c>
      <c r="I225" s="54">
        <v>178368.45</v>
      </c>
      <c r="J225" s="54"/>
      <c r="K225" s="54"/>
      <c r="L225" s="54"/>
      <c r="M225" s="55">
        <f t="shared" si="20"/>
        <v>178368.45</v>
      </c>
      <c r="N225" s="48"/>
    </row>
    <row r="226" spans="1:14" ht="55.5" customHeight="1">
      <c r="A226" s="2"/>
      <c r="B226" s="92"/>
      <c r="C226" s="11" t="s">
        <v>225</v>
      </c>
      <c r="D226" s="54">
        <v>61684</v>
      </c>
      <c r="E226" s="54"/>
      <c r="F226" s="54"/>
      <c r="G226" s="54"/>
      <c r="H226" s="54">
        <f t="shared" si="22"/>
        <v>61684</v>
      </c>
      <c r="I226" s="54">
        <v>61684</v>
      </c>
      <c r="J226" s="54"/>
      <c r="K226" s="54"/>
      <c r="L226" s="54"/>
      <c r="M226" s="55">
        <f t="shared" si="20"/>
        <v>61684</v>
      </c>
      <c r="N226" s="48">
        <f t="shared" si="21"/>
        <v>1</v>
      </c>
    </row>
    <row r="227" spans="1:14" ht="11.25">
      <c r="A227" s="2"/>
      <c r="B227" s="3" t="s">
        <v>129</v>
      </c>
      <c r="C227" s="14"/>
      <c r="D227" s="56">
        <f>SUM(D222:D226)</f>
        <v>411815</v>
      </c>
      <c r="E227" s="56">
        <f>SUM(E222:E226)</f>
        <v>0</v>
      </c>
      <c r="F227" s="56">
        <f>SUM(F222:F226)</f>
        <v>0</v>
      </c>
      <c r="G227" s="56">
        <f>SUM(G222:G226)</f>
        <v>0</v>
      </c>
      <c r="H227" s="56">
        <f t="shared" si="22"/>
        <v>411815</v>
      </c>
      <c r="I227" s="56">
        <f>SUM(I222:I226)</f>
        <v>598946.78</v>
      </c>
      <c r="J227" s="56">
        <f>SUM(J222:J226)</f>
        <v>0</v>
      </c>
      <c r="K227" s="56">
        <f>SUM(K222:K226)</f>
        <v>0</v>
      </c>
      <c r="L227" s="56">
        <f>SUM(L222:L226)</f>
        <v>0</v>
      </c>
      <c r="M227" s="56">
        <f t="shared" si="20"/>
        <v>598946.78</v>
      </c>
      <c r="N227" s="51">
        <f t="shared" si="21"/>
        <v>1.4544073916685891</v>
      </c>
    </row>
    <row r="228" spans="1:14" ht="90.75" customHeight="1">
      <c r="A228" s="2"/>
      <c r="B228" s="1" t="s">
        <v>130</v>
      </c>
      <c r="C228" s="16" t="s">
        <v>17</v>
      </c>
      <c r="D228" s="54">
        <v>8200</v>
      </c>
      <c r="E228" s="54"/>
      <c r="F228" s="54"/>
      <c r="G228" s="54"/>
      <c r="H228" s="54">
        <f t="shared" si="22"/>
        <v>8200</v>
      </c>
      <c r="I228" s="54">
        <v>13541.19</v>
      </c>
      <c r="J228" s="54"/>
      <c r="K228" s="54"/>
      <c r="L228" s="54"/>
      <c r="M228" s="55">
        <f t="shared" si="20"/>
        <v>13541.19</v>
      </c>
      <c r="N228" s="48">
        <f t="shared" si="21"/>
        <v>1.6513646341463415</v>
      </c>
    </row>
    <row r="229" spans="1:14" ht="15" customHeight="1">
      <c r="A229" s="2"/>
      <c r="B229" s="23"/>
      <c r="C229" s="12" t="s">
        <v>18</v>
      </c>
      <c r="D229" s="54"/>
      <c r="E229" s="54"/>
      <c r="F229" s="54"/>
      <c r="G229" s="54"/>
      <c r="H229" s="54">
        <f t="shared" si="22"/>
        <v>0</v>
      </c>
      <c r="I229" s="54">
        <v>7906.36</v>
      </c>
      <c r="J229" s="54"/>
      <c r="K229" s="54"/>
      <c r="L229" s="54"/>
      <c r="M229" s="55">
        <f t="shared" si="20"/>
        <v>7906.36</v>
      </c>
      <c r="N229" s="48"/>
    </row>
    <row r="230" spans="1:14" ht="23.25" customHeight="1">
      <c r="A230" s="2"/>
      <c r="B230" s="23"/>
      <c r="C230" s="12" t="s">
        <v>137</v>
      </c>
      <c r="D230" s="54"/>
      <c r="E230" s="54"/>
      <c r="F230" s="54"/>
      <c r="G230" s="54"/>
      <c r="H230" s="54">
        <f t="shared" si="22"/>
        <v>0</v>
      </c>
      <c r="I230" s="54">
        <v>300</v>
      </c>
      <c r="J230" s="54"/>
      <c r="K230" s="54"/>
      <c r="L230" s="54"/>
      <c r="M230" s="55">
        <f t="shared" si="20"/>
        <v>300</v>
      </c>
      <c r="N230" s="48"/>
    </row>
    <row r="231" spans="1:14" ht="15" customHeight="1">
      <c r="A231" s="2"/>
      <c r="B231" s="23"/>
      <c r="C231" s="16" t="s">
        <v>19</v>
      </c>
      <c r="D231" s="54"/>
      <c r="E231" s="54"/>
      <c r="F231" s="54"/>
      <c r="G231" s="54"/>
      <c r="H231" s="54">
        <f t="shared" si="22"/>
        <v>0</v>
      </c>
      <c r="I231" s="54">
        <v>1001.74</v>
      </c>
      <c r="J231" s="54"/>
      <c r="K231" s="54"/>
      <c r="L231" s="54"/>
      <c r="M231" s="55">
        <f t="shared" si="20"/>
        <v>1001.74</v>
      </c>
      <c r="N231" s="48"/>
    </row>
    <row r="232" spans="1:14" ht="15.75" customHeight="1">
      <c r="A232" s="2"/>
      <c r="B232" s="23"/>
      <c r="C232" s="16" t="s">
        <v>126</v>
      </c>
      <c r="D232" s="54"/>
      <c r="E232" s="54"/>
      <c r="F232" s="54"/>
      <c r="G232" s="54"/>
      <c r="H232" s="54">
        <f t="shared" si="22"/>
        <v>0</v>
      </c>
      <c r="I232" s="54">
        <v>2777.62</v>
      </c>
      <c r="J232" s="54"/>
      <c r="K232" s="54"/>
      <c r="L232" s="54"/>
      <c r="M232" s="55">
        <f t="shared" si="20"/>
        <v>2777.62</v>
      </c>
      <c r="N232" s="48"/>
    </row>
    <row r="233" spans="1:14" ht="26.25" customHeight="1">
      <c r="A233" s="2"/>
      <c r="B233" s="2"/>
      <c r="C233" s="16" t="s">
        <v>20</v>
      </c>
      <c r="D233" s="54">
        <f>2000+7550</f>
        <v>9550</v>
      </c>
      <c r="E233" s="54"/>
      <c r="F233" s="54"/>
      <c r="G233" s="54"/>
      <c r="H233" s="54">
        <f t="shared" si="22"/>
        <v>9550</v>
      </c>
      <c r="I233" s="54">
        <v>44708.94</v>
      </c>
      <c r="J233" s="54"/>
      <c r="K233" s="54"/>
      <c r="L233" s="54"/>
      <c r="M233" s="55">
        <f t="shared" si="20"/>
        <v>44708.94</v>
      </c>
      <c r="N233" s="48">
        <f t="shared" si="21"/>
        <v>4.68156439790576</v>
      </c>
    </row>
    <row r="234" spans="1:14" ht="54.75" customHeight="1">
      <c r="A234" s="2"/>
      <c r="B234" s="23"/>
      <c r="C234" s="11" t="s">
        <v>315</v>
      </c>
      <c r="D234" s="54"/>
      <c r="E234" s="54"/>
      <c r="F234" s="54"/>
      <c r="G234" s="54"/>
      <c r="H234" s="54">
        <f t="shared" si="22"/>
        <v>0</v>
      </c>
      <c r="I234" s="54">
        <v>15289.53</v>
      </c>
      <c r="J234" s="54"/>
      <c r="K234" s="54"/>
      <c r="L234" s="54"/>
      <c r="M234" s="55">
        <f t="shared" si="20"/>
        <v>15289.53</v>
      </c>
      <c r="N234" s="48"/>
    </row>
    <row r="235" spans="1:14" ht="81" customHeight="1">
      <c r="A235" s="2"/>
      <c r="B235" s="23"/>
      <c r="C235" s="16" t="s">
        <v>119</v>
      </c>
      <c r="D235" s="54">
        <f>57271+253880+4408</f>
        <v>315559</v>
      </c>
      <c r="E235" s="54"/>
      <c r="F235" s="54"/>
      <c r="G235" s="54"/>
      <c r="H235" s="54">
        <f t="shared" si="22"/>
        <v>315559</v>
      </c>
      <c r="I235" s="54">
        <v>385881.43</v>
      </c>
      <c r="J235" s="54"/>
      <c r="K235" s="54"/>
      <c r="L235" s="54"/>
      <c r="M235" s="55">
        <f t="shared" si="20"/>
        <v>385881.43</v>
      </c>
      <c r="N235" s="48">
        <f t="shared" si="21"/>
        <v>1.2228503386054588</v>
      </c>
    </row>
    <row r="236" spans="1:14" ht="11.25">
      <c r="A236" s="2"/>
      <c r="B236" s="3" t="s">
        <v>131</v>
      </c>
      <c r="C236" s="19"/>
      <c r="D236" s="56">
        <f>SUM(D228:D235)</f>
        <v>333309</v>
      </c>
      <c r="E236" s="56">
        <f>SUM(E228:E235)</f>
        <v>0</v>
      </c>
      <c r="F236" s="56">
        <f>SUM(F228:F235)</f>
        <v>0</v>
      </c>
      <c r="G236" s="56">
        <f>SUM(G228:G235)</f>
        <v>0</v>
      </c>
      <c r="H236" s="56">
        <f t="shared" si="22"/>
        <v>333309</v>
      </c>
      <c r="I236" s="56">
        <f>SUM(I228:I235)</f>
        <v>471406.81</v>
      </c>
      <c r="J236" s="56">
        <f>SUM(J228:J235)</f>
        <v>0</v>
      </c>
      <c r="K236" s="56">
        <f>SUM(K228:K235)</f>
        <v>0</v>
      </c>
      <c r="L236" s="56">
        <f>SUM(L228:L235)</f>
        <v>0</v>
      </c>
      <c r="M236" s="56">
        <f t="shared" si="20"/>
        <v>471406.81</v>
      </c>
      <c r="N236" s="51">
        <f t="shared" si="21"/>
        <v>1.4143236756283208</v>
      </c>
    </row>
    <row r="237" spans="1:14" ht="35.25" customHeight="1" hidden="1">
      <c r="A237" s="2"/>
      <c r="B237" s="22" t="s">
        <v>228</v>
      </c>
      <c r="C237" s="12" t="s">
        <v>26</v>
      </c>
      <c r="D237" s="54"/>
      <c r="E237" s="54"/>
      <c r="F237" s="54"/>
      <c r="G237" s="54"/>
      <c r="H237" s="54">
        <f t="shared" si="22"/>
        <v>0</v>
      </c>
      <c r="I237" s="54"/>
      <c r="J237" s="54"/>
      <c r="K237" s="54"/>
      <c r="L237" s="54"/>
      <c r="M237" s="55">
        <f t="shared" si="20"/>
        <v>0</v>
      </c>
      <c r="N237" s="48" t="e">
        <f t="shared" si="21"/>
        <v>#DIV/0!</v>
      </c>
    </row>
    <row r="238" spans="1:14" ht="25.5" customHeight="1">
      <c r="A238" s="2"/>
      <c r="B238" s="90" t="s">
        <v>228</v>
      </c>
      <c r="C238" s="16" t="s">
        <v>20</v>
      </c>
      <c r="D238" s="54"/>
      <c r="E238" s="54"/>
      <c r="F238" s="54"/>
      <c r="G238" s="54"/>
      <c r="H238" s="54">
        <f t="shared" si="22"/>
        <v>0</v>
      </c>
      <c r="I238" s="54">
        <v>4287.73</v>
      </c>
      <c r="J238" s="54"/>
      <c r="K238" s="54"/>
      <c r="L238" s="54"/>
      <c r="M238" s="55">
        <f t="shared" si="20"/>
        <v>4287.73</v>
      </c>
      <c r="N238" s="48"/>
    </row>
    <row r="239" spans="1:14" ht="54.75" customHeight="1">
      <c r="A239" s="2"/>
      <c r="B239" s="92"/>
      <c r="C239" s="11" t="s">
        <v>315</v>
      </c>
      <c r="D239" s="54"/>
      <c r="E239" s="54"/>
      <c r="F239" s="54"/>
      <c r="G239" s="54"/>
      <c r="H239" s="54">
        <f t="shared" si="22"/>
        <v>0</v>
      </c>
      <c r="I239" s="54">
        <v>53.46</v>
      </c>
      <c r="J239" s="54"/>
      <c r="K239" s="54"/>
      <c r="L239" s="54"/>
      <c r="M239" s="55">
        <f t="shared" si="20"/>
        <v>53.46</v>
      </c>
      <c r="N239" s="48"/>
    </row>
    <row r="240" spans="1:14" ht="11.25">
      <c r="A240" s="2"/>
      <c r="B240" s="3" t="s">
        <v>229</v>
      </c>
      <c r="C240" s="19"/>
      <c r="D240" s="56">
        <f>SUM(D237:D239)</f>
        <v>0</v>
      </c>
      <c r="E240" s="56">
        <f>SUM(E237:E239)</f>
        <v>0</v>
      </c>
      <c r="F240" s="56">
        <f>SUM(F237:F239)</f>
        <v>0</v>
      </c>
      <c r="G240" s="56">
        <f>SUM(G237:G239)</f>
        <v>0</v>
      </c>
      <c r="H240" s="56">
        <f t="shared" si="22"/>
        <v>0</v>
      </c>
      <c r="I240" s="56">
        <f>SUM(I237:I239)</f>
        <v>4341.19</v>
      </c>
      <c r="J240" s="56">
        <f>SUM(J237:J239)</f>
        <v>0</v>
      </c>
      <c r="K240" s="56">
        <f>SUM(K237:K239)</f>
        <v>0</v>
      </c>
      <c r="L240" s="56">
        <f>SUM(L237:L239)</f>
        <v>0</v>
      </c>
      <c r="M240" s="56">
        <f t="shared" si="20"/>
        <v>4341.19</v>
      </c>
      <c r="N240" s="51"/>
    </row>
    <row r="241" spans="1:14" ht="34.5" customHeight="1">
      <c r="A241" s="2"/>
      <c r="B241" s="22" t="s">
        <v>230</v>
      </c>
      <c r="C241" s="12" t="s">
        <v>20</v>
      </c>
      <c r="D241" s="54"/>
      <c r="E241" s="54"/>
      <c r="F241" s="54"/>
      <c r="G241" s="54"/>
      <c r="H241" s="54">
        <f t="shared" si="22"/>
        <v>0</v>
      </c>
      <c r="I241" s="54">
        <v>1383.69</v>
      </c>
      <c r="J241" s="54"/>
      <c r="K241" s="54"/>
      <c r="L241" s="54"/>
      <c r="M241" s="55">
        <f t="shared" si="20"/>
        <v>1383.69</v>
      </c>
      <c r="N241" s="48"/>
    </row>
    <row r="242" spans="1:14" ht="11.25">
      <c r="A242" s="2"/>
      <c r="B242" s="3" t="s">
        <v>231</v>
      </c>
      <c r="C242" s="19"/>
      <c r="D242" s="56">
        <f>SUM(D241:D241)</f>
        <v>0</v>
      </c>
      <c r="E242" s="56">
        <f>SUM(E241:E241)</f>
        <v>0</v>
      </c>
      <c r="F242" s="56">
        <f>SUM(F241:F241)</f>
        <v>0</v>
      </c>
      <c r="G242" s="56">
        <f>SUM(G241:G241)</f>
        <v>0</v>
      </c>
      <c r="H242" s="56">
        <f t="shared" si="22"/>
        <v>0</v>
      </c>
      <c r="I242" s="56">
        <f>SUM(I241:I241)</f>
        <v>1383.69</v>
      </c>
      <c r="J242" s="56">
        <f>SUM(J241:J241)</f>
        <v>0</v>
      </c>
      <c r="K242" s="56">
        <f>SUM(K241:K241)</f>
        <v>0</v>
      </c>
      <c r="L242" s="56">
        <f>SUM(L241:L241)</f>
        <v>0</v>
      </c>
      <c r="M242" s="56">
        <f t="shared" si="20"/>
        <v>1383.69</v>
      </c>
      <c r="N242" s="51"/>
    </row>
    <row r="243" spans="1:14" ht="79.5" customHeight="1">
      <c r="A243" s="2"/>
      <c r="B243" s="22" t="s">
        <v>268</v>
      </c>
      <c r="C243" s="12" t="s">
        <v>146</v>
      </c>
      <c r="D243" s="54"/>
      <c r="E243" s="54"/>
      <c r="F243" s="54"/>
      <c r="G243" s="54"/>
      <c r="H243" s="54">
        <f t="shared" si="22"/>
        <v>0</v>
      </c>
      <c r="I243" s="54"/>
      <c r="J243" s="54">
        <v>23010</v>
      </c>
      <c r="K243" s="54"/>
      <c r="L243" s="54"/>
      <c r="M243" s="55">
        <f t="shared" si="20"/>
        <v>23010</v>
      </c>
      <c r="N243" s="48"/>
    </row>
    <row r="244" spans="1:14" ht="11.25">
      <c r="A244" s="2"/>
      <c r="B244" s="3" t="s">
        <v>269</v>
      </c>
      <c r="C244" s="19"/>
      <c r="D244" s="56">
        <f>SUM(D243:D243)</f>
        <v>0</v>
      </c>
      <c r="E244" s="56">
        <f>SUM(E243:E243)</f>
        <v>0</v>
      </c>
      <c r="F244" s="56">
        <f>SUM(F243:F243)</f>
        <v>0</v>
      </c>
      <c r="G244" s="56">
        <f>SUM(G243:G243)</f>
        <v>0</v>
      </c>
      <c r="H244" s="56">
        <f t="shared" si="22"/>
        <v>0</v>
      </c>
      <c r="I244" s="56">
        <f>SUM(I243:I243)</f>
        <v>0</v>
      </c>
      <c r="J244" s="56">
        <f>SUM(J243:J243)</f>
        <v>23010</v>
      </c>
      <c r="K244" s="56">
        <f>SUM(K243:K243)</f>
        <v>0</v>
      </c>
      <c r="L244" s="56">
        <f>SUM(L243:L243)</f>
        <v>0</v>
      </c>
      <c r="M244" s="56">
        <f t="shared" si="20"/>
        <v>23010</v>
      </c>
      <c r="N244" s="51"/>
    </row>
    <row r="245" spans="1:14" ht="23.25" customHeight="1">
      <c r="A245" s="2"/>
      <c r="B245" s="90" t="s">
        <v>232</v>
      </c>
      <c r="C245" s="12" t="s">
        <v>20</v>
      </c>
      <c r="D245" s="54"/>
      <c r="E245" s="54"/>
      <c r="F245" s="54"/>
      <c r="G245" s="54"/>
      <c r="H245" s="54">
        <f t="shared" si="22"/>
        <v>0</v>
      </c>
      <c r="I245" s="54">
        <v>4481.34</v>
      </c>
      <c r="J245" s="54"/>
      <c r="K245" s="54"/>
      <c r="L245" s="54"/>
      <c r="M245" s="55">
        <f t="shared" si="20"/>
        <v>4481.34</v>
      </c>
      <c r="N245" s="48"/>
    </row>
    <row r="246" spans="1:14" ht="55.5" customHeight="1">
      <c r="A246" s="2"/>
      <c r="B246" s="92"/>
      <c r="C246" s="11" t="s">
        <v>315</v>
      </c>
      <c r="D246" s="54"/>
      <c r="E246" s="54"/>
      <c r="F246" s="54"/>
      <c r="G246" s="54"/>
      <c r="H246" s="54"/>
      <c r="I246" s="54">
        <v>7966.49</v>
      </c>
      <c r="J246" s="54"/>
      <c r="K246" s="54"/>
      <c r="L246" s="54"/>
      <c r="M246" s="55">
        <f t="shared" si="20"/>
        <v>7966.49</v>
      </c>
      <c r="N246" s="48"/>
    </row>
    <row r="247" spans="1:14" ht="11.25">
      <c r="A247" s="2"/>
      <c r="B247" s="3" t="s">
        <v>233</v>
      </c>
      <c r="C247" s="13"/>
      <c r="D247" s="56">
        <f>SUM(D245:D246)</f>
        <v>0</v>
      </c>
      <c r="E247" s="56">
        <f>SUM(E245:E246)</f>
        <v>0</v>
      </c>
      <c r="F247" s="56">
        <f>SUM(F245:F246)</f>
        <v>0</v>
      </c>
      <c r="G247" s="56">
        <f>SUM(G245:G246)</f>
        <v>0</v>
      </c>
      <c r="H247" s="56">
        <f>SUM(D247:G247)</f>
        <v>0</v>
      </c>
      <c r="I247" s="56">
        <f>SUM(I245:I246)</f>
        <v>12447.83</v>
      </c>
      <c r="J247" s="56">
        <f>SUM(J245:J246)</f>
        <v>0</v>
      </c>
      <c r="K247" s="56">
        <f>SUM(K245:K246)</f>
        <v>0</v>
      </c>
      <c r="L247" s="56">
        <f>SUM(L245:L246)</f>
        <v>0</v>
      </c>
      <c r="M247" s="56">
        <f t="shared" si="20"/>
        <v>12447.83</v>
      </c>
      <c r="N247" s="51"/>
    </row>
    <row r="248" spans="1:14" ht="11.25">
      <c r="A248" s="2"/>
      <c r="B248" s="90" t="s">
        <v>234</v>
      </c>
      <c r="C248" s="16" t="s">
        <v>18</v>
      </c>
      <c r="D248" s="54"/>
      <c r="E248" s="54"/>
      <c r="F248" s="54"/>
      <c r="G248" s="54"/>
      <c r="H248" s="54">
        <f>SUM(D248:G248)</f>
        <v>0</v>
      </c>
      <c r="I248" s="79">
        <v>0.94</v>
      </c>
      <c r="J248" s="58"/>
      <c r="K248" s="58"/>
      <c r="L248" s="58"/>
      <c r="M248" s="55">
        <f t="shared" si="20"/>
        <v>0.94</v>
      </c>
      <c r="N248" s="48"/>
    </row>
    <row r="249" spans="1:14" ht="21.75" customHeight="1">
      <c r="A249" s="2"/>
      <c r="B249" s="91"/>
      <c r="C249" s="12" t="s">
        <v>20</v>
      </c>
      <c r="D249" s="54"/>
      <c r="E249" s="54"/>
      <c r="F249" s="54"/>
      <c r="G249" s="54"/>
      <c r="H249" s="54">
        <f>SUM(D249:G249)</f>
        <v>0</v>
      </c>
      <c r="I249" s="54">
        <v>7.04</v>
      </c>
      <c r="J249" s="54"/>
      <c r="K249" s="54"/>
      <c r="L249" s="54"/>
      <c r="M249" s="55">
        <f t="shared" si="20"/>
        <v>7.04</v>
      </c>
      <c r="N249" s="48"/>
    </row>
    <row r="250" spans="1:14" ht="55.5" customHeight="1">
      <c r="A250" s="2"/>
      <c r="B250" s="92"/>
      <c r="C250" s="11" t="s">
        <v>315</v>
      </c>
      <c r="D250" s="54"/>
      <c r="E250" s="54"/>
      <c r="F250" s="54"/>
      <c r="G250" s="54"/>
      <c r="H250" s="54"/>
      <c r="I250" s="54">
        <v>53835.89</v>
      </c>
      <c r="J250" s="54"/>
      <c r="K250" s="54"/>
      <c r="L250" s="54"/>
      <c r="M250" s="55">
        <f t="shared" si="20"/>
        <v>53835.89</v>
      </c>
      <c r="N250" s="48"/>
    </row>
    <row r="251" spans="1:14" ht="11.25">
      <c r="A251" s="2"/>
      <c r="B251" s="3" t="s">
        <v>235</v>
      </c>
      <c r="C251" s="19"/>
      <c r="D251" s="56">
        <f>SUM(D248:D249)</f>
        <v>0</v>
      </c>
      <c r="E251" s="56">
        <f>SUM(E248:E249)</f>
        <v>0</v>
      </c>
      <c r="F251" s="56">
        <f>SUM(F248:F249)</f>
        <v>0</v>
      </c>
      <c r="G251" s="56">
        <f>SUM(G248:G249)</f>
        <v>0</v>
      </c>
      <c r="H251" s="56">
        <f aca="true" t="shared" si="23" ref="H251:H282">SUM(D251:G251)</f>
        <v>0</v>
      </c>
      <c r="I251" s="56">
        <f>SUM(I248:I250)</f>
        <v>53843.87</v>
      </c>
      <c r="J251" s="56">
        <f>SUM(J248:J249)</f>
        <v>0</v>
      </c>
      <c r="K251" s="56">
        <f>SUM(K248:K249)</f>
        <v>0</v>
      </c>
      <c r="L251" s="56">
        <f>SUM(L248:L249)</f>
        <v>0</v>
      </c>
      <c r="M251" s="56">
        <f t="shared" si="20"/>
        <v>53843.87</v>
      </c>
      <c r="N251" s="51"/>
    </row>
    <row r="252" spans="1:14" ht="12" customHeight="1">
      <c r="A252" s="2"/>
      <c r="B252" s="90" t="s">
        <v>132</v>
      </c>
      <c r="C252" s="12" t="s">
        <v>18</v>
      </c>
      <c r="D252" s="54">
        <v>2074288</v>
      </c>
      <c r="E252" s="54"/>
      <c r="F252" s="54"/>
      <c r="G252" s="54"/>
      <c r="H252" s="54">
        <f t="shared" si="23"/>
        <v>2074288</v>
      </c>
      <c r="I252" s="54">
        <v>1972072.38</v>
      </c>
      <c r="J252" s="54"/>
      <c r="K252" s="54"/>
      <c r="L252" s="54"/>
      <c r="M252" s="55">
        <f t="shared" si="20"/>
        <v>1972072.38</v>
      </c>
      <c r="N252" s="48">
        <f>M252/H252</f>
        <v>0.9507225515453976</v>
      </c>
    </row>
    <row r="253" spans="1:14" ht="90.75" customHeight="1">
      <c r="A253" s="2"/>
      <c r="B253" s="91"/>
      <c r="C253" s="12" t="s">
        <v>236</v>
      </c>
      <c r="D253" s="54"/>
      <c r="E253" s="54"/>
      <c r="F253" s="54"/>
      <c r="G253" s="54"/>
      <c r="H253" s="54">
        <f t="shared" si="23"/>
        <v>0</v>
      </c>
      <c r="I253" s="54">
        <v>167</v>
      </c>
      <c r="J253" s="54"/>
      <c r="K253" s="54"/>
      <c r="L253" s="54"/>
      <c r="M253" s="55">
        <f t="shared" si="20"/>
        <v>167</v>
      </c>
      <c r="N253" s="48"/>
    </row>
    <row r="254" spans="1:14" ht="15" customHeight="1">
      <c r="A254" s="2"/>
      <c r="B254" s="91"/>
      <c r="C254" s="16" t="s">
        <v>19</v>
      </c>
      <c r="D254" s="54">
        <v>450</v>
      </c>
      <c r="E254" s="54"/>
      <c r="F254" s="54"/>
      <c r="G254" s="54"/>
      <c r="H254" s="54">
        <f t="shared" si="23"/>
        <v>450</v>
      </c>
      <c r="I254" s="59">
        <v>459.59</v>
      </c>
      <c r="J254" s="54"/>
      <c r="K254" s="54"/>
      <c r="L254" s="54"/>
      <c r="M254" s="55">
        <f t="shared" si="20"/>
        <v>459.59</v>
      </c>
      <c r="N254" s="48">
        <f>M254/H254</f>
        <v>1.021311111111111</v>
      </c>
    </row>
    <row r="255" spans="1:14" ht="15" customHeight="1">
      <c r="A255" s="2"/>
      <c r="B255" s="91"/>
      <c r="C255" s="16" t="s">
        <v>215</v>
      </c>
      <c r="D255" s="54"/>
      <c r="E255" s="54"/>
      <c r="F255" s="54"/>
      <c r="G255" s="54"/>
      <c r="H255" s="54">
        <f t="shared" si="23"/>
        <v>0</v>
      </c>
      <c r="I255" s="59">
        <v>50.37</v>
      </c>
      <c r="J255" s="54"/>
      <c r="K255" s="54"/>
      <c r="L255" s="54"/>
      <c r="M255" s="55">
        <f t="shared" si="20"/>
        <v>50.37</v>
      </c>
      <c r="N255" s="48"/>
    </row>
    <row r="256" spans="1:14" ht="15" customHeight="1">
      <c r="A256" s="2"/>
      <c r="B256" s="91"/>
      <c r="C256" s="16" t="s">
        <v>309</v>
      </c>
      <c r="D256" s="54"/>
      <c r="E256" s="54"/>
      <c r="F256" s="54"/>
      <c r="G256" s="54"/>
      <c r="H256" s="54">
        <f t="shared" si="23"/>
        <v>0</v>
      </c>
      <c r="I256" s="54">
        <v>8.89</v>
      </c>
      <c r="J256" s="54"/>
      <c r="K256" s="54"/>
      <c r="L256" s="54"/>
      <c r="M256" s="55">
        <f t="shared" si="20"/>
        <v>8.89</v>
      </c>
      <c r="N256" s="48"/>
    </row>
    <row r="257" spans="1:14" ht="23.25" customHeight="1">
      <c r="A257" s="2"/>
      <c r="B257" s="91"/>
      <c r="C257" s="12" t="s">
        <v>20</v>
      </c>
      <c r="D257" s="54"/>
      <c r="E257" s="54"/>
      <c r="F257" s="54"/>
      <c r="G257" s="54"/>
      <c r="H257" s="54">
        <f t="shared" si="23"/>
        <v>0</v>
      </c>
      <c r="I257" s="54">
        <v>6547.28</v>
      </c>
      <c r="J257" s="54"/>
      <c r="K257" s="54"/>
      <c r="L257" s="54"/>
      <c r="M257" s="55">
        <f t="shared" si="20"/>
        <v>6547.28</v>
      </c>
      <c r="N257" s="48"/>
    </row>
    <row r="258" spans="1:14" ht="88.5" customHeight="1">
      <c r="A258" s="2"/>
      <c r="B258" s="95"/>
      <c r="C258" s="16" t="s">
        <v>10</v>
      </c>
      <c r="D258" s="54">
        <v>822362</v>
      </c>
      <c r="E258" s="54"/>
      <c r="F258" s="54"/>
      <c r="G258" s="54"/>
      <c r="H258" s="54">
        <f t="shared" si="23"/>
        <v>822362</v>
      </c>
      <c r="I258" s="54"/>
      <c r="J258" s="54"/>
      <c r="K258" s="54"/>
      <c r="L258" s="54"/>
      <c r="M258" s="55">
        <f t="shared" si="20"/>
        <v>0</v>
      </c>
      <c r="N258" s="48">
        <f>M258/H258</f>
        <v>0</v>
      </c>
    </row>
    <row r="259" spans="1:14" ht="58.5" customHeight="1">
      <c r="A259" s="2"/>
      <c r="B259" s="23"/>
      <c r="C259" s="16" t="s">
        <v>159</v>
      </c>
      <c r="D259" s="54">
        <v>9654</v>
      </c>
      <c r="E259" s="54"/>
      <c r="F259" s="54"/>
      <c r="G259" s="54"/>
      <c r="H259" s="54">
        <f t="shared" si="23"/>
        <v>9654</v>
      </c>
      <c r="I259" s="54">
        <v>9654</v>
      </c>
      <c r="J259" s="54"/>
      <c r="K259" s="54"/>
      <c r="L259" s="54"/>
      <c r="M259" s="55">
        <f t="shared" si="20"/>
        <v>9654</v>
      </c>
      <c r="N259" s="48">
        <f>M259/H259</f>
        <v>1</v>
      </c>
    </row>
    <row r="260" spans="1:14" ht="58.5" customHeight="1">
      <c r="A260" s="2"/>
      <c r="B260" s="23"/>
      <c r="C260" s="11" t="s">
        <v>22</v>
      </c>
      <c r="D260" s="54"/>
      <c r="E260" s="54"/>
      <c r="F260" s="54"/>
      <c r="G260" s="54"/>
      <c r="H260" s="54">
        <f t="shared" si="23"/>
        <v>0</v>
      </c>
      <c r="I260" s="54"/>
      <c r="J260" s="54">
        <v>2846</v>
      </c>
      <c r="K260" s="54"/>
      <c r="L260" s="54"/>
      <c r="M260" s="55">
        <f aca="true" t="shared" si="24" ref="M260:M321">SUM(I260:L260)</f>
        <v>2846</v>
      </c>
      <c r="N260" s="48"/>
    </row>
    <row r="261" spans="1:14" ht="58.5" customHeight="1">
      <c r="A261" s="2"/>
      <c r="B261" s="23"/>
      <c r="C261" s="11" t="s">
        <v>315</v>
      </c>
      <c r="D261" s="54"/>
      <c r="E261" s="54"/>
      <c r="F261" s="54"/>
      <c r="G261" s="54"/>
      <c r="H261" s="54">
        <f t="shared" si="23"/>
        <v>0</v>
      </c>
      <c r="I261" s="54">
        <v>11537.86</v>
      </c>
      <c r="J261" s="54"/>
      <c r="K261" s="54"/>
      <c r="L261" s="54"/>
      <c r="M261" s="55">
        <f t="shared" si="24"/>
        <v>11537.86</v>
      </c>
      <c r="N261" s="48"/>
    </row>
    <row r="262" spans="1:14" ht="77.25" customHeight="1">
      <c r="A262" s="2"/>
      <c r="B262" s="23"/>
      <c r="C262" s="16" t="s">
        <v>54</v>
      </c>
      <c r="D262" s="54">
        <v>9344</v>
      </c>
      <c r="E262" s="54"/>
      <c r="F262" s="54"/>
      <c r="G262" s="54"/>
      <c r="H262" s="54">
        <f t="shared" si="23"/>
        <v>9344</v>
      </c>
      <c r="I262" s="54">
        <v>9335.92</v>
      </c>
      <c r="J262" s="54"/>
      <c r="K262" s="54"/>
      <c r="L262" s="54"/>
      <c r="M262" s="55">
        <f t="shared" si="24"/>
        <v>9335.92</v>
      </c>
      <c r="N262" s="48">
        <f>M262/H262</f>
        <v>0.9991352739726027</v>
      </c>
    </row>
    <row r="263" spans="1:14" ht="80.25" customHeight="1">
      <c r="A263" s="2"/>
      <c r="B263" s="23"/>
      <c r="C263" s="11" t="s">
        <v>23</v>
      </c>
      <c r="D263" s="54"/>
      <c r="E263" s="54"/>
      <c r="F263" s="54"/>
      <c r="G263" s="54"/>
      <c r="H263" s="54">
        <f t="shared" si="23"/>
        <v>0</v>
      </c>
      <c r="I263" s="54">
        <v>7067.06</v>
      </c>
      <c r="J263" s="54"/>
      <c r="K263" s="54"/>
      <c r="L263" s="54"/>
      <c r="M263" s="55">
        <f t="shared" si="24"/>
        <v>7067.06</v>
      </c>
      <c r="N263" s="48"/>
    </row>
    <row r="264" spans="1:14" ht="78" customHeight="1">
      <c r="A264" s="2"/>
      <c r="B264" s="23"/>
      <c r="C264" s="11" t="s">
        <v>310</v>
      </c>
      <c r="D264" s="54"/>
      <c r="E264" s="54"/>
      <c r="F264" s="54"/>
      <c r="G264" s="54"/>
      <c r="H264" s="54">
        <f t="shared" si="23"/>
        <v>0</v>
      </c>
      <c r="I264" s="54">
        <v>1247.13</v>
      </c>
      <c r="J264" s="54"/>
      <c r="K264" s="54"/>
      <c r="L264" s="54"/>
      <c r="M264" s="55">
        <f t="shared" si="24"/>
        <v>1247.13</v>
      </c>
      <c r="N264" s="48"/>
    </row>
    <row r="265" spans="1:14" ht="99.75" customHeight="1">
      <c r="A265" s="2"/>
      <c r="B265" s="23"/>
      <c r="C265" s="16" t="s">
        <v>218</v>
      </c>
      <c r="D265" s="54"/>
      <c r="E265" s="54"/>
      <c r="F265" s="54"/>
      <c r="G265" s="54"/>
      <c r="H265" s="54">
        <f t="shared" si="23"/>
        <v>0</v>
      </c>
      <c r="I265" s="54">
        <v>67538.09</v>
      </c>
      <c r="J265" s="54"/>
      <c r="K265" s="54"/>
      <c r="L265" s="54"/>
      <c r="M265" s="55">
        <f t="shared" si="24"/>
        <v>67538.09</v>
      </c>
      <c r="N265" s="48"/>
    </row>
    <row r="266" spans="1:14" ht="90" customHeight="1">
      <c r="A266" s="2"/>
      <c r="B266" s="2"/>
      <c r="C266" s="16" t="s">
        <v>27</v>
      </c>
      <c r="D266" s="54">
        <v>2039091</v>
      </c>
      <c r="E266" s="54"/>
      <c r="F266" s="54"/>
      <c r="G266" s="54"/>
      <c r="H266" s="54">
        <f t="shared" si="23"/>
        <v>2039091</v>
      </c>
      <c r="I266" s="54"/>
      <c r="J266" s="54"/>
      <c r="K266" s="54"/>
      <c r="L266" s="54"/>
      <c r="M266" s="55">
        <f t="shared" si="24"/>
        <v>0</v>
      </c>
      <c r="N266" s="48">
        <f>M266/H266</f>
        <v>0</v>
      </c>
    </row>
    <row r="267" spans="1:14" ht="11.25">
      <c r="A267" s="2"/>
      <c r="B267" s="3" t="s">
        <v>133</v>
      </c>
      <c r="C267" s="17"/>
      <c r="D267" s="56">
        <f>SUM(D252:D266)</f>
        <v>4955189</v>
      </c>
      <c r="E267" s="56">
        <f>SUM(E252:E266)</f>
        <v>0</v>
      </c>
      <c r="F267" s="56">
        <f>SUM(F252:F266)</f>
        <v>0</v>
      </c>
      <c r="G267" s="56">
        <f>SUM(G252:G266)</f>
        <v>0</v>
      </c>
      <c r="H267" s="56">
        <f t="shared" si="23"/>
        <v>4955189</v>
      </c>
      <c r="I267" s="56">
        <f>SUM(I252:I266)</f>
        <v>2085685.57</v>
      </c>
      <c r="J267" s="56">
        <f>SUM(J252:J266)</f>
        <v>2846</v>
      </c>
      <c r="K267" s="56">
        <f>SUM(K252:K266)</f>
        <v>0</v>
      </c>
      <c r="L267" s="56">
        <f>SUM(L252:L266)</f>
        <v>0</v>
      </c>
      <c r="M267" s="56">
        <f t="shared" si="24"/>
        <v>2088531.57</v>
      </c>
      <c r="N267" s="50">
        <f>M267/H267</f>
        <v>0.4214837355346083</v>
      </c>
    </row>
    <row r="268" spans="1:14" ht="11.25">
      <c r="A268" s="4" t="s">
        <v>134</v>
      </c>
      <c r="B268" s="5"/>
      <c r="C268" s="9"/>
      <c r="D268" s="57">
        <f>SUM(D267,D236,D227,D244,D221,D242,D247,D251,D212,D202,D193,D240,D199)</f>
        <v>15987447</v>
      </c>
      <c r="E268" s="57">
        <f>SUM(E267,E236,E227,E244,E221,E242,E247,E251,E212,E202,E193,E240,E199)</f>
        <v>215160</v>
      </c>
      <c r="F268" s="57">
        <f>SUM(F267,F236,F227,F244,F221,F242,F247,F251,F212,F202,F193,F240,F199)</f>
        <v>0</v>
      </c>
      <c r="G268" s="57">
        <f>SUM(G267,G236,G227,G244,G221,G242,G247,G251,G212,G202,G193,G240,G199)</f>
        <v>0</v>
      </c>
      <c r="H268" s="57">
        <f t="shared" si="23"/>
        <v>16202607</v>
      </c>
      <c r="I268" s="57">
        <f>SUM(I267,I236,I227,I221,I244,I242,I247,I251,I212,I202,I193,I240,I199)</f>
        <v>13001923.809999999</v>
      </c>
      <c r="J268" s="57">
        <f>SUM(J267,J236,J227,J221,J244,J242,J247,J251,J212,J202,J193,J240,J199)</f>
        <v>451116.85</v>
      </c>
      <c r="K268" s="57">
        <f>SUM(K267,K236,K227,K221,K244,K242,K247,K251,K212,K202,K193,K240,K199)</f>
        <v>0</v>
      </c>
      <c r="L268" s="57">
        <f>SUM(L267,L236,L227,L221,L244,L242,L247,L251,L212,L202,L193,L240,L199)</f>
        <v>0</v>
      </c>
      <c r="M268" s="57">
        <f t="shared" si="24"/>
        <v>13453040.659999998</v>
      </c>
      <c r="N268" s="52">
        <f>M268/H268</f>
        <v>0.830300991686091</v>
      </c>
    </row>
    <row r="269" spans="1:14" ht="90" customHeight="1">
      <c r="A269" s="99" t="s">
        <v>135</v>
      </c>
      <c r="B269" s="90" t="s">
        <v>316</v>
      </c>
      <c r="C269" s="12" t="s">
        <v>236</v>
      </c>
      <c r="D269" s="54"/>
      <c r="E269" s="54"/>
      <c r="F269" s="54"/>
      <c r="G269" s="54"/>
      <c r="H269" s="54">
        <f t="shared" si="23"/>
        <v>0</v>
      </c>
      <c r="I269" s="54">
        <v>1020</v>
      </c>
      <c r="J269" s="54"/>
      <c r="K269" s="54"/>
      <c r="L269" s="54"/>
      <c r="M269" s="55">
        <f t="shared" si="24"/>
        <v>1020</v>
      </c>
      <c r="N269" s="48"/>
    </row>
    <row r="270" spans="1:14" ht="12.75" customHeight="1">
      <c r="A270" s="93"/>
      <c r="B270" s="92"/>
      <c r="C270" s="16" t="s">
        <v>19</v>
      </c>
      <c r="D270" s="54"/>
      <c r="E270" s="54"/>
      <c r="F270" s="54"/>
      <c r="G270" s="54"/>
      <c r="H270" s="54">
        <f t="shared" si="23"/>
        <v>0</v>
      </c>
      <c r="I270" s="54">
        <v>295.28</v>
      </c>
      <c r="J270" s="54"/>
      <c r="K270" s="54"/>
      <c r="L270" s="54"/>
      <c r="M270" s="55">
        <f t="shared" si="24"/>
        <v>295.28</v>
      </c>
      <c r="N270" s="48"/>
    </row>
    <row r="271" spans="1:14" ht="11.25">
      <c r="A271" s="93"/>
      <c r="B271" s="3" t="s">
        <v>317</v>
      </c>
      <c r="C271" s="14"/>
      <c r="D271" s="56">
        <f>SUM(D269:D270)</f>
        <v>0</v>
      </c>
      <c r="E271" s="56">
        <f>SUM(E269:E270)</f>
        <v>0</v>
      </c>
      <c r="F271" s="56">
        <f>SUM(F269:F270)</f>
        <v>0</v>
      </c>
      <c r="G271" s="56">
        <f>SUM(G269:G270)</f>
        <v>0</v>
      </c>
      <c r="H271" s="56">
        <f t="shared" si="23"/>
        <v>0</v>
      </c>
      <c r="I271" s="56">
        <f>SUM(I269:I270)</f>
        <v>1315.28</v>
      </c>
      <c r="J271" s="56">
        <f>SUM(J269:J270)</f>
        <v>0</v>
      </c>
      <c r="K271" s="56">
        <f>SUM(K269:K270)</f>
        <v>0</v>
      </c>
      <c r="L271" s="56">
        <f>SUM(L269:L270)</f>
        <v>0</v>
      </c>
      <c r="M271" s="56">
        <f t="shared" si="24"/>
        <v>1315.28</v>
      </c>
      <c r="N271" s="51"/>
    </row>
    <row r="272" spans="1:14" ht="36.75" customHeight="1">
      <c r="A272" s="93"/>
      <c r="B272" s="1" t="s">
        <v>136</v>
      </c>
      <c r="C272" s="12" t="s">
        <v>137</v>
      </c>
      <c r="D272" s="54">
        <v>475000</v>
      </c>
      <c r="E272" s="54"/>
      <c r="F272" s="54"/>
      <c r="G272" s="54"/>
      <c r="H272" s="54">
        <f t="shared" si="23"/>
        <v>475000</v>
      </c>
      <c r="I272" s="54">
        <v>238666.55</v>
      </c>
      <c r="J272" s="54"/>
      <c r="K272" s="54"/>
      <c r="L272" s="54"/>
      <c r="M272" s="55">
        <f t="shared" si="24"/>
        <v>238666.55</v>
      </c>
      <c r="N272" s="48">
        <f>M272/H272</f>
        <v>0.502455894736842</v>
      </c>
    </row>
    <row r="273" spans="1:14" ht="11.25">
      <c r="A273" s="93"/>
      <c r="B273" s="3" t="s">
        <v>138</v>
      </c>
      <c r="C273" s="14"/>
      <c r="D273" s="56">
        <f>SUM(D272)</f>
        <v>475000</v>
      </c>
      <c r="E273" s="56">
        <f>SUM(E272)</f>
        <v>0</v>
      </c>
      <c r="F273" s="56">
        <f>SUM(F272)</f>
        <v>0</v>
      </c>
      <c r="G273" s="56">
        <f>SUM(G272)</f>
        <v>0</v>
      </c>
      <c r="H273" s="56">
        <f t="shared" si="23"/>
        <v>475000</v>
      </c>
      <c r="I273" s="56">
        <f>SUM(I272)</f>
        <v>238666.55</v>
      </c>
      <c r="J273" s="56">
        <f>SUM(J272)</f>
        <v>0</v>
      </c>
      <c r="K273" s="56">
        <f>SUM(K272)</f>
        <v>0</v>
      </c>
      <c r="L273" s="56">
        <f>SUM(L272)</f>
        <v>0</v>
      </c>
      <c r="M273" s="56">
        <f t="shared" si="24"/>
        <v>238666.55</v>
      </c>
      <c r="N273" s="51">
        <f>M273/H273</f>
        <v>0.502455894736842</v>
      </c>
    </row>
    <row r="274" spans="1:14" ht="102.75" customHeight="1">
      <c r="A274" s="94"/>
      <c r="B274" s="1" t="s">
        <v>237</v>
      </c>
      <c r="C274" s="16" t="s">
        <v>218</v>
      </c>
      <c r="D274" s="54"/>
      <c r="E274" s="54"/>
      <c r="F274" s="54"/>
      <c r="G274" s="54"/>
      <c r="H274" s="54">
        <f t="shared" si="23"/>
        <v>0</v>
      </c>
      <c r="I274" s="54">
        <v>13607.28</v>
      </c>
      <c r="J274" s="54"/>
      <c r="K274" s="54"/>
      <c r="L274" s="54"/>
      <c r="M274" s="55">
        <f t="shared" si="24"/>
        <v>13607.28</v>
      </c>
      <c r="N274" s="48"/>
    </row>
    <row r="275" spans="1:14" ht="11.25">
      <c r="A275" s="2"/>
      <c r="B275" s="3" t="s">
        <v>238</v>
      </c>
      <c r="C275" s="19"/>
      <c r="D275" s="56">
        <f>SUM(D274)</f>
        <v>0</v>
      </c>
      <c r="E275" s="56">
        <f>SUM(E274)</f>
        <v>0</v>
      </c>
      <c r="F275" s="56">
        <f>SUM(F274)</f>
        <v>0</v>
      </c>
      <c r="G275" s="56">
        <f>SUM(G274)</f>
        <v>0</v>
      </c>
      <c r="H275" s="56">
        <f t="shared" si="23"/>
        <v>0</v>
      </c>
      <c r="I275" s="56">
        <f>SUM(I274)</f>
        <v>13607.28</v>
      </c>
      <c r="J275" s="56">
        <f>SUM(J274)</f>
        <v>0</v>
      </c>
      <c r="K275" s="56">
        <f>SUM(K274)</f>
        <v>0</v>
      </c>
      <c r="L275" s="56">
        <f>SUM(L274)</f>
        <v>0</v>
      </c>
      <c r="M275" s="56">
        <f t="shared" si="24"/>
        <v>13607.28</v>
      </c>
      <c r="N275" s="51"/>
    </row>
    <row r="276" spans="1:14" ht="103.5" customHeight="1">
      <c r="A276" s="2"/>
      <c r="B276" s="1" t="s">
        <v>239</v>
      </c>
      <c r="C276" s="16" t="s">
        <v>218</v>
      </c>
      <c r="D276" s="54"/>
      <c r="E276" s="54"/>
      <c r="F276" s="54"/>
      <c r="G276" s="54"/>
      <c r="H276" s="54">
        <f t="shared" si="23"/>
        <v>0</v>
      </c>
      <c r="I276" s="54">
        <v>10776.51</v>
      </c>
      <c r="J276" s="54"/>
      <c r="K276" s="54"/>
      <c r="L276" s="54"/>
      <c r="M276" s="55">
        <f t="shared" si="24"/>
        <v>10776.51</v>
      </c>
      <c r="N276" s="48"/>
    </row>
    <row r="277" spans="1:14" ht="11.25">
      <c r="A277" s="2"/>
      <c r="B277" s="3" t="s">
        <v>240</v>
      </c>
      <c r="C277" s="19"/>
      <c r="D277" s="56">
        <f>SUM(D276)</f>
        <v>0</v>
      </c>
      <c r="E277" s="56">
        <f>SUM(E276)</f>
        <v>0</v>
      </c>
      <c r="F277" s="56">
        <f>SUM(F276)</f>
        <v>0</v>
      </c>
      <c r="G277" s="56">
        <f>SUM(G276)</f>
        <v>0</v>
      </c>
      <c r="H277" s="56">
        <f t="shared" si="23"/>
        <v>0</v>
      </c>
      <c r="I277" s="56">
        <f>SUM(I276)</f>
        <v>10776.51</v>
      </c>
      <c r="J277" s="56">
        <f>SUM(J276)</f>
        <v>0</v>
      </c>
      <c r="K277" s="56">
        <f>SUM(K276)</f>
        <v>0</v>
      </c>
      <c r="L277" s="56">
        <f>SUM(L276)</f>
        <v>0</v>
      </c>
      <c r="M277" s="56">
        <f t="shared" si="24"/>
        <v>10776.51</v>
      </c>
      <c r="N277" s="51"/>
    </row>
    <row r="278" spans="1:14" ht="123.75">
      <c r="A278" s="2"/>
      <c r="B278" s="1" t="s">
        <v>139</v>
      </c>
      <c r="C278" s="15" t="s">
        <v>37</v>
      </c>
      <c r="D278" s="54"/>
      <c r="E278" s="54"/>
      <c r="F278" s="54"/>
      <c r="G278" s="54">
        <f>4036690-5468-6800+26860</f>
        <v>4051282</v>
      </c>
      <c r="H278" s="54">
        <f t="shared" si="23"/>
        <v>4051282</v>
      </c>
      <c r="I278" s="54"/>
      <c r="J278" s="54"/>
      <c r="K278" s="54"/>
      <c r="L278" s="54">
        <v>4051202.8</v>
      </c>
      <c r="M278" s="55">
        <f t="shared" si="24"/>
        <v>4051202.8</v>
      </c>
      <c r="N278" s="48">
        <f>M278/H278</f>
        <v>0.9999804506326638</v>
      </c>
    </row>
    <row r="279" spans="1:14" ht="11.25">
      <c r="A279" s="2"/>
      <c r="B279" s="3" t="s">
        <v>140</v>
      </c>
      <c r="C279" s="19"/>
      <c r="D279" s="56">
        <f>SUM(D278)</f>
        <v>0</v>
      </c>
      <c r="E279" s="56">
        <f>SUM(E278)</f>
        <v>0</v>
      </c>
      <c r="F279" s="56">
        <f>SUM(F278)</f>
        <v>0</v>
      </c>
      <c r="G279" s="56">
        <f>SUM(G278)</f>
        <v>4051282</v>
      </c>
      <c r="H279" s="56">
        <f t="shared" si="23"/>
        <v>4051282</v>
      </c>
      <c r="I279" s="56">
        <f>SUM(I278)</f>
        <v>0</v>
      </c>
      <c r="J279" s="56">
        <f>SUM(J278)</f>
        <v>0</v>
      </c>
      <c r="K279" s="56">
        <f>SUM(K278)</f>
        <v>0</v>
      </c>
      <c r="L279" s="56">
        <f>SUM(L278)</f>
        <v>4051202.8</v>
      </c>
      <c r="M279" s="56">
        <f t="shared" si="24"/>
        <v>4051202.8</v>
      </c>
      <c r="N279" s="51">
        <f>M279/H279</f>
        <v>0.9999804506326638</v>
      </c>
    </row>
    <row r="280" spans="1:14" ht="16.5" customHeight="1">
      <c r="A280" s="2"/>
      <c r="B280" s="90" t="s">
        <v>241</v>
      </c>
      <c r="C280" s="15" t="s">
        <v>16</v>
      </c>
      <c r="D280" s="54"/>
      <c r="E280" s="54"/>
      <c r="F280" s="54"/>
      <c r="G280" s="54"/>
      <c r="H280" s="54">
        <f t="shared" si="23"/>
        <v>0</v>
      </c>
      <c r="I280" s="54">
        <v>104.4</v>
      </c>
      <c r="J280" s="54"/>
      <c r="K280" s="54"/>
      <c r="L280" s="54"/>
      <c r="M280" s="55">
        <f t="shared" si="24"/>
        <v>104.4</v>
      </c>
      <c r="N280" s="48"/>
    </row>
    <row r="281" spans="1:14" ht="14.25" customHeight="1">
      <c r="A281" s="2"/>
      <c r="B281" s="92"/>
      <c r="C281" s="37" t="s">
        <v>18</v>
      </c>
      <c r="D281" s="54"/>
      <c r="E281" s="54"/>
      <c r="F281" s="54"/>
      <c r="G281" s="54"/>
      <c r="H281" s="54">
        <f t="shared" si="23"/>
        <v>0</v>
      </c>
      <c r="I281" s="54">
        <v>2953.24</v>
      </c>
      <c r="J281" s="54"/>
      <c r="K281" s="54"/>
      <c r="L281" s="54"/>
      <c r="M281" s="55">
        <f t="shared" si="24"/>
        <v>2953.24</v>
      </c>
      <c r="N281" s="48"/>
    </row>
    <row r="282" spans="1:14" ht="11.25">
      <c r="A282" s="2"/>
      <c r="B282" s="3" t="s">
        <v>242</v>
      </c>
      <c r="C282" s="13"/>
      <c r="D282" s="56">
        <f>SUM(D280:D281)</f>
        <v>0</v>
      </c>
      <c r="E282" s="56">
        <f>SUM(E280:E281)</f>
        <v>0</v>
      </c>
      <c r="F282" s="56">
        <f>SUM(F280:F281)</f>
        <v>0</v>
      </c>
      <c r="G282" s="56">
        <f>SUM(G280:G281)</f>
        <v>0</v>
      </c>
      <c r="H282" s="56">
        <f t="shared" si="23"/>
        <v>0</v>
      </c>
      <c r="I282" s="56">
        <f>SUM(I280:I281)</f>
        <v>3057.64</v>
      </c>
      <c r="J282" s="56">
        <f>SUM(J280:J281)</f>
        <v>0</v>
      </c>
      <c r="K282" s="56">
        <f>SUM(K280:K281)</f>
        <v>0</v>
      </c>
      <c r="L282" s="56">
        <f>SUM(L280:L281)</f>
        <v>0</v>
      </c>
      <c r="M282" s="56">
        <f t="shared" si="24"/>
        <v>3057.64</v>
      </c>
      <c r="N282" s="51"/>
    </row>
    <row r="283" spans="1:14" s="29" customFormat="1" ht="90" customHeight="1">
      <c r="A283" s="28"/>
      <c r="B283" s="90" t="s">
        <v>141</v>
      </c>
      <c r="C283" s="12" t="s">
        <v>236</v>
      </c>
      <c r="D283" s="58"/>
      <c r="E283" s="58"/>
      <c r="F283" s="58"/>
      <c r="G283" s="58"/>
      <c r="H283" s="54">
        <f aca="true" t="shared" si="25" ref="H283:H314">SUM(D283:G283)</f>
        <v>0</v>
      </c>
      <c r="I283" s="54">
        <v>12.93</v>
      </c>
      <c r="J283" s="58"/>
      <c r="K283" s="58"/>
      <c r="L283" s="58"/>
      <c r="M283" s="55">
        <f t="shared" si="24"/>
        <v>12.93</v>
      </c>
      <c r="N283" s="48"/>
    </row>
    <row r="284" spans="1:14" ht="80.25" customHeight="1">
      <c r="A284" s="2"/>
      <c r="B284" s="91"/>
      <c r="C284" s="16" t="s">
        <v>59</v>
      </c>
      <c r="D284" s="54"/>
      <c r="E284" s="54"/>
      <c r="F284" s="54">
        <v>24280</v>
      </c>
      <c r="G284" s="54"/>
      <c r="H284" s="54">
        <f t="shared" si="25"/>
        <v>24280</v>
      </c>
      <c r="I284" s="54"/>
      <c r="J284" s="54"/>
      <c r="K284" s="54">
        <v>22641.57</v>
      </c>
      <c r="L284" s="54"/>
      <c r="M284" s="55">
        <f t="shared" si="24"/>
        <v>22641.57</v>
      </c>
      <c r="N284" s="48">
        <f>M284/H284</f>
        <v>0.9325193574958813</v>
      </c>
    </row>
    <row r="285" spans="1:14" ht="102" customHeight="1">
      <c r="A285" s="2"/>
      <c r="B285" s="92"/>
      <c r="C285" s="16" t="s">
        <v>218</v>
      </c>
      <c r="D285" s="54"/>
      <c r="E285" s="54"/>
      <c r="F285" s="54"/>
      <c r="G285" s="54"/>
      <c r="H285" s="54">
        <f t="shared" si="25"/>
        <v>0</v>
      </c>
      <c r="I285" s="54">
        <v>19580.68</v>
      </c>
      <c r="J285" s="54"/>
      <c r="K285" s="54"/>
      <c r="L285" s="54"/>
      <c r="M285" s="55">
        <f t="shared" si="24"/>
        <v>19580.68</v>
      </c>
      <c r="N285" s="48"/>
    </row>
    <row r="286" spans="1:14" ht="11.25">
      <c r="A286" s="2"/>
      <c r="B286" s="3" t="s">
        <v>142</v>
      </c>
      <c r="C286" s="17"/>
      <c r="D286" s="56">
        <f>SUM(D283:D285)</f>
        <v>0</v>
      </c>
      <c r="E286" s="56">
        <f>SUM(E283:E285)</f>
        <v>0</v>
      </c>
      <c r="F286" s="56">
        <f>SUM(F283:F285)</f>
        <v>24280</v>
      </c>
      <c r="G286" s="56">
        <f>SUM(G283:G285)</f>
        <v>0</v>
      </c>
      <c r="H286" s="56">
        <f t="shared" si="25"/>
        <v>24280</v>
      </c>
      <c r="I286" s="56">
        <f>SUM(I283:I285)</f>
        <v>19593.61</v>
      </c>
      <c r="J286" s="56">
        <f>SUM(J283:J285)</f>
        <v>0</v>
      </c>
      <c r="K286" s="56">
        <f>SUM(K283:K285)</f>
        <v>22641.57</v>
      </c>
      <c r="L286" s="56">
        <f>SUM(L283:L285)</f>
        <v>0</v>
      </c>
      <c r="M286" s="56">
        <f t="shared" si="24"/>
        <v>42235.18</v>
      </c>
      <c r="N286" s="50">
        <f>M286/H286</f>
        <v>1.739504942339374</v>
      </c>
    </row>
    <row r="287" spans="1:14" ht="11.25">
      <c r="A287" s="4" t="s">
        <v>143</v>
      </c>
      <c r="B287" s="5"/>
      <c r="C287" s="9"/>
      <c r="D287" s="57">
        <f>SUM(D286,D279,D271,D277,D282,D275,D273)</f>
        <v>475000</v>
      </c>
      <c r="E287" s="57">
        <f>SUM(E286,E279,E271,E277,E282,E275,E273)</f>
        <v>0</v>
      </c>
      <c r="F287" s="57">
        <f>SUM(F286,F279,F271,F277,F282,F275,F273)</f>
        <v>24280</v>
      </c>
      <c r="G287" s="57">
        <f>SUM(G286,G279,G271,G277,G282,G275,G273)</f>
        <v>4051282</v>
      </c>
      <c r="H287" s="57">
        <f t="shared" si="25"/>
        <v>4550562</v>
      </c>
      <c r="I287" s="57">
        <f>SUM(I286,I279,I282,I271,I277,I275,I273)</f>
        <v>287016.87</v>
      </c>
      <c r="J287" s="57">
        <f>SUM(J286,J279,J282,J271,J277,J275,J273)</f>
        <v>0</v>
      </c>
      <c r="K287" s="57">
        <f>SUM(K286,K279,K282,K271,K277,K275,K273)</f>
        <v>22641.57</v>
      </c>
      <c r="L287" s="57">
        <f>SUM(L286,L279,L282,L271,L277,L275,L273)</f>
        <v>4051202.8</v>
      </c>
      <c r="M287" s="57">
        <f t="shared" si="24"/>
        <v>4360861.24</v>
      </c>
      <c r="N287" s="52">
        <f>M287/H287</f>
        <v>0.9583126743465973</v>
      </c>
    </row>
    <row r="288" spans="1:14" s="29" customFormat="1" ht="78.75" customHeight="1">
      <c r="A288" s="89" t="s">
        <v>144</v>
      </c>
      <c r="B288" s="101" t="s">
        <v>145</v>
      </c>
      <c r="C288" s="15" t="s">
        <v>273</v>
      </c>
      <c r="D288" s="60"/>
      <c r="E288" s="60"/>
      <c r="F288" s="60"/>
      <c r="G288" s="60"/>
      <c r="H288" s="54">
        <f t="shared" si="25"/>
        <v>0</v>
      </c>
      <c r="I288" s="54">
        <v>16429.93</v>
      </c>
      <c r="J288" s="60"/>
      <c r="K288" s="60"/>
      <c r="L288" s="60"/>
      <c r="M288" s="55">
        <f t="shared" si="24"/>
        <v>16429.93</v>
      </c>
      <c r="N288" s="48"/>
    </row>
    <row r="289" spans="1:14" ht="89.25" customHeight="1">
      <c r="A289" s="109"/>
      <c r="B289" s="111"/>
      <c r="C289" s="15" t="s">
        <v>17</v>
      </c>
      <c r="D289" s="54">
        <v>91500</v>
      </c>
      <c r="E289" s="54"/>
      <c r="F289" s="54"/>
      <c r="G289" s="54"/>
      <c r="H289" s="54">
        <f t="shared" si="25"/>
        <v>91500</v>
      </c>
      <c r="I289" s="54">
        <v>102602.36</v>
      </c>
      <c r="J289" s="54"/>
      <c r="K289" s="54"/>
      <c r="L289" s="54"/>
      <c r="M289" s="55">
        <f t="shared" si="24"/>
        <v>102602.36</v>
      </c>
      <c r="N289" s="48">
        <f aca="true" t="shared" si="26" ref="N289:N295">M289/H289</f>
        <v>1.1213372677595628</v>
      </c>
    </row>
    <row r="290" spans="1:14" ht="11.25">
      <c r="A290" s="110"/>
      <c r="B290" s="32"/>
      <c r="C290" s="12" t="s">
        <v>18</v>
      </c>
      <c r="D290" s="54"/>
      <c r="E290" s="54"/>
      <c r="F290" s="54"/>
      <c r="G290" s="54"/>
      <c r="H290" s="54">
        <f t="shared" si="25"/>
        <v>0</v>
      </c>
      <c r="I290" s="54">
        <v>234</v>
      </c>
      <c r="J290" s="54"/>
      <c r="K290" s="54"/>
      <c r="L290" s="54"/>
      <c r="M290" s="55">
        <f t="shared" si="24"/>
        <v>234</v>
      </c>
      <c r="N290" s="48"/>
    </row>
    <row r="291" spans="1:14" ht="91.5" customHeight="1">
      <c r="A291" s="32"/>
      <c r="B291" s="32"/>
      <c r="C291" s="12" t="s">
        <v>236</v>
      </c>
      <c r="D291" s="54"/>
      <c r="E291" s="54"/>
      <c r="F291" s="54"/>
      <c r="G291" s="54"/>
      <c r="H291" s="54">
        <f t="shared" si="25"/>
        <v>0</v>
      </c>
      <c r="I291" s="54">
        <v>12.63</v>
      </c>
      <c r="J291" s="54"/>
      <c r="K291" s="54"/>
      <c r="L291" s="54"/>
      <c r="M291" s="55">
        <f t="shared" si="24"/>
        <v>12.63</v>
      </c>
      <c r="N291" s="48"/>
    </row>
    <row r="292" spans="1:14" ht="11.25">
      <c r="A292" s="31"/>
      <c r="B292" s="26"/>
      <c r="C292" s="12" t="s">
        <v>19</v>
      </c>
      <c r="D292" s="54"/>
      <c r="E292" s="54"/>
      <c r="F292" s="54"/>
      <c r="G292" s="54"/>
      <c r="H292" s="54">
        <f t="shared" si="25"/>
        <v>0</v>
      </c>
      <c r="I292" s="54">
        <v>249.85</v>
      </c>
      <c r="J292" s="54"/>
      <c r="K292" s="54"/>
      <c r="L292" s="54"/>
      <c r="M292" s="55">
        <f t="shared" si="24"/>
        <v>249.85</v>
      </c>
      <c r="N292" s="48"/>
    </row>
    <row r="293" spans="1:14" ht="33.75">
      <c r="A293" s="31"/>
      <c r="B293" s="26"/>
      <c r="C293" s="70" t="s">
        <v>243</v>
      </c>
      <c r="D293" s="54">
        <v>9321</v>
      </c>
      <c r="E293" s="54"/>
      <c r="F293" s="54"/>
      <c r="G293" s="54"/>
      <c r="H293" s="54">
        <f t="shared" si="25"/>
        <v>9321</v>
      </c>
      <c r="I293" s="54">
        <v>9420.5</v>
      </c>
      <c r="J293" s="54"/>
      <c r="K293" s="54"/>
      <c r="L293" s="54"/>
      <c r="M293" s="55">
        <f t="shared" si="24"/>
        <v>9420.5</v>
      </c>
      <c r="N293" s="48">
        <f t="shared" si="26"/>
        <v>1.0106748202982512</v>
      </c>
    </row>
    <row r="294" spans="1:14" ht="22.5">
      <c r="A294" s="32"/>
      <c r="B294" s="32"/>
      <c r="C294" s="11" t="s">
        <v>20</v>
      </c>
      <c r="D294" s="54">
        <v>33000</v>
      </c>
      <c r="E294" s="54"/>
      <c r="F294" s="54"/>
      <c r="G294" s="54"/>
      <c r="H294" s="54">
        <f t="shared" si="25"/>
        <v>33000</v>
      </c>
      <c r="I294" s="54">
        <v>65059.98</v>
      </c>
      <c r="J294" s="54"/>
      <c r="K294" s="54"/>
      <c r="L294" s="54"/>
      <c r="M294" s="55">
        <f t="shared" si="24"/>
        <v>65059.98</v>
      </c>
      <c r="N294" s="48">
        <f t="shared" si="26"/>
        <v>1.9715145454545455</v>
      </c>
    </row>
    <row r="295" spans="1:14" ht="58.5" customHeight="1">
      <c r="A295" s="2"/>
      <c r="B295" s="2"/>
      <c r="C295" s="11" t="s">
        <v>146</v>
      </c>
      <c r="D295" s="54"/>
      <c r="E295" s="54">
        <v>50000</v>
      </c>
      <c r="F295" s="54"/>
      <c r="G295" s="54"/>
      <c r="H295" s="54">
        <f t="shared" si="25"/>
        <v>50000</v>
      </c>
      <c r="I295" s="54"/>
      <c r="J295" s="54">
        <v>56175.67</v>
      </c>
      <c r="K295" s="54"/>
      <c r="L295" s="54"/>
      <c r="M295" s="55">
        <f t="shared" si="24"/>
        <v>56175.67</v>
      </c>
      <c r="N295" s="48">
        <f t="shared" si="26"/>
        <v>1.1235134</v>
      </c>
    </row>
    <row r="296" spans="1:14" ht="103.5" customHeight="1">
      <c r="A296" s="2"/>
      <c r="B296" s="23"/>
      <c r="C296" s="16" t="s">
        <v>218</v>
      </c>
      <c r="D296" s="54"/>
      <c r="E296" s="54"/>
      <c r="F296" s="54"/>
      <c r="G296" s="54"/>
      <c r="H296" s="54">
        <f t="shared" si="25"/>
        <v>0</v>
      </c>
      <c r="I296" s="54">
        <v>618.73</v>
      </c>
      <c r="J296" s="54"/>
      <c r="K296" s="54"/>
      <c r="L296" s="54"/>
      <c r="M296" s="55">
        <f t="shared" si="24"/>
        <v>618.73</v>
      </c>
      <c r="N296" s="48"/>
    </row>
    <row r="297" spans="1:14" ht="11.25">
      <c r="A297" s="2"/>
      <c r="B297" s="3" t="s">
        <v>147</v>
      </c>
      <c r="C297" s="14"/>
      <c r="D297" s="56">
        <f>SUM(D288:D296)</f>
        <v>133821</v>
      </c>
      <c r="E297" s="56">
        <f>SUM(E288:E296)</f>
        <v>50000</v>
      </c>
      <c r="F297" s="56">
        <f>SUM(F288:F296)</f>
        <v>0</v>
      </c>
      <c r="G297" s="56">
        <f>SUM(G288:G296)</f>
        <v>0</v>
      </c>
      <c r="H297" s="56">
        <f t="shared" si="25"/>
        <v>183821</v>
      </c>
      <c r="I297" s="56">
        <f>SUM(I288:I296)</f>
        <v>194627.98000000004</v>
      </c>
      <c r="J297" s="56">
        <f>SUM(J288:J296)</f>
        <v>56175.67</v>
      </c>
      <c r="K297" s="56">
        <f>SUM(K288:K296)</f>
        <v>0</v>
      </c>
      <c r="L297" s="56">
        <f>SUM(L288:L296)</f>
        <v>0</v>
      </c>
      <c r="M297" s="56">
        <f t="shared" si="24"/>
        <v>250803.65000000002</v>
      </c>
      <c r="N297" s="51">
        <f>M297/H297</f>
        <v>1.3643906300150692</v>
      </c>
    </row>
    <row r="298" spans="1:14" s="29" customFormat="1" ht="14.25" customHeight="1">
      <c r="A298" s="28"/>
      <c r="B298" s="90" t="s">
        <v>148</v>
      </c>
      <c r="C298" s="15" t="s">
        <v>16</v>
      </c>
      <c r="D298" s="58"/>
      <c r="E298" s="58"/>
      <c r="F298" s="58"/>
      <c r="G298" s="58"/>
      <c r="H298" s="54">
        <f t="shared" si="25"/>
        <v>0</v>
      </c>
      <c r="I298" s="54">
        <v>124659.37</v>
      </c>
      <c r="J298" s="58"/>
      <c r="K298" s="58"/>
      <c r="L298" s="58"/>
      <c r="M298" s="55">
        <f t="shared" si="24"/>
        <v>124659.37</v>
      </c>
      <c r="N298" s="48"/>
    </row>
    <row r="299" spans="1:14" ht="14.25" customHeight="1">
      <c r="A299" s="2"/>
      <c r="B299" s="91"/>
      <c r="C299" s="12" t="s">
        <v>18</v>
      </c>
      <c r="D299" s="54">
        <v>467000</v>
      </c>
      <c r="E299" s="54"/>
      <c r="F299" s="54"/>
      <c r="G299" s="54"/>
      <c r="H299" s="54">
        <f t="shared" si="25"/>
        <v>467000</v>
      </c>
      <c r="I299" s="54">
        <v>608584.88</v>
      </c>
      <c r="J299" s="54"/>
      <c r="K299" s="54"/>
      <c r="L299" s="54"/>
      <c r="M299" s="55">
        <f t="shared" si="24"/>
        <v>608584.88</v>
      </c>
      <c r="N299" s="48">
        <f>M299/H299</f>
        <v>1.303179614561028</v>
      </c>
    </row>
    <row r="300" spans="1:14" ht="24" customHeight="1">
      <c r="A300" s="2"/>
      <c r="B300" s="91"/>
      <c r="C300" s="11" t="s">
        <v>20</v>
      </c>
      <c r="D300" s="54"/>
      <c r="E300" s="54"/>
      <c r="F300" s="54"/>
      <c r="G300" s="54"/>
      <c r="H300" s="54">
        <f t="shared" si="25"/>
        <v>0</v>
      </c>
      <c r="I300" s="54">
        <v>16116.23</v>
      </c>
      <c r="J300" s="54"/>
      <c r="K300" s="54"/>
      <c r="L300" s="54"/>
      <c r="M300" s="55">
        <f t="shared" si="24"/>
        <v>16116.23</v>
      </c>
      <c r="N300" s="48"/>
    </row>
    <row r="301" spans="1:14" ht="45" customHeight="1">
      <c r="A301" s="2"/>
      <c r="B301" s="92"/>
      <c r="C301" s="16" t="s">
        <v>149</v>
      </c>
      <c r="D301" s="54">
        <f>819468-41645-5810-18408-311</f>
        <v>753294</v>
      </c>
      <c r="E301" s="54"/>
      <c r="F301" s="54"/>
      <c r="G301" s="54"/>
      <c r="H301" s="54">
        <f t="shared" si="25"/>
        <v>753294</v>
      </c>
      <c r="I301" s="54">
        <v>753017</v>
      </c>
      <c r="J301" s="54"/>
      <c r="K301" s="54"/>
      <c r="L301" s="54"/>
      <c r="M301" s="55">
        <f t="shared" si="24"/>
        <v>753017</v>
      </c>
      <c r="N301" s="48">
        <f>M301/H301</f>
        <v>0.9996322816855039</v>
      </c>
    </row>
    <row r="302" spans="1:14" ht="11.25">
      <c r="A302" s="2"/>
      <c r="B302" s="3" t="s">
        <v>150</v>
      </c>
      <c r="C302" s="19"/>
      <c r="D302" s="56">
        <f>SUM(D298:D301)</f>
        <v>1220294</v>
      </c>
      <c r="E302" s="56">
        <f>SUM(E298:E301)</f>
        <v>0</v>
      </c>
      <c r="F302" s="56">
        <f>SUM(F298:F301)</f>
        <v>0</v>
      </c>
      <c r="G302" s="56">
        <f>SUM(G298:G301)</f>
        <v>0</v>
      </c>
      <c r="H302" s="56">
        <f t="shared" si="25"/>
        <v>1220294</v>
      </c>
      <c r="I302" s="56">
        <f>SUM(I298:I301)</f>
        <v>1502377.48</v>
      </c>
      <c r="J302" s="56">
        <f>SUM(J298:J301)</f>
        <v>0</v>
      </c>
      <c r="K302" s="56">
        <f>SUM(K298:K301)</f>
        <v>0</v>
      </c>
      <c r="L302" s="56">
        <f>SUM(L298:L301)</f>
        <v>0</v>
      </c>
      <c r="M302" s="56">
        <f t="shared" si="24"/>
        <v>1502377.48</v>
      </c>
      <c r="N302" s="51">
        <f>M302/H302</f>
        <v>1.2311602613796346</v>
      </c>
    </row>
    <row r="303" spans="1:14" ht="12.75" customHeight="1">
      <c r="A303" s="2"/>
      <c r="B303" s="90" t="s">
        <v>151</v>
      </c>
      <c r="C303" s="12" t="s">
        <v>18</v>
      </c>
      <c r="D303" s="54">
        <v>580000</v>
      </c>
      <c r="E303" s="54"/>
      <c r="F303" s="54"/>
      <c r="G303" s="54"/>
      <c r="H303" s="54">
        <f t="shared" si="25"/>
        <v>580000</v>
      </c>
      <c r="I303" s="54">
        <v>749349.62</v>
      </c>
      <c r="J303" s="54"/>
      <c r="K303" s="54"/>
      <c r="L303" s="54"/>
      <c r="M303" s="55">
        <f t="shared" si="24"/>
        <v>749349.62</v>
      </c>
      <c r="N303" s="48">
        <f>M303/H303</f>
        <v>1.291982103448276</v>
      </c>
    </row>
    <row r="304" spans="1:14" ht="24" customHeight="1">
      <c r="A304" s="2"/>
      <c r="B304" s="91"/>
      <c r="C304" s="12" t="s">
        <v>243</v>
      </c>
      <c r="D304" s="54"/>
      <c r="E304" s="54"/>
      <c r="F304" s="54"/>
      <c r="G304" s="54"/>
      <c r="H304" s="54">
        <f t="shared" si="25"/>
        <v>0</v>
      </c>
      <c r="I304" s="54">
        <v>500</v>
      </c>
      <c r="J304" s="54"/>
      <c r="K304" s="54"/>
      <c r="L304" s="54"/>
      <c r="M304" s="55">
        <f t="shared" si="24"/>
        <v>500</v>
      </c>
      <c r="N304" s="48"/>
    </row>
    <row r="305" spans="1:14" ht="24" customHeight="1">
      <c r="A305" s="2"/>
      <c r="B305" s="91"/>
      <c r="C305" s="11" t="s">
        <v>20</v>
      </c>
      <c r="D305" s="54"/>
      <c r="E305" s="54"/>
      <c r="F305" s="54"/>
      <c r="G305" s="54"/>
      <c r="H305" s="54">
        <f t="shared" si="25"/>
        <v>0</v>
      </c>
      <c r="I305" s="54">
        <v>3187.82</v>
      </c>
      <c r="J305" s="54"/>
      <c r="K305" s="54"/>
      <c r="L305" s="54"/>
      <c r="M305" s="55">
        <f t="shared" si="24"/>
        <v>3187.82</v>
      </c>
      <c r="N305" s="48"/>
    </row>
    <row r="306" spans="1:14" ht="78.75" customHeight="1">
      <c r="A306" s="2"/>
      <c r="B306" s="95"/>
      <c r="C306" s="16" t="s">
        <v>59</v>
      </c>
      <c r="D306" s="54"/>
      <c r="E306" s="54"/>
      <c r="F306" s="54">
        <f>1769040+46500</f>
        <v>1815540</v>
      </c>
      <c r="G306" s="54"/>
      <c r="H306" s="54">
        <f t="shared" si="25"/>
        <v>1815540</v>
      </c>
      <c r="I306" s="54"/>
      <c r="J306" s="54"/>
      <c r="K306" s="54">
        <v>1815452.55</v>
      </c>
      <c r="L306" s="54"/>
      <c r="M306" s="55">
        <f t="shared" si="24"/>
        <v>1815452.55</v>
      </c>
      <c r="N306" s="48">
        <f aca="true" t="shared" si="27" ref="N306:N317">M306/H306</f>
        <v>0.9999518325126409</v>
      </c>
    </row>
    <row r="307" spans="1:14" ht="56.25" customHeight="1">
      <c r="A307" s="2"/>
      <c r="B307" s="2"/>
      <c r="C307" s="21" t="s">
        <v>38</v>
      </c>
      <c r="D307" s="54">
        <v>3644</v>
      </c>
      <c r="E307" s="54"/>
      <c r="F307" s="54"/>
      <c r="G307" s="54"/>
      <c r="H307" s="54">
        <f t="shared" si="25"/>
        <v>3644</v>
      </c>
      <c r="I307" s="59">
        <v>2502.77</v>
      </c>
      <c r="J307" s="54"/>
      <c r="K307" s="54"/>
      <c r="L307" s="54"/>
      <c r="M307" s="55">
        <f t="shared" si="24"/>
        <v>2502.77</v>
      </c>
      <c r="N307" s="48">
        <f t="shared" si="27"/>
        <v>0.6868194291986828</v>
      </c>
    </row>
    <row r="308" spans="1:14" ht="11.25">
      <c r="A308" s="2"/>
      <c r="B308" s="3" t="s">
        <v>152</v>
      </c>
      <c r="C308" s="19"/>
      <c r="D308" s="56">
        <f>SUM(D303:D307)</f>
        <v>583644</v>
      </c>
      <c r="E308" s="56">
        <f>SUM(E303:E307)</f>
        <v>0</v>
      </c>
      <c r="F308" s="56">
        <f>SUM(F303:F307)</f>
        <v>1815540</v>
      </c>
      <c r="G308" s="56">
        <f>SUM(G303:G307)</f>
        <v>0</v>
      </c>
      <c r="H308" s="56">
        <f t="shared" si="25"/>
        <v>2399184</v>
      </c>
      <c r="I308" s="56">
        <f>SUM(I303:I307)</f>
        <v>755540.21</v>
      </c>
      <c r="J308" s="56">
        <f>SUM(J303:J307)</f>
        <v>0</v>
      </c>
      <c r="K308" s="56">
        <f>SUM(K303:K307)</f>
        <v>1815452.55</v>
      </c>
      <c r="L308" s="56">
        <f>SUM(L303:L307)</f>
        <v>0</v>
      </c>
      <c r="M308" s="56">
        <f t="shared" si="24"/>
        <v>2570992.76</v>
      </c>
      <c r="N308" s="51">
        <f t="shared" si="27"/>
        <v>1.0716113311859365</v>
      </c>
    </row>
    <row r="309" spans="1:14" s="29" customFormat="1" ht="13.5" customHeight="1">
      <c r="A309" s="28"/>
      <c r="B309" s="90" t="s">
        <v>153</v>
      </c>
      <c r="C309" s="15" t="s">
        <v>16</v>
      </c>
      <c r="D309" s="58"/>
      <c r="E309" s="58"/>
      <c r="F309" s="58"/>
      <c r="G309" s="58"/>
      <c r="H309" s="54">
        <f t="shared" si="25"/>
        <v>0</v>
      </c>
      <c r="I309" s="54">
        <v>2349.77</v>
      </c>
      <c r="J309" s="58"/>
      <c r="K309" s="58"/>
      <c r="L309" s="58"/>
      <c r="M309" s="55">
        <f t="shared" si="24"/>
        <v>2349.77</v>
      </c>
      <c r="N309" s="48"/>
    </row>
    <row r="310" spans="1:14" s="29" customFormat="1" ht="22.5" customHeight="1">
      <c r="A310" s="28"/>
      <c r="B310" s="91"/>
      <c r="C310" s="11" t="s">
        <v>20</v>
      </c>
      <c r="D310" s="58"/>
      <c r="E310" s="58"/>
      <c r="F310" s="58"/>
      <c r="G310" s="58"/>
      <c r="H310" s="54">
        <f t="shared" si="25"/>
        <v>0</v>
      </c>
      <c r="I310" s="54">
        <v>1325.02</v>
      </c>
      <c r="J310" s="58"/>
      <c r="K310" s="58"/>
      <c r="L310" s="58"/>
      <c r="M310" s="55">
        <f t="shared" si="24"/>
        <v>1325.02</v>
      </c>
      <c r="N310" s="48"/>
    </row>
    <row r="311" spans="1:14" s="29" customFormat="1" ht="68.25" customHeight="1">
      <c r="A311" s="28"/>
      <c r="B311" s="91"/>
      <c r="C311" s="11" t="s">
        <v>37</v>
      </c>
      <c r="D311" s="58"/>
      <c r="E311" s="58"/>
      <c r="F311" s="58"/>
      <c r="G311" s="54">
        <v>8518</v>
      </c>
      <c r="H311" s="54">
        <f t="shared" si="25"/>
        <v>8518</v>
      </c>
      <c r="I311" s="54"/>
      <c r="J311" s="58"/>
      <c r="K311" s="58"/>
      <c r="L311" s="79">
        <v>8517.28</v>
      </c>
      <c r="M311" s="55">
        <f t="shared" si="24"/>
        <v>8517.28</v>
      </c>
      <c r="N311" s="48">
        <f t="shared" si="27"/>
        <v>0.9999154731157549</v>
      </c>
    </row>
    <row r="312" spans="1:14" ht="59.25" customHeight="1">
      <c r="A312" s="2"/>
      <c r="B312" s="91"/>
      <c r="C312" s="16" t="s">
        <v>146</v>
      </c>
      <c r="D312" s="54"/>
      <c r="E312" s="54">
        <v>350000</v>
      </c>
      <c r="F312" s="54"/>
      <c r="G312" s="54"/>
      <c r="H312" s="54">
        <f t="shared" si="25"/>
        <v>350000</v>
      </c>
      <c r="I312" s="54"/>
      <c r="J312" s="54">
        <v>395239.12</v>
      </c>
      <c r="K312" s="54"/>
      <c r="L312" s="54"/>
      <c r="M312" s="55">
        <f t="shared" si="24"/>
        <v>395239.12</v>
      </c>
      <c r="N312" s="48">
        <f t="shared" si="27"/>
        <v>1.1292546285714287</v>
      </c>
    </row>
    <row r="313" spans="1:14" ht="101.25" customHeight="1">
      <c r="A313" s="2"/>
      <c r="B313" s="92"/>
      <c r="C313" s="16" t="s">
        <v>218</v>
      </c>
      <c r="D313" s="54"/>
      <c r="E313" s="54"/>
      <c r="F313" s="54"/>
      <c r="G313" s="54"/>
      <c r="H313" s="54">
        <f t="shared" si="25"/>
        <v>0</v>
      </c>
      <c r="I313" s="54"/>
      <c r="J313" s="54">
        <v>2069.1</v>
      </c>
      <c r="K313" s="54"/>
      <c r="L313" s="54"/>
      <c r="M313" s="55">
        <f t="shared" si="24"/>
        <v>2069.1</v>
      </c>
      <c r="N313" s="48"/>
    </row>
    <row r="314" spans="1:14" ht="11.25">
      <c r="A314" s="2"/>
      <c r="B314" s="3" t="s">
        <v>154</v>
      </c>
      <c r="C314" s="13"/>
      <c r="D314" s="56">
        <f>SUM(D309:D313)</f>
        <v>0</v>
      </c>
      <c r="E314" s="56">
        <f>SUM(E309:E313)</f>
        <v>350000</v>
      </c>
      <c r="F314" s="56">
        <f>SUM(F309:F313)</f>
        <v>0</v>
      </c>
      <c r="G314" s="56">
        <f>SUM(G309:G313)</f>
        <v>8518</v>
      </c>
      <c r="H314" s="56">
        <f t="shared" si="25"/>
        <v>358518</v>
      </c>
      <c r="I314" s="56">
        <f>SUM(I309:I313)</f>
        <v>3674.79</v>
      </c>
      <c r="J314" s="56">
        <f>SUM(J309:J313)</f>
        <v>397308.22</v>
      </c>
      <c r="K314" s="56">
        <f>SUM(K309:K313)</f>
        <v>0</v>
      </c>
      <c r="L314" s="56">
        <f>SUM(L309:L313)</f>
        <v>8517.28</v>
      </c>
      <c r="M314" s="56">
        <f t="shared" si="24"/>
        <v>409500.29</v>
      </c>
      <c r="N314" s="51">
        <f t="shared" si="27"/>
        <v>1.1422028740537433</v>
      </c>
    </row>
    <row r="315" spans="1:14" s="29" customFormat="1" ht="83.25" customHeight="1">
      <c r="A315" s="28"/>
      <c r="B315" s="90" t="s">
        <v>155</v>
      </c>
      <c r="C315" s="15" t="s">
        <v>51</v>
      </c>
      <c r="D315" s="58"/>
      <c r="E315" s="54">
        <v>127000</v>
      </c>
      <c r="F315" s="58"/>
      <c r="G315" s="58"/>
      <c r="H315" s="54">
        <f aca="true" t="shared" si="28" ref="H315:H343">SUM(D315:G315)</f>
        <v>127000</v>
      </c>
      <c r="I315" s="80"/>
      <c r="J315" s="54">
        <v>94892.25</v>
      </c>
      <c r="K315" s="58"/>
      <c r="L315" s="58"/>
      <c r="M315" s="55">
        <f t="shared" si="24"/>
        <v>94892.25</v>
      </c>
      <c r="N315" s="48">
        <f t="shared" si="27"/>
        <v>0.7471830708661418</v>
      </c>
    </row>
    <row r="316" spans="1:14" ht="67.5" customHeight="1">
      <c r="A316" s="2"/>
      <c r="B316" s="91"/>
      <c r="C316" s="73" t="s">
        <v>37</v>
      </c>
      <c r="D316" s="54"/>
      <c r="E316" s="54"/>
      <c r="F316" s="54"/>
      <c r="G316" s="54">
        <v>397500</v>
      </c>
      <c r="H316" s="54">
        <f t="shared" si="28"/>
        <v>397500</v>
      </c>
      <c r="I316" s="54"/>
      <c r="J316" s="54"/>
      <c r="K316" s="54"/>
      <c r="L316" s="54">
        <v>391452.33</v>
      </c>
      <c r="M316" s="55">
        <f t="shared" si="24"/>
        <v>391452.33</v>
      </c>
      <c r="N316" s="48">
        <f t="shared" si="27"/>
        <v>0.9847857358490566</v>
      </c>
    </row>
    <row r="317" spans="1:14" ht="11.25">
      <c r="A317" s="2"/>
      <c r="B317" s="83" t="s">
        <v>156</v>
      </c>
      <c r="C317" s="14"/>
      <c r="D317" s="56">
        <f>SUM(D315:D316)</f>
        <v>0</v>
      </c>
      <c r="E317" s="56">
        <f>SUM(E315:E316)</f>
        <v>127000</v>
      </c>
      <c r="F317" s="56">
        <f>SUM(F315:F316)</f>
        <v>0</v>
      </c>
      <c r="G317" s="56">
        <f>SUM(G315:G316)</f>
        <v>397500</v>
      </c>
      <c r="H317" s="56">
        <f t="shared" si="28"/>
        <v>524500</v>
      </c>
      <c r="I317" s="56">
        <f>SUM(I315:I316)</f>
        <v>0</v>
      </c>
      <c r="J317" s="56">
        <f>SUM(J315:J316)</f>
        <v>94892.25</v>
      </c>
      <c r="K317" s="56">
        <f>SUM(K315:K316)</f>
        <v>0</v>
      </c>
      <c r="L317" s="56">
        <f>SUM(L315:L316)</f>
        <v>391452.33</v>
      </c>
      <c r="M317" s="56">
        <f t="shared" si="24"/>
        <v>486344.58</v>
      </c>
      <c r="N317" s="51">
        <f t="shared" si="27"/>
        <v>0.9272537273593899</v>
      </c>
    </row>
    <row r="318" spans="1:14" ht="78" customHeight="1">
      <c r="A318" s="2"/>
      <c r="B318" s="91"/>
      <c r="C318" s="15" t="s">
        <v>59</v>
      </c>
      <c r="D318" s="54"/>
      <c r="E318" s="54"/>
      <c r="F318" s="54">
        <f>39000000+650000</f>
        <v>39650000</v>
      </c>
      <c r="G318" s="54"/>
      <c r="H318" s="54">
        <f t="shared" si="28"/>
        <v>39650000</v>
      </c>
      <c r="I318" s="59"/>
      <c r="J318" s="54"/>
      <c r="K318" s="54">
        <v>38839025.07</v>
      </c>
      <c r="L318" s="54"/>
      <c r="M318" s="55">
        <f t="shared" si="24"/>
        <v>38839025.07</v>
      </c>
      <c r="N318" s="48">
        <f aca="true" t="shared" si="29" ref="N318:N329">M318/H318</f>
        <v>0.9795466600252207</v>
      </c>
    </row>
    <row r="319" spans="1:14" ht="57" customHeight="1">
      <c r="A319" s="2"/>
      <c r="B319" s="92"/>
      <c r="C319" s="16" t="s">
        <v>38</v>
      </c>
      <c r="D319" s="54">
        <v>400000</v>
      </c>
      <c r="E319" s="54"/>
      <c r="F319" s="54"/>
      <c r="G319" s="54"/>
      <c r="H319" s="54">
        <f t="shared" si="28"/>
        <v>400000</v>
      </c>
      <c r="I319" s="59">
        <v>515474.25</v>
      </c>
      <c r="J319" s="54"/>
      <c r="K319" s="54"/>
      <c r="L319" s="54"/>
      <c r="M319" s="55">
        <f t="shared" si="24"/>
        <v>515474.25</v>
      </c>
      <c r="N319" s="48">
        <f t="shared" si="29"/>
        <v>1.288685625</v>
      </c>
    </row>
    <row r="320" spans="1:14" ht="11.25">
      <c r="A320" s="2"/>
      <c r="B320" s="3" t="s">
        <v>157</v>
      </c>
      <c r="C320" s="19"/>
      <c r="D320" s="56">
        <f>SUM(D318:D319)</f>
        <v>400000</v>
      </c>
      <c r="E320" s="56">
        <f>SUM(E318:E319)</f>
        <v>0</v>
      </c>
      <c r="F320" s="56">
        <f>SUM(F318:F319)</f>
        <v>39650000</v>
      </c>
      <c r="G320" s="56">
        <f>SUM(G318:G319)</f>
        <v>0</v>
      </c>
      <c r="H320" s="56">
        <f t="shared" si="28"/>
        <v>40050000</v>
      </c>
      <c r="I320" s="56">
        <f>SUM(I318:I319)</f>
        <v>515474.25</v>
      </c>
      <c r="J320" s="56">
        <f>SUM(J318:J319)</f>
        <v>0</v>
      </c>
      <c r="K320" s="56">
        <f>SUM(K318:K319)</f>
        <v>38839025.07</v>
      </c>
      <c r="L320" s="56">
        <f>SUM(L318:L319)</f>
        <v>0</v>
      </c>
      <c r="M320" s="56">
        <f t="shared" si="24"/>
        <v>39354499.32</v>
      </c>
      <c r="N320" s="51">
        <f t="shared" si="29"/>
        <v>0.9826341902621722</v>
      </c>
    </row>
    <row r="321" spans="1:14" ht="106.5" customHeight="1">
      <c r="A321" s="2"/>
      <c r="B321" s="90" t="s">
        <v>158</v>
      </c>
      <c r="C321" s="15" t="s">
        <v>59</v>
      </c>
      <c r="D321" s="54"/>
      <c r="E321" s="54"/>
      <c r="F321" s="54">
        <f>86000+8000+10000+16000</f>
        <v>120000</v>
      </c>
      <c r="G321" s="54"/>
      <c r="H321" s="54">
        <f t="shared" si="28"/>
        <v>120000</v>
      </c>
      <c r="I321" s="54"/>
      <c r="J321" s="54"/>
      <c r="K321" s="54">
        <v>110503.8</v>
      </c>
      <c r="L321" s="54"/>
      <c r="M321" s="55">
        <f t="shared" si="24"/>
        <v>110503.8</v>
      </c>
      <c r="N321" s="48">
        <f t="shared" si="29"/>
        <v>0.920865</v>
      </c>
    </row>
    <row r="322" spans="1:14" ht="117.75" customHeight="1">
      <c r="A322" s="2"/>
      <c r="B322" s="92"/>
      <c r="C322" s="15" t="s">
        <v>159</v>
      </c>
      <c r="D322" s="54">
        <f>605000-128000-45400-52550</f>
        <v>379050</v>
      </c>
      <c r="E322" s="54"/>
      <c r="F322" s="54"/>
      <c r="G322" s="54"/>
      <c r="H322" s="54">
        <f t="shared" si="28"/>
        <v>379050</v>
      </c>
      <c r="I322" s="54">
        <v>342978.85</v>
      </c>
      <c r="J322" s="54"/>
      <c r="K322" s="54"/>
      <c r="L322" s="54"/>
      <c r="M322" s="55">
        <f aca="true" t="shared" si="30" ref="M322:M365">SUM(I322:L322)</f>
        <v>342978.85</v>
      </c>
      <c r="N322" s="48">
        <f t="shared" si="29"/>
        <v>0.9048380160928636</v>
      </c>
    </row>
    <row r="323" spans="1:14" ht="11.25">
      <c r="A323" s="2"/>
      <c r="B323" s="3" t="s">
        <v>160</v>
      </c>
      <c r="C323" s="14"/>
      <c r="D323" s="56">
        <f>SUM(D321:D322)</f>
        <v>379050</v>
      </c>
      <c r="E323" s="56">
        <f>SUM(E321:E322)</f>
        <v>0</v>
      </c>
      <c r="F323" s="56">
        <f>SUM(F321:F322)</f>
        <v>120000</v>
      </c>
      <c r="G323" s="56">
        <f>SUM(G321:G322)</f>
        <v>0</v>
      </c>
      <c r="H323" s="56">
        <f t="shared" si="28"/>
        <v>499050</v>
      </c>
      <c r="I323" s="56">
        <f>SUM(I321:I322)</f>
        <v>342978.85</v>
      </c>
      <c r="J323" s="56">
        <f>SUM(J321:J322)</f>
        <v>0</v>
      </c>
      <c r="K323" s="56">
        <f>SUM(K321:K322)</f>
        <v>110503.8</v>
      </c>
      <c r="L323" s="56">
        <f>SUM(L321:L322)</f>
        <v>0</v>
      </c>
      <c r="M323" s="56">
        <f t="shared" si="30"/>
        <v>453482.64999999997</v>
      </c>
      <c r="N323" s="51">
        <f t="shared" si="29"/>
        <v>0.9086918144474501</v>
      </c>
    </row>
    <row r="324" spans="1:14" s="29" customFormat="1" ht="92.25" customHeight="1">
      <c r="A324" s="28"/>
      <c r="B324" s="90" t="s">
        <v>161</v>
      </c>
      <c r="C324" s="12" t="s">
        <v>236</v>
      </c>
      <c r="D324" s="58"/>
      <c r="E324" s="58"/>
      <c r="F324" s="58"/>
      <c r="G324" s="58"/>
      <c r="H324" s="54">
        <f t="shared" si="28"/>
        <v>0</v>
      </c>
      <c r="I324" s="54">
        <v>2446.21</v>
      </c>
      <c r="J324" s="58"/>
      <c r="K324" s="58"/>
      <c r="L324" s="58"/>
      <c r="M324" s="55">
        <f t="shared" si="30"/>
        <v>2446.21</v>
      </c>
      <c r="N324" s="48"/>
    </row>
    <row r="325" spans="1:14" s="29" customFormat="1" ht="33.75">
      <c r="A325" s="28"/>
      <c r="B325" s="91"/>
      <c r="C325" s="12" t="s">
        <v>243</v>
      </c>
      <c r="D325" s="54">
        <v>1000</v>
      </c>
      <c r="E325" s="58"/>
      <c r="F325" s="58"/>
      <c r="G325" s="58"/>
      <c r="H325" s="54">
        <f t="shared" si="28"/>
        <v>1000</v>
      </c>
      <c r="I325" s="54">
        <v>2000</v>
      </c>
      <c r="J325" s="58"/>
      <c r="K325" s="58"/>
      <c r="L325" s="58"/>
      <c r="M325" s="55">
        <f t="shared" si="30"/>
        <v>2000</v>
      </c>
      <c r="N325" s="48">
        <f t="shared" si="29"/>
        <v>2</v>
      </c>
    </row>
    <row r="326" spans="1:14" s="29" customFormat="1" ht="22.5">
      <c r="A326" s="28"/>
      <c r="B326" s="91"/>
      <c r="C326" s="11" t="s">
        <v>20</v>
      </c>
      <c r="D326" s="58"/>
      <c r="E326" s="58"/>
      <c r="F326" s="58"/>
      <c r="G326" s="58"/>
      <c r="H326" s="54">
        <f t="shared" si="28"/>
        <v>0</v>
      </c>
      <c r="I326" s="54">
        <v>36376.71</v>
      </c>
      <c r="J326" s="58"/>
      <c r="K326" s="58"/>
      <c r="L326" s="58"/>
      <c r="M326" s="55">
        <f t="shared" si="30"/>
        <v>36376.71</v>
      </c>
      <c r="N326" s="48"/>
    </row>
    <row r="327" spans="1:14" ht="59.25" customHeight="1">
      <c r="A327" s="2"/>
      <c r="B327" s="91"/>
      <c r="C327" s="15" t="s">
        <v>159</v>
      </c>
      <c r="D327" s="54">
        <f>141000-8735</f>
        <v>132265</v>
      </c>
      <c r="E327" s="54"/>
      <c r="F327" s="54"/>
      <c r="G327" s="54"/>
      <c r="H327" s="54">
        <f t="shared" si="28"/>
        <v>132265</v>
      </c>
      <c r="I327" s="54">
        <v>132129.75</v>
      </c>
      <c r="J327" s="54"/>
      <c r="K327" s="54"/>
      <c r="L327" s="54"/>
      <c r="M327" s="55">
        <f t="shared" si="30"/>
        <v>132129.75</v>
      </c>
      <c r="N327" s="48">
        <f t="shared" si="29"/>
        <v>0.9989774316712661</v>
      </c>
    </row>
    <row r="328" spans="1:14" ht="102" customHeight="1">
      <c r="A328" s="2"/>
      <c r="B328" s="92"/>
      <c r="C328" s="16" t="s">
        <v>218</v>
      </c>
      <c r="D328" s="54"/>
      <c r="E328" s="54"/>
      <c r="F328" s="54"/>
      <c r="G328" s="54"/>
      <c r="H328" s="54">
        <f t="shared" si="28"/>
        <v>0</v>
      </c>
      <c r="I328" s="54">
        <v>45425.1</v>
      </c>
      <c r="J328" s="54"/>
      <c r="K328" s="54"/>
      <c r="L328" s="54"/>
      <c r="M328" s="55">
        <f t="shared" si="30"/>
        <v>45425.1</v>
      </c>
      <c r="N328" s="48"/>
    </row>
    <row r="329" spans="1:14" ht="11.25">
      <c r="A329" s="2"/>
      <c r="B329" s="3" t="s">
        <v>162</v>
      </c>
      <c r="C329" s="19"/>
      <c r="D329" s="56">
        <f>SUM(D324:D328)</f>
        <v>133265</v>
      </c>
      <c r="E329" s="56">
        <f>SUM(E324:E328)</f>
        <v>0</v>
      </c>
      <c r="F329" s="56">
        <f>SUM(F324:F328)</f>
        <v>0</v>
      </c>
      <c r="G329" s="56">
        <f>SUM(G324:G328)</f>
        <v>0</v>
      </c>
      <c r="H329" s="56">
        <f t="shared" si="28"/>
        <v>133265</v>
      </c>
      <c r="I329" s="56">
        <f>SUM(I324:I328)</f>
        <v>218377.77</v>
      </c>
      <c r="J329" s="56">
        <f>SUM(J324:J328)</f>
        <v>0</v>
      </c>
      <c r="K329" s="56">
        <f>SUM(K324:K328)</f>
        <v>0</v>
      </c>
      <c r="L329" s="56">
        <f>SUM(L324:L328)</f>
        <v>0</v>
      </c>
      <c r="M329" s="56">
        <f t="shared" si="30"/>
        <v>218377.77</v>
      </c>
      <c r="N329" s="51">
        <f t="shared" si="29"/>
        <v>1.6386730949611674</v>
      </c>
    </row>
    <row r="330" spans="1:14" ht="26.25" customHeight="1">
      <c r="A330" s="2"/>
      <c r="B330" s="1" t="s">
        <v>244</v>
      </c>
      <c r="C330" s="11" t="s">
        <v>20</v>
      </c>
      <c r="D330" s="54"/>
      <c r="E330" s="54"/>
      <c r="F330" s="54"/>
      <c r="G330" s="54"/>
      <c r="H330" s="54">
        <f t="shared" si="28"/>
        <v>0</v>
      </c>
      <c r="I330" s="54">
        <v>871.8</v>
      </c>
      <c r="J330" s="54"/>
      <c r="K330" s="54"/>
      <c r="L330" s="54"/>
      <c r="M330" s="55">
        <f t="shared" si="30"/>
        <v>871.8</v>
      </c>
      <c r="N330" s="48"/>
    </row>
    <row r="331" spans="1:14" ht="11.25">
      <c r="A331" s="2"/>
      <c r="B331" s="3" t="s">
        <v>245</v>
      </c>
      <c r="C331" s="18"/>
      <c r="D331" s="56">
        <f>SUM(D330)</f>
        <v>0</v>
      </c>
      <c r="E331" s="56">
        <f>SUM(E330)</f>
        <v>0</v>
      </c>
      <c r="F331" s="56">
        <f>SUM(F330)</f>
        <v>0</v>
      </c>
      <c r="G331" s="56">
        <f>SUM(G330)</f>
        <v>0</v>
      </c>
      <c r="H331" s="56">
        <f t="shared" si="28"/>
        <v>0</v>
      </c>
      <c r="I331" s="56">
        <f>SUM(I330)</f>
        <v>871.8</v>
      </c>
      <c r="J331" s="56">
        <f>SUM(J330)</f>
        <v>0</v>
      </c>
      <c r="K331" s="56">
        <f>SUM(K330)</f>
        <v>0</v>
      </c>
      <c r="L331" s="56">
        <f>SUM(L330)</f>
        <v>0</v>
      </c>
      <c r="M331" s="56">
        <f t="shared" si="30"/>
        <v>871.8</v>
      </c>
      <c r="N331" s="51"/>
    </row>
    <row r="332" spans="1:14" ht="56.25">
      <c r="A332" s="2"/>
      <c r="B332" s="1" t="s">
        <v>163</v>
      </c>
      <c r="C332" s="16" t="s">
        <v>159</v>
      </c>
      <c r="D332" s="54">
        <f>4853400-120000-307765-23675</f>
        <v>4401960</v>
      </c>
      <c r="E332" s="54"/>
      <c r="F332" s="54"/>
      <c r="G332" s="54"/>
      <c r="H332" s="54">
        <f t="shared" si="28"/>
        <v>4401960</v>
      </c>
      <c r="I332" s="54">
        <v>4352002.96</v>
      </c>
      <c r="J332" s="54"/>
      <c r="K332" s="54"/>
      <c r="L332" s="54"/>
      <c r="M332" s="55">
        <f t="shared" si="30"/>
        <v>4352002.96</v>
      </c>
      <c r="N332" s="48">
        <f>M332/H332</f>
        <v>0.9886511826549992</v>
      </c>
    </row>
    <row r="333" spans="1:14" ht="11.25">
      <c r="A333" s="2"/>
      <c r="B333" s="3" t="s">
        <v>164</v>
      </c>
      <c r="C333" s="18"/>
      <c r="D333" s="56">
        <f>SUM(D332)</f>
        <v>4401960</v>
      </c>
      <c r="E333" s="56">
        <f>SUM(E332)</f>
        <v>0</v>
      </c>
      <c r="F333" s="56">
        <f>SUM(F332)</f>
        <v>0</v>
      </c>
      <c r="G333" s="56">
        <f>SUM(G332)</f>
        <v>0</v>
      </c>
      <c r="H333" s="56">
        <f t="shared" si="28"/>
        <v>4401960</v>
      </c>
      <c r="I333" s="56">
        <f>SUM(I332)</f>
        <v>4352002.96</v>
      </c>
      <c r="J333" s="56">
        <f>SUM(J332)</f>
        <v>0</v>
      </c>
      <c r="K333" s="56">
        <f>SUM(K332)</f>
        <v>0</v>
      </c>
      <c r="L333" s="56">
        <f>SUM(L332)</f>
        <v>0</v>
      </c>
      <c r="M333" s="56">
        <f t="shared" si="30"/>
        <v>4352002.96</v>
      </c>
      <c r="N333" s="51">
        <f>M333/H333</f>
        <v>0.9886511826549992</v>
      </c>
    </row>
    <row r="334" spans="1:14" s="29" customFormat="1" ht="22.5" customHeight="1">
      <c r="A334" s="28"/>
      <c r="B334" s="90" t="s">
        <v>165</v>
      </c>
      <c r="C334" s="11" t="s">
        <v>20</v>
      </c>
      <c r="D334" s="58"/>
      <c r="E334" s="58"/>
      <c r="F334" s="58"/>
      <c r="G334" s="58"/>
      <c r="H334" s="54">
        <f t="shared" si="28"/>
        <v>0</v>
      </c>
      <c r="I334" s="54">
        <v>21515</v>
      </c>
      <c r="J334" s="58"/>
      <c r="K334" s="58"/>
      <c r="L334" s="58"/>
      <c r="M334" s="55">
        <f t="shared" si="30"/>
        <v>21515</v>
      </c>
      <c r="N334" s="48"/>
    </row>
    <row r="335" spans="1:14" ht="79.5" customHeight="1">
      <c r="A335" s="2"/>
      <c r="B335" s="95"/>
      <c r="C335" s="11" t="s">
        <v>59</v>
      </c>
      <c r="D335" s="54"/>
      <c r="E335" s="54"/>
      <c r="F335" s="54">
        <f>126520+6390+12410-38470</f>
        <v>106850</v>
      </c>
      <c r="G335" s="54"/>
      <c r="H335" s="54">
        <f t="shared" si="28"/>
        <v>106850</v>
      </c>
      <c r="I335" s="54"/>
      <c r="J335" s="54"/>
      <c r="K335" s="54">
        <v>85388.73</v>
      </c>
      <c r="L335" s="54"/>
      <c r="M335" s="55">
        <f t="shared" si="30"/>
        <v>85388.73</v>
      </c>
      <c r="N335" s="48">
        <f>M335/H335</f>
        <v>0.7991458118858212</v>
      </c>
    </row>
    <row r="336" spans="1:14" ht="60" customHeight="1">
      <c r="A336" s="2"/>
      <c r="B336" s="2"/>
      <c r="C336" s="27" t="s">
        <v>159</v>
      </c>
      <c r="D336" s="54">
        <f>1443000+189558+22680</f>
        <v>1655238</v>
      </c>
      <c r="E336" s="54"/>
      <c r="F336" s="54"/>
      <c r="G336" s="54"/>
      <c r="H336" s="54">
        <f t="shared" si="28"/>
        <v>1655238</v>
      </c>
      <c r="I336" s="54">
        <v>1655238</v>
      </c>
      <c r="J336" s="54"/>
      <c r="K336" s="54"/>
      <c r="L336" s="54"/>
      <c r="M336" s="55">
        <f t="shared" si="30"/>
        <v>1655238</v>
      </c>
      <c r="N336" s="48">
        <f>M336/H336</f>
        <v>1</v>
      </c>
    </row>
    <row r="337" spans="1:14" ht="11.25">
      <c r="A337" s="2"/>
      <c r="B337" s="38" t="s">
        <v>166</v>
      </c>
      <c r="C337" s="13"/>
      <c r="D337" s="56">
        <f>SUM(D334:D336)</f>
        <v>1655238</v>
      </c>
      <c r="E337" s="56">
        <f>SUM(E334:E336)</f>
        <v>0</v>
      </c>
      <c r="F337" s="56">
        <f>SUM(F334:F336)</f>
        <v>106850</v>
      </c>
      <c r="G337" s="56">
        <f>SUM(G334:G336)</f>
        <v>0</v>
      </c>
      <c r="H337" s="56">
        <f t="shared" si="28"/>
        <v>1762088</v>
      </c>
      <c r="I337" s="56">
        <f>SUM(I334:I336)</f>
        <v>1676753</v>
      </c>
      <c r="J337" s="56">
        <f>SUM(J334:J336)</f>
        <v>0</v>
      </c>
      <c r="K337" s="56">
        <f>SUM(K334:K336)</f>
        <v>85388.73</v>
      </c>
      <c r="L337" s="56">
        <f>SUM(L334:L336)</f>
        <v>0</v>
      </c>
      <c r="M337" s="56">
        <f t="shared" si="30"/>
        <v>1762141.73</v>
      </c>
      <c r="N337" s="51">
        <f>M337/H337</f>
        <v>1.0000304922342131</v>
      </c>
    </row>
    <row r="338" spans="1:14" ht="104.25" customHeight="1">
      <c r="A338" s="2"/>
      <c r="B338" s="23" t="s">
        <v>246</v>
      </c>
      <c r="C338" s="15" t="s">
        <v>218</v>
      </c>
      <c r="D338" s="54"/>
      <c r="E338" s="54"/>
      <c r="F338" s="54"/>
      <c r="G338" s="54"/>
      <c r="H338" s="54">
        <f t="shared" si="28"/>
        <v>0</v>
      </c>
      <c r="I338" s="54">
        <v>1322.14</v>
      </c>
      <c r="J338" s="54"/>
      <c r="K338" s="54"/>
      <c r="L338" s="54"/>
      <c r="M338" s="55">
        <f t="shared" si="30"/>
        <v>1322.14</v>
      </c>
      <c r="N338" s="48"/>
    </row>
    <row r="339" spans="1:14" ht="11.25">
      <c r="A339" s="2"/>
      <c r="B339" s="75" t="s">
        <v>247</v>
      </c>
      <c r="C339" s="14"/>
      <c r="D339" s="56">
        <f>SUM(D338:D338)</f>
        <v>0</v>
      </c>
      <c r="E339" s="56">
        <f>SUM(E338:E338)</f>
        <v>0</v>
      </c>
      <c r="F339" s="56">
        <f>SUM(F338:F338)</f>
        <v>0</v>
      </c>
      <c r="G339" s="56">
        <f>SUM(G338:G338)</f>
        <v>0</v>
      </c>
      <c r="H339" s="56">
        <f t="shared" si="28"/>
        <v>0</v>
      </c>
      <c r="I339" s="56">
        <f>SUM(I338:I338)</f>
        <v>1322.14</v>
      </c>
      <c r="J339" s="56">
        <f>SUM(J338:J338)</f>
        <v>0</v>
      </c>
      <c r="K339" s="56">
        <f>SUM(K338:K338)</f>
        <v>0</v>
      </c>
      <c r="L339" s="56">
        <f>SUM(L338:L338)</f>
        <v>0</v>
      </c>
      <c r="M339" s="56">
        <f t="shared" si="30"/>
        <v>1322.14</v>
      </c>
      <c r="N339" s="51"/>
    </row>
    <row r="340" spans="1:14" ht="33.75">
      <c r="A340" s="2"/>
      <c r="B340" s="23" t="s">
        <v>318</v>
      </c>
      <c r="C340" s="12" t="s">
        <v>20</v>
      </c>
      <c r="D340" s="54"/>
      <c r="E340" s="54"/>
      <c r="F340" s="54"/>
      <c r="G340" s="54"/>
      <c r="H340" s="54">
        <f t="shared" si="28"/>
        <v>0</v>
      </c>
      <c r="I340" s="54">
        <v>39.66</v>
      </c>
      <c r="J340" s="54"/>
      <c r="K340" s="54"/>
      <c r="L340" s="54"/>
      <c r="M340" s="55">
        <f t="shared" si="30"/>
        <v>39.66</v>
      </c>
      <c r="N340" s="48"/>
    </row>
    <row r="341" spans="1:14" ht="11.25">
      <c r="A341" s="2"/>
      <c r="B341" s="3" t="s">
        <v>319</v>
      </c>
      <c r="C341" s="14"/>
      <c r="D341" s="56">
        <f>SUM(D340:D340)</f>
        <v>0</v>
      </c>
      <c r="E341" s="56">
        <f>SUM(E340:E340)</f>
        <v>0</v>
      </c>
      <c r="F341" s="56">
        <f>SUM(F340:F340)</f>
        <v>0</v>
      </c>
      <c r="G341" s="56">
        <f>SUM(G340:G340)</f>
        <v>0</v>
      </c>
      <c r="H341" s="56">
        <f t="shared" si="28"/>
        <v>0</v>
      </c>
      <c r="I341" s="56">
        <f>SUM(I340:I340)</f>
        <v>39.66</v>
      </c>
      <c r="J341" s="56">
        <f>SUM(J340:J340)</f>
        <v>0</v>
      </c>
      <c r="K341" s="56">
        <f>SUM(K340:K340)</f>
        <v>0</v>
      </c>
      <c r="L341" s="56">
        <f>SUM(L340:L340)</f>
        <v>0</v>
      </c>
      <c r="M341" s="56">
        <f t="shared" si="30"/>
        <v>39.66</v>
      </c>
      <c r="N341" s="51"/>
    </row>
    <row r="342" spans="1:14" s="29" customFormat="1" ht="15" customHeight="1">
      <c r="A342" s="28"/>
      <c r="B342" s="90" t="s">
        <v>167</v>
      </c>
      <c r="C342" s="15" t="s">
        <v>16</v>
      </c>
      <c r="D342" s="58"/>
      <c r="E342" s="58"/>
      <c r="F342" s="58"/>
      <c r="G342" s="58"/>
      <c r="H342" s="54">
        <f t="shared" si="28"/>
        <v>0</v>
      </c>
      <c r="I342" s="54">
        <v>26.4</v>
      </c>
      <c r="J342" s="58"/>
      <c r="K342" s="58"/>
      <c r="L342" s="58"/>
      <c r="M342" s="55">
        <f t="shared" si="30"/>
        <v>26.4</v>
      </c>
      <c r="N342" s="48"/>
    </row>
    <row r="343" spans="1:14" ht="13.5" customHeight="1">
      <c r="A343" s="2"/>
      <c r="B343" s="91"/>
      <c r="C343" s="15" t="s">
        <v>18</v>
      </c>
      <c r="D343" s="54">
        <v>550000</v>
      </c>
      <c r="E343" s="54"/>
      <c r="F343" s="54"/>
      <c r="G343" s="54"/>
      <c r="H343" s="54">
        <f t="shared" si="28"/>
        <v>550000</v>
      </c>
      <c r="I343" s="54">
        <v>832999.48</v>
      </c>
      <c r="J343" s="54"/>
      <c r="K343" s="54"/>
      <c r="L343" s="54"/>
      <c r="M343" s="55">
        <f t="shared" si="30"/>
        <v>832999.48</v>
      </c>
      <c r="N343" s="48">
        <f aca="true" t="shared" si="31" ref="N343:N357">M343/H343</f>
        <v>1.514544509090909</v>
      </c>
    </row>
    <row r="344" spans="1:14" ht="92.25" customHeight="1">
      <c r="A344" s="2"/>
      <c r="B344" s="91"/>
      <c r="C344" s="15" t="s">
        <v>236</v>
      </c>
      <c r="D344" s="54"/>
      <c r="E344" s="54"/>
      <c r="F344" s="54"/>
      <c r="G344" s="54"/>
      <c r="H344" s="54">
        <f aca="true" t="shared" si="32" ref="H344:H375">SUM(D344:G344)</f>
        <v>0</v>
      </c>
      <c r="I344" s="54">
        <v>14</v>
      </c>
      <c r="J344" s="54"/>
      <c r="K344" s="54"/>
      <c r="L344" s="54"/>
      <c r="M344" s="55">
        <f t="shared" si="30"/>
        <v>14</v>
      </c>
      <c r="N344" s="48"/>
    </row>
    <row r="345" spans="1:14" ht="80.25" customHeight="1">
      <c r="A345" s="2"/>
      <c r="B345" s="91"/>
      <c r="C345" s="16" t="s">
        <v>59</v>
      </c>
      <c r="D345" s="54"/>
      <c r="E345" s="54"/>
      <c r="F345" s="54">
        <f>745000-93750</f>
        <v>651250</v>
      </c>
      <c r="G345" s="54"/>
      <c r="H345" s="54">
        <f t="shared" si="32"/>
        <v>651250</v>
      </c>
      <c r="I345" s="54"/>
      <c r="J345" s="54"/>
      <c r="K345" s="54">
        <v>650918.24</v>
      </c>
      <c r="L345" s="54"/>
      <c r="M345" s="55">
        <f t="shared" si="30"/>
        <v>650918.24</v>
      </c>
      <c r="N345" s="48">
        <f t="shared" si="31"/>
        <v>0.9994905796545105</v>
      </c>
    </row>
    <row r="346" spans="1:14" ht="60" customHeight="1">
      <c r="A346" s="2"/>
      <c r="B346" s="92"/>
      <c r="C346" s="16" t="s">
        <v>38</v>
      </c>
      <c r="D346" s="54">
        <v>2881</v>
      </c>
      <c r="E346" s="54"/>
      <c r="F346" s="54"/>
      <c r="G346" s="54"/>
      <c r="H346" s="54">
        <f t="shared" si="32"/>
        <v>2881</v>
      </c>
      <c r="I346" s="59">
        <v>5402.97</v>
      </c>
      <c r="J346" s="54"/>
      <c r="K346" s="54"/>
      <c r="L346" s="54"/>
      <c r="M346" s="55">
        <f t="shared" si="30"/>
        <v>5402.97</v>
      </c>
      <c r="N346" s="48">
        <f t="shared" si="31"/>
        <v>1.8753800763623742</v>
      </c>
    </row>
    <row r="347" spans="1:14" ht="11.25">
      <c r="A347" s="2"/>
      <c r="B347" s="3" t="s">
        <v>168</v>
      </c>
      <c r="C347" s="19"/>
      <c r="D347" s="56">
        <f>SUM(D342:D346)</f>
        <v>552881</v>
      </c>
      <c r="E347" s="56">
        <f>SUM(E342:E346)</f>
        <v>0</v>
      </c>
      <c r="F347" s="56">
        <f>SUM(F342:F346)</f>
        <v>651250</v>
      </c>
      <c r="G347" s="56">
        <f>SUM(G342:G346)</f>
        <v>0</v>
      </c>
      <c r="H347" s="56">
        <f t="shared" si="32"/>
        <v>1204131</v>
      </c>
      <c r="I347" s="56">
        <f>SUM(I342:I346)</f>
        <v>838442.85</v>
      </c>
      <c r="J347" s="56">
        <f>SUM(J342:J346)</f>
        <v>0</v>
      </c>
      <c r="K347" s="56">
        <f>SUM(K342:K346)</f>
        <v>650918.24</v>
      </c>
      <c r="L347" s="56">
        <f>SUM(L342:L346)</f>
        <v>0</v>
      </c>
      <c r="M347" s="56">
        <f t="shared" si="30"/>
        <v>1489361.0899999999</v>
      </c>
      <c r="N347" s="51">
        <f t="shared" si="31"/>
        <v>1.2368762950210566</v>
      </c>
    </row>
    <row r="348" spans="1:14" ht="14.25" customHeight="1">
      <c r="A348" s="2"/>
      <c r="B348" s="90" t="s">
        <v>169</v>
      </c>
      <c r="C348" s="15" t="s">
        <v>16</v>
      </c>
      <c r="D348" s="58"/>
      <c r="E348" s="58"/>
      <c r="F348" s="58"/>
      <c r="G348" s="58"/>
      <c r="H348" s="54">
        <f t="shared" si="32"/>
        <v>0</v>
      </c>
      <c r="I348" s="54">
        <v>8.8</v>
      </c>
      <c r="J348" s="54"/>
      <c r="K348" s="54"/>
      <c r="L348" s="54"/>
      <c r="M348" s="54">
        <f t="shared" si="30"/>
        <v>8.8</v>
      </c>
      <c r="N348" s="48"/>
    </row>
    <row r="349" spans="1:14" s="29" customFormat="1" ht="22.5" customHeight="1">
      <c r="A349" s="28"/>
      <c r="B349" s="91"/>
      <c r="C349" s="11" t="s">
        <v>20</v>
      </c>
      <c r="D349" s="58"/>
      <c r="E349" s="58"/>
      <c r="F349" s="58"/>
      <c r="G349" s="58"/>
      <c r="H349" s="54">
        <f t="shared" si="32"/>
        <v>0</v>
      </c>
      <c r="I349" s="54">
        <v>130850.99</v>
      </c>
      <c r="J349" s="58"/>
      <c r="K349" s="58"/>
      <c r="L349" s="58"/>
      <c r="M349" s="55">
        <f t="shared" si="30"/>
        <v>130850.99</v>
      </c>
      <c r="N349" s="48"/>
    </row>
    <row r="350" spans="1:14" s="29" customFormat="1" ht="80.25" customHeight="1">
      <c r="A350" s="28"/>
      <c r="B350" s="91"/>
      <c r="C350" s="11" t="s">
        <v>59</v>
      </c>
      <c r="D350" s="58"/>
      <c r="E350" s="58"/>
      <c r="F350" s="54">
        <v>104800</v>
      </c>
      <c r="G350" s="58"/>
      <c r="H350" s="54">
        <f t="shared" si="32"/>
        <v>104800</v>
      </c>
      <c r="I350" s="54"/>
      <c r="J350" s="58"/>
      <c r="K350" s="54">
        <v>84200</v>
      </c>
      <c r="L350" s="58"/>
      <c r="M350" s="55">
        <f t="shared" si="30"/>
        <v>84200</v>
      </c>
      <c r="N350" s="48">
        <f t="shared" si="31"/>
        <v>0.8034351145038168</v>
      </c>
    </row>
    <row r="351" spans="1:14" s="29" customFormat="1" ht="78" customHeight="1">
      <c r="A351" s="28"/>
      <c r="B351" s="91"/>
      <c r="C351" s="15" t="s">
        <v>51</v>
      </c>
      <c r="D351" s="58"/>
      <c r="E351" s="54">
        <v>71500</v>
      </c>
      <c r="F351" s="58"/>
      <c r="G351" s="58"/>
      <c r="H351" s="54">
        <f t="shared" si="32"/>
        <v>71500</v>
      </c>
      <c r="I351" s="80"/>
      <c r="J351" s="54">
        <v>63587.55</v>
      </c>
      <c r="K351" s="58"/>
      <c r="L351" s="58"/>
      <c r="M351" s="55">
        <f t="shared" si="30"/>
        <v>63587.55</v>
      </c>
      <c r="N351" s="48">
        <f t="shared" si="31"/>
        <v>0.8893363636363637</v>
      </c>
    </row>
    <row r="352" spans="1:14" ht="56.25" customHeight="1">
      <c r="A352" s="2"/>
      <c r="B352" s="92"/>
      <c r="C352" s="16" t="s">
        <v>159</v>
      </c>
      <c r="D352" s="54">
        <f>950000+297000+330000+114430</f>
        <v>1691430</v>
      </c>
      <c r="E352" s="54"/>
      <c r="F352" s="54"/>
      <c r="G352" s="54"/>
      <c r="H352" s="54">
        <f t="shared" si="32"/>
        <v>1691430</v>
      </c>
      <c r="I352" s="54">
        <v>1691430</v>
      </c>
      <c r="J352" s="54"/>
      <c r="K352" s="54"/>
      <c r="L352" s="54"/>
      <c r="M352" s="55">
        <f t="shared" si="30"/>
        <v>1691430</v>
      </c>
      <c r="N352" s="48">
        <f t="shared" si="31"/>
        <v>1</v>
      </c>
    </row>
    <row r="353" spans="1:14" ht="11.25">
      <c r="A353" s="2"/>
      <c r="B353" s="3" t="s">
        <v>170</v>
      </c>
      <c r="C353" s="20"/>
      <c r="D353" s="56">
        <f>SUM(D348:D352)</f>
        <v>1691430</v>
      </c>
      <c r="E353" s="56">
        <f>SUM(E348:E352)</f>
        <v>71500</v>
      </c>
      <c r="F353" s="56">
        <f>SUM(F348:F352)</f>
        <v>104800</v>
      </c>
      <c r="G353" s="56">
        <f>SUM(G348:G352)</f>
        <v>0</v>
      </c>
      <c r="H353" s="56">
        <f t="shared" si="32"/>
        <v>1867730</v>
      </c>
      <c r="I353" s="56">
        <f>SUM(I348:I352)</f>
        <v>1822289.79</v>
      </c>
      <c r="J353" s="56">
        <f>SUM(J348:J352)</f>
        <v>63587.55</v>
      </c>
      <c r="K353" s="56">
        <f>SUM(K348:K352)</f>
        <v>84200</v>
      </c>
      <c r="L353" s="56">
        <f>SUM(L348:L352)</f>
        <v>0</v>
      </c>
      <c r="M353" s="56">
        <f t="shared" si="30"/>
        <v>1970077.34</v>
      </c>
      <c r="N353" s="50">
        <f t="shared" si="31"/>
        <v>1.054797717014772</v>
      </c>
    </row>
    <row r="354" spans="1:14" ht="11.25">
      <c r="A354" s="4" t="s">
        <v>171</v>
      </c>
      <c r="B354" s="5"/>
      <c r="C354" s="9"/>
      <c r="D354" s="57">
        <f>SUM(D353,D347,D337,D333,D329,D323,D339,D320,D331,D317,D314,D308,D341,D302,D297)</f>
        <v>11151583</v>
      </c>
      <c r="E354" s="57">
        <f>SUM(E353,E347,E337,E333,E329,E323,E339,E320,E331,E317,E314,E308,E341,E302,E297)</f>
        <v>598500</v>
      </c>
      <c r="F354" s="57">
        <f>SUM(F353,F347,F337,F333,F329,F323,F339,F320,F331,F317,F314,F308,F341,F302,F297)</f>
        <v>42448440</v>
      </c>
      <c r="G354" s="57">
        <f>SUM(G353,G347,G337,G333,G329,G323,G339,G320,G331,G317,G314,G308,G341,G302,G297)</f>
        <v>406018</v>
      </c>
      <c r="H354" s="57">
        <f t="shared" si="32"/>
        <v>54604541</v>
      </c>
      <c r="I354" s="57">
        <f>SUM(I353,I347,I337,I333,I329,I323,I331,I339,I320,I317,I314,I341,I308,I302,I297)</f>
        <v>12224773.530000001</v>
      </c>
      <c r="J354" s="57">
        <f>SUM(J353,J347,J337,J333,J329,J323,J331,J339,J320,J317,J314,J341,J308,J302,J297)</f>
        <v>611963.6900000001</v>
      </c>
      <c r="K354" s="57">
        <f>SUM(K353,K347,K337,K333,K329,K323,K331,K339,K320,K317,K314,K341,K308,K302,K297)</f>
        <v>41585488.39</v>
      </c>
      <c r="L354" s="57">
        <f>SUM(L353,L347,L337,L333,L329,L323,L331,L339,L320,L317,L314,L341,L308,L302,L297)</f>
        <v>399969.61000000004</v>
      </c>
      <c r="M354" s="57">
        <f t="shared" si="30"/>
        <v>54822195.22</v>
      </c>
      <c r="N354" s="52">
        <f t="shared" si="31"/>
        <v>1.003986009515216</v>
      </c>
    </row>
    <row r="355" spans="1:14" ht="12" customHeight="1">
      <c r="A355" s="99" t="s">
        <v>172</v>
      </c>
      <c r="B355" s="1" t="s">
        <v>173</v>
      </c>
      <c r="C355" s="15" t="s">
        <v>18</v>
      </c>
      <c r="D355" s="54">
        <v>423990</v>
      </c>
      <c r="E355" s="54"/>
      <c r="F355" s="54"/>
      <c r="G355" s="54"/>
      <c r="H355" s="54">
        <f t="shared" si="32"/>
        <v>423990</v>
      </c>
      <c r="I355" s="54">
        <v>514776.8</v>
      </c>
      <c r="J355" s="54"/>
      <c r="K355" s="54"/>
      <c r="L355" s="54"/>
      <c r="M355" s="55">
        <f t="shared" si="30"/>
        <v>514776.8</v>
      </c>
      <c r="N355" s="48">
        <f t="shared" si="31"/>
        <v>1.2141248614354112</v>
      </c>
    </row>
    <row r="356" spans="1:14" ht="11.25">
      <c r="A356" s="93"/>
      <c r="B356" s="2"/>
      <c r="C356" s="11" t="s">
        <v>19</v>
      </c>
      <c r="D356" s="54">
        <v>350</v>
      </c>
      <c r="E356" s="54"/>
      <c r="F356" s="54"/>
      <c r="G356" s="54"/>
      <c r="H356" s="54">
        <f t="shared" si="32"/>
        <v>350</v>
      </c>
      <c r="I356" s="54">
        <v>506.23</v>
      </c>
      <c r="J356" s="54"/>
      <c r="K356" s="54"/>
      <c r="L356" s="54"/>
      <c r="M356" s="55">
        <f t="shared" si="30"/>
        <v>506.23</v>
      </c>
      <c r="N356" s="48">
        <f t="shared" si="31"/>
        <v>1.4463714285714286</v>
      </c>
    </row>
    <row r="357" spans="1:14" ht="11.25">
      <c r="A357" s="93"/>
      <c r="B357" s="3" t="s">
        <v>174</v>
      </c>
      <c r="C357" s="14"/>
      <c r="D357" s="56">
        <f>SUM(D355:D356)</f>
        <v>424340</v>
      </c>
      <c r="E357" s="56">
        <f>SUM(E355:E356)</f>
        <v>0</v>
      </c>
      <c r="F357" s="56">
        <f>SUM(F355:F356)</f>
        <v>0</v>
      </c>
      <c r="G357" s="56">
        <f>SUM(G355:G356)</f>
        <v>0</v>
      </c>
      <c r="H357" s="56">
        <f t="shared" si="32"/>
        <v>424340</v>
      </c>
      <c r="I357" s="56">
        <f>SUM(I355:I356)</f>
        <v>515283.02999999997</v>
      </c>
      <c r="J357" s="56">
        <f>SUM(J355:J356)</f>
        <v>0</v>
      </c>
      <c r="K357" s="56">
        <f>SUM(K355:K356)</f>
        <v>0</v>
      </c>
      <c r="L357" s="56">
        <f>SUM(L355:L356)</f>
        <v>0</v>
      </c>
      <c r="M357" s="56">
        <f t="shared" si="30"/>
        <v>515283.02999999997</v>
      </c>
      <c r="N357" s="51">
        <f t="shared" si="31"/>
        <v>1.2143164207946457</v>
      </c>
    </row>
    <row r="358" spans="1:14" s="29" customFormat="1" ht="11.25">
      <c r="A358" s="93"/>
      <c r="B358" s="90" t="s">
        <v>175</v>
      </c>
      <c r="C358" s="15" t="s">
        <v>16</v>
      </c>
      <c r="D358" s="58"/>
      <c r="E358" s="58"/>
      <c r="F358" s="58"/>
      <c r="G358" s="58"/>
      <c r="H358" s="54">
        <f t="shared" si="32"/>
        <v>0</v>
      </c>
      <c r="I358" s="54">
        <v>4932</v>
      </c>
      <c r="J358" s="58"/>
      <c r="K358" s="58"/>
      <c r="L358" s="58"/>
      <c r="M358" s="55">
        <f t="shared" si="30"/>
        <v>4932</v>
      </c>
      <c r="N358" s="48"/>
    </row>
    <row r="359" spans="1:14" s="29" customFormat="1" ht="90" customHeight="1">
      <c r="A359" s="93"/>
      <c r="B359" s="91"/>
      <c r="C359" s="15" t="s">
        <v>236</v>
      </c>
      <c r="D359" s="58"/>
      <c r="E359" s="58"/>
      <c r="F359" s="58"/>
      <c r="G359" s="58"/>
      <c r="H359" s="54">
        <f t="shared" si="32"/>
        <v>0</v>
      </c>
      <c r="I359" s="54">
        <v>0.3</v>
      </c>
      <c r="J359" s="58"/>
      <c r="K359" s="58"/>
      <c r="L359" s="58"/>
      <c r="M359" s="55">
        <f t="shared" si="30"/>
        <v>0.3</v>
      </c>
      <c r="N359" s="48"/>
    </row>
    <row r="360" spans="1:14" s="29" customFormat="1" ht="13.5" customHeight="1">
      <c r="A360" s="93"/>
      <c r="B360" s="91"/>
      <c r="C360" s="11" t="s">
        <v>19</v>
      </c>
      <c r="D360" s="58"/>
      <c r="E360" s="58"/>
      <c r="F360" s="58"/>
      <c r="G360" s="58"/>
      <c r="H360" s="54">
        <f t="shared" si="32"/>
        <v>0</v>
      </c>
      <c r="I360" s="54">
        <v>0.32</v>
      </c>
      <c r="J360" s="58"/>
      <c r="K360" s="58"/>
      <c r="L360" s="58"/>
      <c r="M360" s="55">
        <f t="shared" si="30"/>
        <v>0.32</v>
      </c>
      <c r="N360" s="48"/>
    </row>
    <row r="361" spans="1:14" ht="56.25" customHeight="1">
      <c r="A361" s="94"/>
      <c r="B361" s="92"/>
      <c r="C361" s="15" t="s">
        <v>146</v>
      </c>
      <c r="D361" s="54"/>
      <c r="E361" s="54">
        <v>4932</v>
      </c>
      <c r="F361" s="54"/>
      <c r="G361" s="54"/>
      <c r="H361" s="54">
        <f t="shared" si="32"/>
        <v>4932</v>
      </c>
      <c r="I361" s="54"/>
      <c r="J361" s="54">
        <v>1644</v>
      </c>
      <c r="K361" s="54"/>
      <c r="L361" s="54"/>
      <c r="M361" s="55">
        <f t="shared" si="30"/>
        <v>1644</v>
      </c>
      <c r="N361" s="48">
        <f>M361/H361</f>
        <v>0.3333333333333333</v>
      </c>
    </row>
    <row r="362" spans="1:14" ht="11.25">
      <c r="A362" s="2"/>
      <c r="B362" s="3" t="s">
        <v>176</v>
      </c>
      <c r="C362" s="19"/>
      <c r="D362" s="56">
        <f>SUM(D358:D361)</f>
        <v>0</v>
      </c>
      <c r="E362" s="56">
        <f>SUM(E358:E361)</f>
        <v>4932</v>
      </c>
      <c r="F362" s="56">
        <f>SUM(F358:F361)</f>
        <v>0</v>
      </c>
      <c r="G362" s="56">
        <f>SUM(G358:G361)</f>
        <v>0</v>
      </c>
      <c r="H362" s="56">
        <f t="shared" si="32"/>
        <v>4932</v>
      </c>
      <c r="I362" s="56">
        <f>SUM(I358:I361)</f>
        <v>4932.62</v>
      </c>
      <c r="J362" s="56">
        <f>SUM(J358:J361)</f>
        <v>1644</v>
      </c>
      <c r="K362" s="56">
        <f>SUM(K358:K361)</f>
        <v>0</v>
      </c>
      <c r="L362" s="56">
        <f>SUM(L358:L361)</f>
        <v>0</v>
      </c>
      <c r="M362" s="56">
        <f t="shared" si="30"/>
        <v>6576.62</v>
      </c>
      <c r="N362" s="51">
        <f>M362/H362</f>
        <v>1.3334590429845905</v>
      </c>
    </row>
    <row r="363" spans="1:14" ht="27" customHeight="1">
      <c r="A363" s="2"/>
      <c r="B363" s="90" t="s">
        <v>177</v>
      </c>
      <c r="C363" s="11" t="s">
        <v>20</v>
      </c>
      <c r="D363" s="54"/>
      <c r="E363" s="54"/>
      <c r="F363" s="54"/>
      <c r="G363" s="54"/>
      <c r="H363" s="54">
        <f t="shared" si="32"/>
        <v>0</v>
      </c>
      <c r="I363" s="54">
        <v>164.65</v>
      </c>
      <c r="J363" s="54"/>
      <c r="K363" s="54"/>
      <c r="L363" s="54"/>
      <c r="M363" s="55">
        <f t="shared" si="30"/>
        <v>164.65</v>
      </c>
      <c r="N363" s="48"/>
    </row>
    <row r="364" spans="1:14" ht="69.75" customHeight="1">
      <c r="A364" s="2"/>
      <c r="B364" s="95"/>
      <c r="C364" s="16" t="s">
        <v>37</v>
      </c>
      <c r="D364" s="54"/>
      <c r="E364" s="54"/>
      <c r="F364" s="54"/>
      <c r="G364" s="54">
        <f>291000+16000+9000</f>
        <v>316000</v>
      </c>
      <c r="H364" s="54">
        <f t="shared" si="32"/>
        <v>316000</v>
      </c>
      <c r="I364" s="54"/>
      <c r="J364" s="54"/>
      <c r="K364" s="54"/>
      <c r="L364" s="54">
        <v>315898.8</v>
      </c>
      <c r="M364" s="55">
        <f t="shared" si="30"/>
        <v>315898.8</v>
      </c>
      <c r="N364" s="48">
        <f>M364/H364</f>
        <v>0.999679746835443</v>
      </c>
    </row>
    <row r="365" spans="1:14" ht="56.25" customHeight="1">
      <c r="A365" s="2"/>
      <c r="B365" s="2"/>
      <c r="C365" s="11" t="s">
        <v>146</v>
      </c>
      <c r="D365" s="54"/>
      <c r="E365" s="54">
        <f>62000+8000</f>
        <v>70000</v>
      </c>
      <c r="F365" s="54"/>
      <c r="G365" s="54"/>
      <c r="H365" s="54">
        <f t="shared" si="32"/>
        <v>70000</v>
      </c>
      <c r="I365" s="54"/>
      <c r="J365" s="54">
        <v>80238</v>
      </c>
      <c r="K365" s="54"/>
      <c r="L365" s="54"/>
      <c r="M365" s="55">
        <f t="shared" si="30"/>
        <v>80238</v>
      </c>
      <c r="N365" s="48">
        <f>M365/H365</f>
        <v>1.1462571428571429</v>
      </c>
    </row>
    <row r="366" spans="1:14" ht="11.25">
      <c r="A366" s="2"/>
      <c r="B366" s="3" t="s">
        <v>178</v>
      </c>
      <c r="C366" s="14"/>
      <c r="D366" s="56">
        <f>SUM(D363:D365)</f>
        <v>0</v>
      </c>
      <c r="E366" s="56">
        <f>SUM(E363:E365)</f>
        <v>70000</v>
      </c>
      <c r="F366" s="56">
        <f>SUM(F363:F365)</f>
        <v>0</v>
      </c>
      <c r="G366" s="56">
        <f>SUM(G363:G365)</f>
        <v>316000</v>
      </c>
      <c r="H366" s="56">
        <f t="shared" si="32"/>
        <v>386000</v>
      </c>
      <c r="I366" s="56">
        <f>SUM(I363:I365)</f>
        <v>164.65</v>
      </c>
      <c r="J366" s="56">
        <f>SUM(J363:J365)</f>
        <v>80238</v>
      </c>
      <c r="K366" s="56">
        <f>SUM(K363:K365)</f>
        <v>0</v>
      </c>
      <c r="L366" s="56">
        <f>SUM(L363:L365)</f>
        <v>315898.8</v>
      </c>
      <c r="M366" s="56">
        <f>SUM(M363:M365)</f>
        <v>396301.45</v>
      </c>
      <c r="N366" s="51">
        <f>M366/H366</f>
        <v>1.026687694300518</v>
      </c>
    </row>
    <row r="367" spans="1:14" s="29" customFormat="1" ht="90" customHeight="1">
      <c r="A367" s="28"/>
      <c r="B367" s="90" t="s">
        <v>179</v>
      </c>
      <c r="C367" s="12" t="s">
        <v>17</v>
      </c>
      <c r="D367" s="58"/>
      <c r="E367" s="58"/>
      <c r="F367" s="58"/>
      <c r="G367" s="58"/>
      <c r="H367" s="54">
        <f t="shared" si="32"/>
        <v>0</v>
      </c>
      <c r="I367" s="54">
        <v>2418.27</v>
      </c>
      <c r="J367" s="58"/>
      <c r="K367" s="58"/>
      <c r="L367" s="58"/>
      <c r="M367" s="55">
        <f aca="true" t="shared" si="33" ref="M367:M398">SUM(I367:L367)</f>
        <v>2418.27</v>
      </c>
      <c r="N367" s="48"/>
    </row>
    <row r="368" spans="1:14" s="29" customFormat="1" ht="22.5">
      <c r="A368" s="28"/>
      <c r="B368" s="91"/>
      <c r="C368" s="11" t="s">
        <v>20</v>
      </c>
      <c r="D368" s="58"/>
      <c r="E368" s="58"/>
      <c r="F368" s="58"/>
      <c r="G368" s="58"/>
      <c r="H368" s="54">
        <f t="shared" si="32"/>
        <v>0</v>
      </c>
      <c r="I368" s="54">
        <v>1402.02</v>
      </c>
      <c r="J368" s="58"/>
      <c r="K368" s="58"/>
      <c r="L368" s="58"/>
      <c r="M368" s="55">
        <f t="shared" si="33"/>
        <v>1402.02</v>
      </c>
      <c r="N368" s="48"/>
    </row>
    <row r="369" spans="1:14" ht="91.5" customHeight="1">
      <c r="A369" s="2"/>
      <c r="B369" s="95"/>
      <c r="C369" s="16" t="s">
        <v>10</v>
      </c>
      <c r="D369" s="54">
        <v>128521</v>
      </c>
      <c r="E369" s="54"/>
      <c r="F369" s="54"/>
      <c r="G369" s="54"/>
      <c r="H369" s="54">
        <f t="shared" si="32"/>
        <v>128521</v>
      </c>
      <c r="I369" s="54">
        <v>127755.79</v>
      </c>
      <c r="J369" s="54"/>
      <c r="K369" s="54"/>
      <c r="L369" s="54"/>
      <c r="M369" s="55">
        <f t="shared" si="33"/>
        <v>127755.79</v>
      </c>
      <c r="N369" s="48">
        <f aca="true" t="shared" si="34" ref="N369:N385">M369/H369</f>
        <v>0.9940460313878665</v>
      </c>
    </row>
    <row r="370" spans="1:14" ht="57" customHeight="1">
      <c r="A370" s="2"/>
      <c r="B370" s="2"/>
      <c r="C370" s="16" t="s">
        <v>146</v>
      </c>
      <c r="D370" s="54"/>
      <c r="E370" s="54">
        <v>403800</v>
      </c>
      <c r="F370" s="54"/>
      <c r="G370" s="54"/>
      <c r="H370" s="54">
        <f t="shared" si="32"/>
        <v>403800</v>
      </c>
      <c r="I370" s="54"/>
      <c r="J370" s="54">
        <v>450000</v>
      </c>
      <c r="K370" s="54"/>
      <c r="L370" s="54"/>
      <c r="M370" s="55">
        <f t="shared" si="33"/>
        <v>450000</v>
      </c>
      <c r="N370" s="48">
        <f t="shared" si="34"/>
        <v>1.1144130757800892</v>
      </c>
    </row>
    <row r="371" spans="1:14" ht="91.5" customHeight="1">
      <c r="A371" s="2"/>
      <c r="B371" s="2"/>
      <c r="C371" s="16" t="s">
        <v>180</v>
      </c>
      <c r="D371" s="54">
        <v>561300</v>
      </c>
      <c r="E371" s="54"/>
      <c r="F371" s="54"/>
      <c r="G371" s="54"/>
      <c r="H371" s="54">
        <f t="shared" si="32"/>
        <v>561300</v>
      </c>
      <c r="I371" s="54">
        <v>561300</v>
      </c>
      <c r="J371" s="54"/>
      <c r="K371" s="54"/>
      <c r="L371" s="54"/>
      <c r="M371" s="55">
        <f t="shared" si="33"/>
        <v>561300</v>
      </c>
      <c r="N371" s="48">
        <f t="shared" si="34"/>
        <v>1</v>
      </c>
    </row>
    <row r="372" spans="1:14" ht="11.25">
      <c r="A372" s="2"/>
      <c r="B372" s="3" t="s">
        <v>181</v>
      </c>
      <c r="C372" s="19"/>
      <c r="D372" s="56">
        <f>SUM(D367:D371)</f>
        <v>689821</v>
      </c>
      <c r="E372" s="56">
        <f>SUM(E367:E371)</f>
        <v>403800</v>
      </c>
      <c r="F372" s="56">
        <f>SUM(F367:F371)</f>
        <v>0</v>
      </c>
      <c r="G372" s="56">
        <f>SUM(G367:G371)</f>
        <v>0</v>
      </c>
      <c r="H372" s="56">
        <f t="shared" si="32"/>
        <v>1093621</v>
      </c>
      <c r="I372" s="56">
        <f>SUM(I367:I371)</f>
        <v>692876.08</v>
      </c>
      <c r="J372" s="56">
        <f>SUM(J367:J371)</f>
        <v>450000</v>
      </c>
      <c r="K372" s="56">
        <f>SUM(K367:K371)</f>
        <v>0</v>
      </c>
      <c r="L372" s="56">
        <f>SUM(L367:L371)</f>
        <v>0</v>
      </c>
      <c r="M372" s="56">
        <f t="shared" si="33"/>
        <v>1142876.08</v>
      </c>
      <c r="N372" s="51">
        <f t="shared" si="34"/>
        <v>1.0450385279726706</v>
      </c>
    </row>
    <row r="373" spans="1:14" ht="15" customHeight="1">
      <c r="A373" s="2"/>
      <c r="B373" s="90" t="s">
        <v>182</v>
      </c>
      <c r="C373" s="16" t="s">
        <v>18</v>
      </c>
      <c r="D373" s="54">
        <v>180000</v>
      </c>
      <c r="E373" s="54"/>
      <c r="F373" s="54"/>
      <c r="G373" s="54"/>
      <c r="H373" s="54">
        <f t="shared" si="32"/>
        <v>180000</v>
      </c>
      <c r="I373" s="54">
        <v>221239.84</v>
      </c>
      <c r="J373" s="54"/>
      <c r="K373" s="54"/>
      <c r="L373" s="54"/>
      <c r="M373" s="55">
        <f t="shared" si="33"/>
        <v>221239.84</v>
      </c>
      <c r="N373" s="48">
        <f t="shared" si="34"/>
        <v>1.229110222222222</v>
      </c>
    </row>
    <row r="374" spans="1:14" ht="90" customHeight="1">
      <c r="A374" s="2"/>
      <c r="B374" s="91"/>
      <c r="C374" s="15" t="s">
        <v>236</v>
      </c>
      <c r="D374" s="54"/>
      <c r="E374" s="54"/>
      <c r="F374" s="54"/>
      <c r="G374" s="54"/>
      <c r="H374" s="54">
        <f t="shared" si="32"/>
        <v>0</v>
      </c>
      <c r="I374" s="54">
        <v>1.61</v>
      </c>
      <c r="J374" s="54"/>
      <c r="K374" s="54"/>
      <c r="L374" s="54"/>
      <c r="M374" s="55">
        <f t="shared" si="33"/>
        <v>1.61</v>
      </c>
      <c r="N374" s="48"/>
    </row>
    <row r="375" spans="1:14" ht="12.75" customHeight="1">
      <c r="A375" s="2"/>
      <c r="B375" s="91"/>
      <c r="C375" s="16" t="s">
        <v>19</v>
      </c>
      <c r="D375" s="54"/>
      <c r="E375" s="54"/>
      <c r="F375" s="54"/>
      <c r="G375" s="54"/>
      <c r="H375" s="54">
        <f t="shared" si="32"/>
        <v>0</v>
      </c>
      <c r="I375" s="54">
        <v>3078.16</v>
      </c>
      <c r="J375" s="54"/>
      <c r="K375" s="54"/>
      <c r="L375" s="54"/>
      <c r="M375" s="55">
        <f t="shared" si="33"/>
        <v>3078.16</v>
      </c>
      <c r="N375" s="48"/>
    </row>
    <row r="376" spans="1:14" ht="12.75" customHeight="1">
      <c r="A376" s="2"/>
      <c r="B376" s="91"/>
      <c r="C376" s="16" t="s">
        <v>215</v>
      </c>
      <c r="D376" s="54"/>
      <c r="E376" s="54"/>
      <c r="F376" s="54"/>
      <c r="G376" s="54"/>
      <c r="H376" s="54">
        <f>SUM(D376:G376)</f>
        <v>0</v>
      </c>
      <c r="I376" s="54">
        <v>4631.83</v>
      </c>
      <c r="J376" s="54"/>
      <c r="K376" s="54"/>
      <c r="L376" s="54"/>
      <c r="M376" s="55">
        <f t="shared" si="33"/>
        <v>4631.83</v>
      </c>
      <c r="N376" s="48"/>
    </row>
    <row r="377" spans="1:14" ht="12.75" customHeight="1">
      <c r="A377" s="2"/>
      <c r="B377" s="91"/>
      <c r="C377" s="16" t="s">
        <v>309</v>
      </c>
      <c r="D377" s="54"/>
      <c r="E377" s="54"/>
      <c r="F377" s="54"/>
      <c r="G377" s="54"/>
      <c r="H377" s="54"/>
      <c r="I377" s="54">
        <v>817.38</v>
      </c>
      <c r="J377" s="54"/>
      <c r="K377" s="54"/>
      <c r="L377" s="54"/>
      <c r="M377" s="55">
        <f t="shared" si="33"/>
        <v>817.38</v>
      </c>
      <c r="N377" s="48"/>
    </row>
    <row r="378" spans="1:14" ht="24" customHeight="1">
      <c r="A378" s="2"/>
      <c r="B378" s="91"/>
      <c r="C378" s="11" t="s">
        <v>20</v>
      </c>
      <c r="D378" s="54"/>
      <c r="E378" s="54"/>
      <c r="F378" s="54"/>
      <c r="G378" s="54"/>
      <c r="H378" s="54">
        <f aca="true" t="shared" si="35" ref="H378:H409">SUM(D378:G378)</f>
        <v>0</v>
      </c>
      <c r="I378" s="54">
        <v>282615.89</v>
      </c>
      <c r="J378" s="54"/>
      <c r="K378" s="54"/>
      <c r="L378" s="54"/>
      <c r="M378" s="55">
        <f t="shared" si="33"/>
        <v>282615.89</v>
      </c>
      <c r="N378" s="48"/>
    </row>
    <row r="379" spans="1:14" ht="90" customHeight="1">
      <c r="A379" s="2"/>
      <c r="B379" s="91"/>
      <c r="C379" s="16" t="s">
        <v>10</v>
      </c>
      <c r="D379" s="54">
        <f>3526034+784836</f>
        <v>4310870</v>
      </c>
      <c r="E379" s="54"/>
      <c r="F379" s="54"/>
      <c r="G379" s="54"/>
      <c r="H379" s="54">
        <f t="shared" si="35"/>
        <v>4310870</v>
      </c>
      <c r="I379" s="54">
        <v>3759664.56</v>
      </c>
      <c r="J379" s="54"/>
      <c r="K379" s="54"/>
      <c r="L379" s="54"/>
      <c r="M379" s="55">
        <f t="shared" si="33"/>
        <v>3759664.56</v>
      </c>
      <c r="N379" s="48">
        <f t="shared" si="34"/>
        <v>0.8721359168798873</v>
      </c>
    </row>
    <row r="380" spans="1:14" ht="93.75" customHeight="1">
      <c r="A380" s="2"/>
      <c r="B380" s="91"/>
      <c r="C380" s="16" t="s">
        <v>286</v>
      </c>
      <c r="D380" s="54">
        <f>217897+138501</f>
        <v>356398</v>
      </c>
      <c r="E380" s="54"/>
      <c r="F380" s="54"/>
      <c r="G380" s="54"/>
      <c r="H380" s="54">
        <f t="shared" si="35"/>
        <v>356398</v>
      </c>
      <c r="I380" s="54">
        <v>244630.56</v>
      </c>
      <c r="J380" s="54"/>
      <c r="K380" s="54"/>
      <c r="L380" s="54"/>
      <c r="M380" s="55">
        <f t="shared" si="33"/>
        <v>244630.56</v>
      </c>
      <c r="N380" s="48">
        <f t="shared" si="34"/>
        <v>0.6863971178289441</v>
      </c>
    </row>
    <row r="381" spans="1:14" ht="83.25" customHeight="1">
      <c r="A381" s="2"/>
      <c r="B381" s="91"/>
      <c r="C381" s="11" t="s">
        <v>183</v>
      </c>
      <c r="D381" s="54">
        <v>5000</v>
      </c>
      <c r="E381" s="54"/>
      <c r="F381" s="54"/>
      <c r="G381" s="54"/>
      <c r="H381" s="54">
        <f t="shared" si="35"/>
        <v>5000</v>
      </c>
      <c r="I381" s="54">
        <v>4830</v>
      </c>
      <c r="J381" s="54"/>
      <c r="K381" s="54"/>
      <c r="L381" s="54"/>
      <c r="M381" s="55">
        <f t="shared" si="33"/>
        <v>4830</v>
      </c>
      <c r="N381" s="48">
        <f t="shared" si="34"/>
        <v>0.966</v>
      </c>
    </row>
    <row r="382" spans="1:14" ht="83.25" customHeight="1">
      <c r="A382" s="2"/>
      <c r="B382" s="91"/>
      <c r="C382" s="11" t="s">
        <v>23</v>
      </c>
      <c r="D382" s="54"/>
      <c r="E382" s="54"/>
      <c r="F382" s="54"/>
      <c r="G382" s="54"/>
      <c r="H382" s="54">
        <f t="shared" si="35"/>
        <v>0</v>
      </c>
      <c r="I382" s="54">
        <v>15668.78</v>
      </c>
      <c r="J382" s="54"/>
      <c r="K382" s="54"/>
      <c r="L382" s="54"/>
      <c r="M382" s="55">
        <f t="shared" si="33"/>
        <v>15668.78</v>
      </c>
      <c r="N382" s="48"/>
    </row>
    <row r="383" spans="1:14" ht="104.25" customHeight="1">
      <c r="A383" s="2"/>
      <c r="B383" s="92"/>
      <c r="C383" s="15" t="s">
        <v>218</v>
      </c>
      <c r="D383" s="54"/>
      <c r="E383" s="54"/>
      <c r="F383" s="54"/>
      <c r="G383" s="54"/>
      <c r="H383" s="54">
        <f t="shared" si="35"/>
        <v>0</v>
      </c>
      <c r="I383" s="54">
        <v>192.49</v>
      </c>
      <c r="J383" s="54"/>
      <c r="K383" s="54"/>
      <c r="L383" s="54"/>
      <c r="M383" s="55">
        <f t="shared" si="33"/>
        <v>192.49</v>
      </c>
      <c r="N383" s="48"/>
    </row>
    <row r="384" spans="1:14" ht="17.25" customHeight="1">
      <c r="A384" s="2"/>
      <c r="B384" s="3" t="s">
        <v>184</v>
      </c>
      <c r="C384" s="20"/>
      <c r="D384" s="56">
        <f>SUM(D373:D383)</f>
        <v>4852268</v>
      </c>
      <c r="E384" s="56">
        <f>SUM(E373:E383)</f>
        <v>0</v>
      </c>
      <c r="F384" s="56">
        <f>SUM(F373:F383)</f>
        <v>0</v>
      </c>
      <c r="G384" s="56">
        <f>SUM(G373:G383)</f>
        <v>0</v>
      </c>
      <c r="H384" s="56">
        <f t="shared" si="35"/>
        <v>4852268</v>
      </c>
      <c r="I384" s="56">
        <f>SUM(I373:I383)</f>
        <v>4537371.1</v>
      </c>
      <c r="J384" s="56">
        <f>SUM(J373:J383)</f>
        <v>0</v>
      </c>
      <c r="K384" s="56">
        <f>SUM(K373:K383)</f>
        <v>0</v>
      </c>
      <c r="L384" s="56">
        <f>SUM(L373:L383)</f>
        <v>0</v>
      </c>
      <c r="M384" s="56">
        <f t="shared" si="33"/>
        <v>4537371.1</v>
      </c>
      <c r="N384" s="50">
        <f t="shared" si="34"/>
        <v>0.9351031517632579</v>
      </c>
    </row>
    <row r="385" spans="1:14" ht="14.25" customHeight="1">
      <c r="A385" s="4" t="s">
        <v>185</v>
      </c>
      <c r="B385" s="5"/>
      <c r="C385" s="9"/>
      <c r="D385" s="57">
        <f>SUM(D384,D372,D366,D362,D357)</f>
        <v>5966429</v>
      </c>
      <c r="E385" s="57">
        <f>SUM(E384,E372,E366,E362,E357)</f>
        <v>478732</v>
      </c>
      <c r="F385" s="57">
        <f>SUM(F384,F372,F366,F362,F357)</f>
        <v>0</v>
      </c>
      <c r="G385" s="57">
        <f>SUM(G384,G372,G366,G362,G357)</f>
        <v>316000</v>
      </c>
      <c r="H385" s="57">
        <f t="shared" si="35"/>
        <v>6761161</v>
      </c>
      <c r="I385" s="57">
        <f>SUM(I384,I372,I366,I362,I357)</f>
        <v>5750627.48</v>
      </c>
      <c r="J385" s="57">
        <f>SUM(J384,J372,J366,J362,J357)</f>
        <v>531882</v>
      </c>
      <c r="K385" s="57">
        <f>SUM(K384,K372,K366,K362,K357)</f>
        <v>0</v>
      </c>
      <c r="L385" s="57">
        <f>SUM(L384,L372,L366,L362,L357)</f>
        <v>315898.8</v>
      </c>
      <c r="M385" s="57">
        <f t="shared" si="33"/>
        <v>6598408.28</v>
      </c>
      <c r="N385" s="52">
        <f t="shared" si="34"/>
        <v>0.9759282880558532</v>
      </c>
    </row>
    <row r="386" spans="1:14" ht="57" customHeight="1">
      <c r="A386" s="99" t="s">
        <v>186</v>
      </c>
      <c r="B386" s="1" t="s">
        <v>248</v>
      </c>
      <c r="C386" s="15" t="s">
        <v>20</v>
      </c>
      <c r="D386" s="54"/>
      <c r="E386" s="54"/>
      <c r="F386" s="54"/>
      <c r="G386" s="54"/>
      <c r="H386" s="54">
        <f t="shared" si="35"/>
        <v>0</v>
      </c>
      <c r="I386" s="54">
        <v>221.13</v>
      </c>
      <c r="J386" s="54"/>
      <c r="K386" s="54"/>
      <c r="L386" s="54"/>
      <c r="M386" s="55">
        <f t="shared" si="33"/>
        <v>221.13</v>
      </c>
      <c r="N386" s="48"/>
    </row>
    <row r="387" spans="1:14" ht="11.25">
      <c r="A387" s="93"/>
      <c r="B387" s="3" t="s">
        <v>249</v>
      </c>
      <c r="C387" s="14"/>
      <c r="D387" s="56">
        <f>SUM(D386)</f>
        <v>0</v>
      </c>
      <c r="E387" s="56">
        <f>SUM(E386)</f>
        <v>0</v>
      </c>
      <c r="F387" s="56">
        <f>SUM(F386)</f>
        <v>0</v>
      </c>
      <c r="G387" s="56">
        <f>SUM(G386)</f>
        <v>0</v>
      </c>
      <c r="H387" s="56">
        <f t="shared" si="35"/>
        <v>0</v>
      </c>
      <c r="I387" s="56">
        <f>SUM(I386)</f>
        <v>221.13</v>
      </c>
      <c r="J387" s="56">
        <f>SUM(J386)</f>
        <v>0</v>
      </c>
      <c r="K387" s="56">
        <f>SUM(K386)</f>
        <v>0</v>
      </c>
      <c r="L387" s="56">
        <f>SUM(L386)</f>
        <v>0</v>
      </c>
      <c r="M387" s="56">
        <f t="shared" si="33"/>
        <v>221.13</v>
      </c>
      <c r="N387" s="51"/>
    </row>
    <row r="388" spans="1:14" s="29" customFormat="1" ht="18" customHeight="1">
      <c r="A388" s="93"/>
      <c r="B388" s="90" t="s">
        <v>187</v>
      </c>
      <c r="C388" s="15" t="s">
        <v>16</v>
      </c>
      <c r="D388" s="58"/>
      <c r="E388" s="58"/>
      <c r="F388" s="58"/>
      <c r="G388" s="58"/>
      <c r="H388" s="54">
        <f t="shared" si="35"/>
        <v>0</v>
      </c>
      <c r="I388" s="54">
        <v>27</v>
      </c>
      <c r="J388" s="58"/>
      <c r="K388" s="58"/>
      <c r="L388" s="58"/>
      <c r="M388" s="55">
        <f t="shared" si="33"/>
        <v>27</v>
      </c>
      <c r="N388" s="48"/>
    </row>
    <row r="389" spans="1:14" ht="90" customHeight="1">
      <c r="A389" s="93"/>
      <c r="B389" s="91"/>
      <c r="C389" s="12" t="s">
        <v>17</v>
      </c>
      <c r="D389" s="54">
        <v>5500</v>
      </c>
      <c r="E389" s="54"/>
      <c r="F389" s="54"/>
      <c r="G389" s="54"/>
      <c r="H389" s="54">
        <f t="shared" si="35"/>
        <v>5500</v>
      </c>
      <c r="I389" s="54">
        <v>35163.61</v>
      </c>
      <c r="J389" s="54"/>
      <c r="K389" s="54"/>
      <c r="L389" s="54"/>
      <c r="M389" s="55">
        <f t="shared" si="33"/>
        <v>35163.61</v>
      </c>
      <c r="N389" s="48">
        <f>M389/H389</f>
        <v>6.3933836363636365</v>
      </c>
    </row>
    <row r="390" spans="1:14" ht="15.75" customHeight="1">
      <c r="A390" s="93"/>
      <c r="B390" s="91"/>
      <c r="C390" s="16" t="s">
        <v>18</v>
      </c>
      <c r="D390" s="54"/>
      <c r="E390" s="54"/>
      <c r="F390" s="54"/>
      <c r="G390" s="54"/>
      <c r="H390" s="54">
        <f t="shared" si="35"/>
        <v>0</v>
      </c>
      <c r="I390" s="54">
        <v>40339.39</v>
      </c>
      <c r="J390" s="54"/>
      <c r="K390" s="54"/>
      <c r="L390" s="54"/>
      <c r="M390" s="55">
        <f t="shared" si="33"/>
        <v>40339.39</v>
      </c>
      <c r="N390" s="48"/>
    </row>
    <row r="391" spans="1:14" ht="15.75" customHeight="1">
      <c r="A391" s="93"/>
      <c r="B391" s="91"/>
      <c r="C391" s="16" t="s">
        <v>19</v>
      </c>
      <c r="D391" s="54"/>
      <c r="E391" s="54"/>
      <c r="F391" s="54"/>
      <c r="G391" s="54"/>
      <c r="H391" s="54">
        <f t="shared" si="35"/>
        <v>0</v>
      </c>
      <c r="I391" s="54">
        <v>726.82</v>
      </c>
      <c r="J391" s="54"/>
      <c r="K391" s="54"/>
      <c r="L391" s="54"/>
      <c r="M391" s="55">
        <f t="shared" si="33"/>
        <v>726.82</v>
      </c>
      <c r="N391" s="48"/>
    </row>
    <row r="392" spans="1:14" ht="24" customHeight="1">
      <c r="A392" s="93"/>
      <c r="B392" s="91"/>
      <c r="C392" s="11" t="s">
        <v>20</v>
      </c>
      <c r="D392" s="54"/>
      <c r="E392" s="54"/>
      <c r="F392" s="54"/>
      <c r="G392" s="54"/>
      <c r="H392" s="54">
        <f t="shared" si="35"/>
        <v>0</v>
      </c>
      <c r="I392" s="54">
        <v>2221.03</v>
      </c>
      <c r="J392" s="54"/>
      <c r="K392" s="54"/>
      <c r="L392" s="54"/>
      <c r="M392" s="55">
        <f t="shared" si="33"/>
        <v>2221.03</v>
      </c>
      <c r="N392" s="48"/>
    </row>
    <row r="393" spans="1:14" ht="57" customHeight="1">
      <c r="A393" s="93"/>
      <c r="B393" s="92"/>
      <c r="C393" s="11" t="s">
        <v>315</v>
      </c>
      <c r="D393" s="54"/>
      <c r="E393" s="54"/>
      <c r="F393" s="54"/>
      <c r="G393" s="54"/>
      <c r="H393" s="54">
        <f t="shared" si="35"/>
        <v>0</v>
      </c>
      <c r="I393" s="54">
        <v>131.88</v>
      </c>
      <c r="J393" s="54"/>
      <c r="K393" s="54"/>
      <c r="L393" s="54"/>
      <c r="M393" s="55">
        <f t="shared" si="33"/>
        <v>131.88</v>
      </c>
      <c r="N393" s="48"/>
    </row>
    <row r="394" spans="1:14" ht="11.25">
      <c r="A394" s="93"/>
      <c r="B394" s="3" t="s">
        <v>188</v>
      </c>
      <c r="C394" s="14"/>
      <c r="D394" s="56">
        <f>SUM(D388:D392)</f>
        <v>5500</v>
      </c>
      <c r="E394" s="56">
        <f>SUM(E388:E392)</f>
        <v>0</v>
      </c>
      <c r="F394" s="56">
        <f>SUM(F388:F392)</f>
        <v>0</v>
      </c>
      <c r="G394" s="56">
        <f>SUM(G388:G392)</f>
        <v>0</v>
      </c>
      <c r="H394" s="56">
        <f t="shared" si="35"/>
        <v>5500</v>
      </c>
      <c r="I394" s="56">
        <f>SUM(I388:I393)</f>
        <v>78609.73000000001</v>
      </c>
      <c r="J394" s="56">
        <f>SUM(J388:J392)</f>
        <v>0</v>
      </c>
      <c r="K394" s="56">
        <f>SUM(K388:K392)</f>
        <v>0</v>
      </c>
      <c r="L394" s="56">
        <f>SUM(L388:L392)</f>
        <v>0</v>
      </c>
      <c r="M394" s="56">
        <f t="shared" si="33"/>
        <v>78609.73000000001</v>
      </c>
      <c r="N394" s="51">
        <f>M394/H394</f>
        <v>14.292678181818184</v>
      </c>
    </row>
    <row r="395" spans="1:14" s="29" customFormat="1" ht="17.25" customHeight="1">
      <c r="A395" s="93"/>
      <c r="B395" s="90" t="s">
        <v>189</v>
      </c>
      <c r="C395" s="16" t="s">
        <v>19</v>
      </c>
      <c r="D395" s="58"/>
      <c r="E395" s="58"/>
      <c r="F395" s="58"/>
      <c r="G395" s="58"/>
      <c r="H395" s="54">
        <f t="shared" si="35"/>
        <v>0</v>
      </c>
      <c r="I395" s="54">
        <v>0.53</v>
      </c>
      <c r="J395" s="58"/>
      <c r="K395" s="58"/>
      <c r="L395" s="58"/>
      <c r="M395" s="55">
        <f t="shared" si="33"/>
        <v>0.53</v>
      </c>
      <c r="N395" s="48"/>
    </row>
    <row r="396" spans="1:14" ht="40.5" customHeight="1">
      <c r="A396" s="93"/>
      <c r="B396" s="92"/>
      <c r="C396" s="15" t="s">
        <v>20</v>
      </c>
      <c r="D396" s="54">
        <v>350</v>
      </c>
      <c r="E396" s="54"/>
      <c r="F396" s="54"/>
      <c r="G396" s="54"/>
      <c r="H396" s="54">
        <f t="shared" si="35"/>
        <v>350</v>
      </c>
      <c r="I396" s="54">
        <v>10995.68</v>
      </c>
      <c r="J396" s="54"/>
      <c r="K396" s="54"/>
      <c r="L396" s="54"/>
      <c r="M396" s="55">
        <f t="shared" si="33"/>
        <v>10995.68</v>
      </c>
      <c r="N396" s="48">
        <f>M396/H396</f>
        <v>31.416228571428572</v>
      </c>
    </row>
    <row r="397" spans="1:14" ht="11.25">
      <c r="A397" s="93"/>
      <c r="B397" s="3" t="s">
        <v>190</v>
      </c>
      <c r="C397" s="17"/>
      <c r="D397" s="56">
        <f>SUM(D395:D396)</f>
        <v>350</v>
      </c>
      <c r="E397" s="56">
        <f>SUM(E395:E396)</f>
        <v>0</v>
      </c>
      <c r="F397" s="56">
        <f>SUM(F395:F396)</f>
        <v>0</v>
      </c>
      <c r="G397" s="56">
        <f>SUM(G395:G396)</f>
        <v>0</v>
      </c>
      <c r="H397" s="56">
        <f t="shared" si="35"/>
        <v>350</v>
      </c>
      <c r="I397" s="56">
        <f>SUM(I395:I396)</f>
        <v>10996.210000000001</v>
      </c>
      <c r="J397" s="56">
        <f>SUM(J395:J396)</f>
        <v>0</v>
      </c>
      <c r="K397" s="56">
        <f>SUM(K395:K396)</f>
        <v>0</v>
      </c>
      <c r="L397" s="56">
        <f>SUM(L395:L396)</f>
        <v>0</v>
      </c>
      <c r="M397" s="56">
        <f t="shared" si="33"/>
        <v>10996.210000000001</v>
      </c>
      <c r="N397" s="51">
        <f>M397/H397</f>
        <v>31.41774285714286</v>
      </c>
    </row>
    <row r="398" spans="1:14" s="29" customFormat="1" ht="12" customHeight="1">
      <c r="A398" s="93"/>
      <c r="B398" s="107" t="s">
        <v>250</v>
      </c>
      <c r="C398" s="16" t="s">
        <v>126</v>
      </c>
      <c r="D398" s="58"/>
      <c r="E398" s="58"/>
      <c r="F398" s="58"/>
      <c r="G398" s="58"/>
      <c r="H398" s="54">
        <f t="shared" si="35"/>
        <v>0</v>
      </c>
      <c r="I398" s="54">
        <v>161.75</v>
      </c>
      <c r="J398" s="58"/>
      <c r="K398" s="58"/>
      <c r="L398" s="58"/>
      <c r="M398" s="55">
        <f t="shared" si="33"/>
        <v>161.75</v>
      </c>
      <c r="N398" s="48"/>
    </row>
    <row r="399" spans="1:14" ht="25.5" customHeight="1">
      <c r="A399" s="93"/>
      <c r="B399" s="108"/>
      <c r="C399" s="15" t="s">
        <v>20</v>
      </c>
      <c r="D399" s="54"/>
      <c r="E399" s="54"/>
      <c r="F399" s="54"/>
      <c r="G399" s="54"/>
      <c r="H399" s="54">
        <f t="shared" si="35"/>
        <v>0</v>
      </c>
      <c r="I399" s="54">
        <v>817.71</v>
      </c>
      <c r="J399" s="54"/>
      <c r="K399" s="54"/>
      <c r="L399" s="54"/>
      <c r="M399" s="55">
        <f aca="true" t="shared" si="36" ref="M399:M429">SUM(I399:L399)</f>
        <v>817.71</v>
      </c>
      <c r="N399" s="48"/>
    </row>
    <row r="400" spans="1:14" ht="54.75" customHeight="1">
      <c r="A400" s="93"/>
      <c r="B400" s="108"/>
      <c r="C400" s="11" t="s">
        <v>315</v>
      </c>
      <c r="D400" s="54"/>
      <c r="E400" s="54"/>
      <c r="F400" s="54"/>
      <c r="G400" s="54"/>
      <c r="H400" s="54">
        <f t="shared" si="35"/>
        <v>0</v>
      </c>
      <c r="I400" s="54">
        <v>48092.78</v>
      </c>
      <c r="J400" s="54"/>
      <c r="K400" s="54"/>
      <c r="L400" s="54"/>
      <c r="M400" s="55">
        <f t="shared" si="36"/>
        <v>48092.78</v>
      </c>
      <c r="N400" s="48"/>
    </row>
    <row r="401" spans="1:14" ht="81" customHeight="1">
      <c r="A401" s="93"/>
      <c r="B401" s="87"/>
      <c r="C401" s="11" t="s">
        <v>287</v>
      </c>
      <c r="D401" s="54">
        <f>47694+321</f>
        <v>48015</v>
      </c>
      <c r="E401" s="54"/>
      <c r="F401" s="54"/>
      <c r="G401" s="54"/>
      <c r="H401" s="54">
        <f t="shared" si="35"/>
        <v>48015</v>
      </c>
      <c r="I401" s="54">
        <v>38412.08</v>
      </c>
      <c r="J401" s="54"/>
      <c r="K401" s="54"/>
      <c r="L401" s="54"/>
      <c r="M401" s="55">
        <f t="shared" si="36"/>
        <v>38412.08</v>
      </c>
      <c r="N401" s="48">
        <f>M401/H401</f>
        <v>0.8000016661459961</v>
      </c>
    </row>
    <row r="402" spans="1:14" ht="11.25">
      <c r="A402" s="93"/>
      <c r="B402" s="3" t="s">
        <v>251</v>
      </c>
      <c r="C402" s="17"/>
      <c r="D402" s="56">
        <f>SUM(D398:D401)</f>
        <v>48015</v>
      </c>
      <c r="E402" s="56">
        <f>SUM(E398:E401)</f>
        <v>0</v>
      </c>
      <c r="F402" s="56">
        <f>SUM(F398:F401)</f>
        <v>0</v>
      </c>
      <c r="G402" s="56">
        <f>SUM(G398:G401)</f>
        <v>0</v>
      </c>
      <c r="H402" s="56">
        <f t="shared" si="35"/>
        <v>48015</v>
      </c>
      <c r="I402" s="56">
        <f>SUM(I398:I401)</f>
        <v>87484.32</v>
      </c>
      <c r="J402" s="56">
        <f>SUM(J398:J401)</f>
        <v>0</v>
      </c>
      <c r="K402" s="56">
        <f>SUM(K398:K401)</f>
        <v>0</v>
      </c>
      <c r="L402" s="56">
        <f>SUM(L398:L401)</f>
        <v>0</v>
      </c>
      <c r="M402" s="56">
        <f t="shared" si="36"/>
        <v>87484.32</v>
      </c>
      <c r="N402" s="51">
        <f>M402/H402</f>
        <v>1.8220206185567012</v>
      </c>
    </row>
    <row r="403" spans="1:14" ht="60.75" customHeight="1">
      <c r="A403" s="26"/>
      <c r="B403" s="30" t="s">
        <v>320</v>
      </c>
      <c r="C403" s="12" t="s">
        <v>315</v>
      </c>
      <c r="D403" s="54"/>
      <c r="E403" s="54"/>
      <c r="F403" s="54"/>
      <c r="G403" s="54"/>
      <c r="H403" s="54">
        <f t="shared" si="35"/>
        <v>0</v>
      </c>
      <c r="I403" s="54">
        <v>23340.85</v>
      </c>
      <c r="J403" s="54"/>
      <c r="K403" s="54"/>
      <c r="L403" s="54"/>
      <c r="M403" s="55">
        <f t="shared" si="36"/>
        <v>23340.85</v>
      </c>
      <c r="N403" s="48"/>
    </row>
    <row r="404" spans="1:14" ht="11.25">
      <c r="A404" s="23"/>
      <c r="B404" s="71" t="s">
        <v>321</v>
      </c>
      <c r="C404" s="17"/>
      <c r="D404" s="56">
        <f>SUM(D403)</f>
        <v>0</v>
      </c>
      <c r="E404" s="56">
        <f>SUM(E403)</f>
        <v>0</v>
      </c>
      <c r="F404" s="56">
        <f>SUM(F403)</f>
        <v>0</v>
      </c>
      <c r="G404" s="56">
        <f>SUM(G403)</f>
        <v>0</v>
      </c>
      <c r="H404" s="56">
        <f t="shared" si="35"/>
        <v>0</v>
      </c>
      <c r="I404" s="56">
        <f>SUM(I403)</f>
        <v>23340.85</v>
      </c>
      <c r="J404" s="56">
        <f>SUM(J403)</f>
        <v>0</v>
      </c>
      <c r="K404" s="56">
        <f>SUM(K403)</f>
        <v>0</v>
      </c>
      <c r="L404" s="56">
        <f>SUM(L403)</f>
        <v>0</v>
      </c>
      <c r="M404" s="56">
        <f t="shared" si="36"/>
        <v>23340.85</v>
      </c>
      <c r="N404" s="51"/>
    </row>
    <row r="405" spans="1:14" ht="104.25" customHeight="1">
      <c r="A405" s="26"/>
      <c r="B405" s="30" t="s">
        <v>322</v>
      </c>
      <c r="C405" s="12" t="s">
        <v>315</v>
      </c>
      <c r="D405" s="54"/>
      <c r="E405" s="54"/>
      <c r="F405" s="54"/>
      <c r="G405" s="54"/>
      <c r="H405" s="54">
        <f t="shared" si="35"/>
        <v>0</v>
      </c>
      <c r="I405" s="54">
        <v>16.39</v>
      </c>
      <c r="J405" s="54"/>
      <c r="K405" s="54"/>
      <c r="L405" s="54"/>
      <c r="M405" s="55">
        <f t="shared" si="36"/>
        <v>16.39</v>
      </c>
      <c r="N405" s="48"/>
    </row>
    <row r="406" spans="1:14" ht="11.25">
      <c r="A406" s="23"/>
      <c r="B406" s="71" t="s">
        <v>323</v>
      </c>
      <c r="C406" s="17"/>
      <c r="D406" s="56">
        <f>SUM(D405)</f>
        <v>0</v>
      </c>
      <c r="E406" s="56">
        <f>SUM(E405)</f>
        <v>0</v>
      </c>
      <c r="F406" s="56">
        <f>SUM(F405)</f>
        <v>0</v>
      </c>
      <c r="G406" s="56">
        <f>SUM(G405)</f>
        <v>0</v>
      </c>
      <c r="H406" s="56">
        <f t="shared" si="35"/>
        <v>0</v>
      </c>
      <c r="I406" s="56">
        <f>SUM(I405)</f>
        <v>16.39</v>
      </c>
      <c r="J406" s="56">
        <f>SUM(J405)</f>
        <v>0</v>
      </c>
      <c r="K406" s="56">
        <f>SUM(K405)</f>
        <v>0</v>
      </c>
      <c r="L406" s="56">
        <f>SUM(L405)</f>
        <v>0</v>
      </c>
      <c r="M406" s="56">
        <f t="shared" si="36"/>
        <v>16.39</v>
      </c>
      <c r="N406" s="51"/>
    </row>
    <row r="407" spans="1:14" ht="59.25" customHeight="1">
      <c r="A407" s="26"/>
      <c r="B407" s="30" t="s">
        <v>274</v>
      </c>
      <c r="C407" s="15" t="s">
        <v>159</v>
      </c>
      <c r="D407" s="54">
        <f>207655+72018+50470</f>
        <v>330143</v>
      </c>
      <c r="E407" s="54"/>
      <c r="F407" s="54"/>
      <c r="G407" s="54"/>
      <c r="H407" s="54">
        <f t="shared" si="35"/>
        <v>330143</v>
      </c>
      <c r="I407" s="54">
        <v>283247.91</v>
      </c>
      <c r="J407" s="54"/>
      <c r="K407" s="54"/>
      <c r="L407" s="54"/>
      <c r="M407" s="55">
        <f t="shared" si="36"/>
        <v>283247.91</v>
      </c>
      <c r="N407" s="48">
        <f>M407/H407</f>
        <v>0.8579552194049245</v>
      </c>
    </row>
    <row r="408" spans="1:14" ht="11.25">
      <c r="A408" s="23"/>
      <c r="B408" s="71" t="s">
        <v>275</v>
      </c>
      <c r="C408" s="17"/>
      <c r="D408" s="56">
        <f>SUM(D407)</f>
        <v>330143</v>
      </c>
      <c r="E408" s="56">
        <f>SUM(E407)</f>
        <v>0</v>
      </c>
      <c r="F408" s="56">
        <f>SUM(F407)</f>
        <v>0</v>
      </c>
      <c r="G408" s="56">
        <f>SUM(G407)</f>
        <v>0</v>
      </c>
      <c r="H408" s="56">
        <f t="shared" si="35"/>
        <v>330143</v>
      </c>
      <c r="I408" s="56">
        <f>SUM(I407)</f>
        <v>283247.91</v>
      </c>
      <c r="J408" s="56">
        <f>SUM(J407)</f>
        <v>0</v>
      </c>
      <c r="K408" s="56">
        <f>SUM(K407)</f>
        <v>0</v>
      </c>
      <c r="L408" s="56">
        <f>SUM(L407)</f>
        <v>0</v>
      </c>
      <c r="M408" s="56">
        <f t="shared" si="36"/>
        <v>283247.91</v>
      </c>
      <c r="N408" s="51">
        <f>M408/H408</f>
        <v>0.8579552194049245</v>
      </c>
    </row>
    <row r="409" spans="1:14" ht="15.75" customHeight="1">
      <c r="A409" s="23"/>
      <c r="B409" s="88" t="s">
        <v>294</v>
      </c>
      <c r="C409" s="16" t="s">
        <v>18</v>
      </c>
      <c r="D409" s="54"/>
      <c r="E409" s="54"/>
      <c r="F409" s="54"/>
      <c r="G409" s="54"/>
      <c r="H409" s="54">
        <f t="shared" si="35"/>
        <v>0</v>
      </c>
      <c r="I409" s="54"/>
      <c r="J409" s="54"/>
      <c r="K409" s="54"/>
      <c r="L409" s="54"/>
      <c r="M409" s="55">
        <f t="shared" si="36"/>
        <v>0</v>
      </c>
      <c r="N409" s="48"/>
    </row>
    <row r="410" spans="1:14" ht="15.75" customHeight="1">
      <c r="A410" s="23"/>
      <c r="B410" s="91"/>
      <c r="C410" s="16" t="s">
        <v>19</v>
      </c>
      <c r="D410" s="54"/>
      <c r="E410" s="54"/>
      <c r="F410" s="54"/>
      <c r="G410" s="54"/>
      <c r="H410" s="54">
        <f aca="true" t="shared" si="37" ref="H410:H440">SUM(D410:G410)</f>
        <v>0</v>
      </c>
      <c r="I410" s="54">
        <v>3158.58</v>
      </c>
      <c r="J410" s="54"/>
      <c r="K410" s="54"/>
      <c r="L410" s="54"/>
      <c r="M410" s="55">
        <f t="shared" si="36"/>
        <v>3158.58</v>
      </c>
      <c r="N410" s="48"/>
    </row>
    <row r="411" spans="1:14" ht="24" customHeight="1">
      <c r="A411" s="23"/>
      <c r="B411" s="91"/>
      <c r="C411" s="11" t="s">
        <v>20</v>
      </c>
      <c r="D411" s="54">
        <v>170714</v>
      </c>
      <c r="E411" s="54"/>
      <c r="F411" s="54"/>
      <c r="G411" s="54"/>
      <c r="H411" s="54">
        <f t="shared" si="37"/>
        <v>170714</v>
      </c>
      <c r="I411" s="54">
        <v>171194.32</v>
      </c>
      <c r="J411" s="54"/>
      <c r="K411" s="54"/>
      <c r="L411" s="54"/>
      <c r="M411" s="55">
        <f t="shared" si="36"/>
        <v>171194.32</v>
      </c>
      <c r="N411" s="48">
        <f>M411/H411</f>
        <v>1.0028135946671042</v>
      </c>
    </row>
    <row r="412" spans="1:14" ht="59.25" customHeight="1">
      <c r="A412" s="23"/>
      <c r="B412" s="92"/>
      <c r="C412" s="12" t="s">
        <v>315</v>
      </c>
      <c r="D412" s="54"/>
      <c r="E412" s="54"/>
      <c r="F412" s="54"/>
      <c r="G412" s="54"/>
      <c r="H412" s="54">
        <f t="shared" si="37"/>
        <v>0</v>
      </c>
      <c r="I412" s="54">
        <v>11978</v>
      </c>
      <c r="J412" s="54"/>
      <c r="K412" s="54"/>
      <c r="L412" s="54"/>
      <c r="M412" s="55">
        <f t="shared" si="36"/>
        <v>11978</v>
      </c>
      <c r="N412" s="48"/>
    </row>
    <row r="413" spans="1:14" ht="11.25">
      <c r="A413" s="23"/>
      <c r="B413" s="3" t="s">
        <v>295</v>
      </c>
      <c r="C413" s="14"/>
      <c r="D413" s="56">
        <f>SUM(D409:D412)</f>
        <v>170714</v>
      </c>
      <c r="E413" s="56">
        <f>SUM(E409:E412)</f>
        <v>0</v>
      </c>
      <c r="F413" s="56">
        <f>SUM(F409:F412)</f>
        <v>0</v>
      </c>
      <c r="G413" s="56">
        <f>SUM(G409:G412)</f>
        <v>0</v>
      </c>
      <c r="H413" s="56">
        <f t="shared" si="37"/>
        <v>170714</v>
      </c>
      <c r="I413" s="56">
        <f>SUM(I409:I412)</f>
        <v>186330.9</v>
      </c>
      <c r="J413" s="56">
        <f>SUM(J409:J412)</f>
        <v>0</v>
      </c>
      <c r="K413" s="56">
        <f>SUM(K409:K412)</f>
        <v>0</v>
      </c>
      <c r="L413" s="56">
        <f>SUM(L409:L412)</f>
        <v>0</v>
      </c>
      <c r="M413" s="56">
        <f t="shared" si="36"/>
        <v>186330.9</v>
      </c>
      <c r="N413" s="51">
        <f>M413/H413</f>
        <v>1.0914799020584134</v>
      </c>
    </row>
    <row r="414" spans="1:14" ht="11.25">
      <c r="A414" s="4" t="s">
        <v>191</v>
      </c>
      <c r="B414" s="5"/>
      <c r="C414" s="9"/>
      <c r="D414" s="57">
        <f>SUM(D397,D394,D387,D402,D404,D406,D408,D413)</f>
        <v>554722</v>
      </c>
      <c r="E414" s="57">
        <f>SUM(E397,E394,E387,E402,E404,E406,E408,E413)</f>
        <v>0</v>
      </c>
      <c r="F414" s="57">
        <f>SUM(F397,F394,F387,F402,F404,F406,F408,F413)</f>
        <v>0</v>
      </c>
      <c r="G414" s="57">
        <f>SUM(G397,G394,G387,G402,G404,G406,G408,G413)</f>
        <v>0</v>
      </c>
      <c r="H414" s="57">
        <f t="shared" si="37"/>
        <v>554722</v>
      </c>
      <c r="I414" s="57">
        <f>SUM(I397,I394,I387,I402,I404,I406,I408,I413)</f>
        <v>670247.4400000001</v>
      </c>
      <c r="J414" s="57">
        <f>SUM(J397,J394,J387,J402,J404,J406,J408,J413)</f>
        <v>0</v>
      </c>
      <c r="K414" s="57">
        <f>SUM(K397,K394,K387,K402,K404,K406,K408,K413)</f>
        <v>0</v>
      </c>
      <c r="L414" s="57">
        <f>SUM(L397,L394,L387,L402,L404,L406,L408,L413)</f>
        <v>0</v>
      </c>
      <c r="M414" s="57">
        <f t="shared" si="36"/>
        <v>670247.4400000001</v>
      </c>
      <c r="N414" s="52">
        <f aca="true" t="shared" si="38" ref="N414:N430">M414/H414</f>
        <v>1.2082582626973513</v>
      </c>
    </row>
    <row r="415" spans="1:14" s="29" customFormat="1" ht="11.25">
      <c r="A415" s="96" t="s">
        <v>192</v>
      </c>
      <c r="B415" s="101" t="s">
        <v>277</v>
      </c>
      <c r="C415" s="16" t="s">
        <v>19</v>
      </c>
      <c r="D415" s="60"/>
      <c r="E415" s="60"/>
      <c r="F415" s="60"/>
      <c r="G415" s="60"/>
      <c r="H415" s="54">
        <f t="shared" si="37"/>
        <v>0</v>
      </c>
      <c r="I415" s="54">
        <v>10112.21</v>
      </c>
      <c r="J415" s="60"/>
      <c r="K415" s="60"/>
      <c r="L415" s="60"/>
      <c r="M415" s="55">
        <f t="shared" si="36"/>
        <v>10112.21</v>
      </c>
      <c r="N415" s="48"/>
    </row>
    <row r="416" spans="1:14" ht="22.5" customHeight="1">
      <c r="A416" s="97"/>
      <c r="B416" s="102"/>
      <c r="C416" s="11" t="s">
        <v>20</v>
      </c>
      <c r="D416" s="54"/>
      <c r="E416" s="54"/>
      <c r="F416" s="54"/>
      <c r="G416" s="54"/>
      <c r="H416" s="54">
        <f t="shared" si="37"/>
        <v>0</v>
      </c>
      <c r="I416" s="54">
        <v>3733.3</v>
      </c>
      <c r="J416" s="54"/>
      <c r="K416" s="54"/>
      <c r="L416" s="54"/>
      <c r="M416" s="55">
        <f t="shared" si="36"/>
        <v>3733.3</v>
      </c>
      <c r="N416" s="48"/>
    </row>
    <row r="417" spans="1:14" ht="90.75" customHeight="1">
      <c r="A417" s="97"/>
      <c r="B417" s="103"/>
      <c r="C417" s="15" t="s">
        <v>27</v>
      </c>
      <c r="D417" s="54">
        <v>1767929</v>
      </c>
      <c r="E417" s="54"/>
      <c r="F417" s="54"/>
      <c r="G417" s="54"/>
      <c r="H417" s="54">
        <f t="shared" si="37"/>
        <v>1767929</v>
      </c>
      <c r="I417" s="54">
        <v>1765511.52</v>
      </c>
      <c r="J417" s="54"/>
      <c r="K417" s="54"/>
      <c r="L417" s="54"/>
      <c r="M417" s="55">
        <f t="shared" si="36"/>
        <v>1765511.52</v>
      </c>
      <c r="N417" s="48">
        <f t="shared" si="38"/>
        <v>0.9986325921459516</v>
      </c>
    </row>
    <row r="418" spans="1:14" ht="11.25">
      <c r="A418" s="97"/>
      <c r="B418" s="39" t="s">
        <v>278</v>
      </c>
      <c r="C418" s="14"/>
      <c r="D418" s="56">
        <f>SUM(D415:D417)</f>
        <v>1767929</v>
      </c>
      <c r="E418" s="56">
        <f>SUM(E415:E417)</f>
        <v>0</v>
      </c>
      <c r="F418" s="56">
        <f>SUM(F415:F417)</f>
        <v>0</v>
      </c>
      <c r="G418" s="56">
        <f>SUM(G415:G417)</f>
        <v>0</v>
      </c>
      <c r="H418" s="56">
        <f t="shared" si="37"/>
        <v>1767929</v>
      </c>
      <c r="I418" s="56">
        <f>SUM(I415:I417)</f>
        <v>1779357.03</v>
      </c>
      <c r="J418" s="56">
        <f>SUM(J415:J417)</f>
        <v>0</v>
      </c>
      <c r="K418" s="56">
        <f>SUM(K415:K417)</f>
        <v>0</v>
      </c>
      <c r="L418" s="56">
        <f>SUM(L415:L417)</f>
        <v>0</v>
      </c>
      <c r="M418" s="56">
        <f t="shared" si="36"/>
        <v>1779357.03</v>
      </c>
      <c r="N418" s="51">
        <f t="shared" si="38"/>
        <v>1.0064640774601243</v>
      </c>
    </row>
    <row r="419" spans="1:14" ht="34.5" customHeight="1">
      <c r="A419" s="97"/>
      <c r="B419" s="30" t="s">
        <v>252</v>
      </c>
      <c r="C419" s="15" t="s">
        <v>20</v>
      </c>
      <c r="D419" s="54">
        <v>3110</v>
      </c>
      <c r="E419" s="54"/>
      <c r="F419" s="54"/>
      <c r="G419" s="54"/>
      <c r="H419" s="54">
        <f t="shared" si="37"/>
        <v>3110</v>
      </c>
      <c r="I419" s="54">
        <v>3109</v>
      </c>
      <c r="J419" s="54"/>
      <c r="K419" s="54"/>
      <c r="L419" s="54"/>
      <c r="M419" s="55">
        <f t="shared" si="36"/>
        <v>3109</v>
      </c>
      <c r="N419" s="48">
        <f t="shared" si="38"/>
        <v>0.9996784565916399</v>
      </c>
    </row>
    <row r="420" spans="1:14" ht="11.25">
      <c r="A420" s="97"/>
      <c r="B420" s="39" t="s">
        <v>253</v>
      </c>
      <c r="C420" s="14"/>
      <c r="D420" s="56">
        <f>SUM(D419)</f>
        <v>3110</v>
      </c>
      <c r="E420" s="56">
        <f>SUM(E419)</f>
        <v>0</v>
      </c>
      <c r="F420" s="56">
        <f>SUM(F419)</f>
        <v>0</v>
      </c>
      <c r="G420" s="56">
        <f>SUM(G419)</f>
        <v>0</v>
      </c>
      <c r="H420" s="56">
        <f t="shared" si="37"/>
        <v>3110</v>
      </c>
      <c r="I420" s="56">
        <f>SUM(I419)</f>
        <v>3109</v>
      </c>
      <c r="J420" s="56">
        <f>SUM(J419)</f>
        <v>0</v>
      </c>
      <c r="K420" s="56">
        <f>SUM(K419)</f>
        <v>0</v>
      </c>
      <c r="L420" s="56">
        <f>SUM(L419)</f>
        <v>0</v>
      </c>
      <c r="M420" s="56">
        <f t="shared" si="36"/>
        <v>3109</v>
      </c>
      <c r="N420" s="51">
        <f t="shared" si="38"/>
        <v>0.9996784565916399</v>
      </c>
    </row>
    <row r="421" spans="1:14" s="29" customFormat="1" ht="45.75" customHeight="1">
      <c r="A421" s="97"/>
      <c r="B421" s="101" t="s">
        <v>254</v>
      </c>
      <c r="C421" s="15" t="s">
        <v>26</v>
      </c>
      <c r="D421" s="58"/>
      <c r="E421" s="58"/>
      <c r="F421" s="58"/>
      <c r="G421" s="58"/>
      <c r="H421" s="54">
        <f t="shared" si="37"/>
        <v>0</v>
      </c>
      <c r="I421" s="54">
        <v>71729.97</v>
      </c>
      <c r="J421" s="58"/>
      <c r="K421" s="58"/>
      <c r="L421" s="58"/>
      <c r="M421" s="55">
        <f t="shared" si="36"/>
        <v>71729.97</v>
      </c>
      <c r="N421" s="48"/>
    </row>
    <row r="422" spans="1:14" s="29" customFormat="1" ht="14.25" customHeight="1">
      <c r="A422" s="97"/>
      <c r="B422" s="102"/>
      <c r="C422" s="16" t="s">
        <v>19</v>
      </c>
      <c r="D422" s="58"/>
      <c r="E422" s="58"/>
      <c r="F422" s="58"/>
      <c r="G422" s="58"/>
      <c r="H422" s="54">
        <f t="shared" si="37"/>
        <v>0</v>
      </c>
      <c r="I422" s="54">
        <v>15853.78</v>
      </c>
      <c r="J422" s="58"/>
      <c r="K422" s="58"/>
      <c r="L422" s="58"/>
      <c r="M422" s="55">
        <f t="shared" si="36"/>
        <v>15853.78</v>
      </c>
      <c r="N422" s="48"/>
    </row>
    <row r="423" spans="1:14" ht="23.25" customHeight="1">
      <c r="A423" s="97"/>
      <c r="B423" s="103"/>
      <c r="C423" s="15" t="s">
        <v>20</v>
      </c>
      <c r="D423" s="54">
        <v>4780</v>
      </c>
      <c r="E423" s="54"/>
      <c r="F423" s="54"/>
      <c r="G423" s="54"/>
      <c r="H423" s="54">
        <f t="shared" si="37"/>
        <v>4780</v>
      </c>
      <c r="I423" s="54">
        <v>4776.48</v>
      </c>
      <c r="J423" s="54"/>
      <c r="K423" s="54"/>
      <c r="L423" s="54"/>
      <c r="M423" s="55">
        <f t="shared" si="36"/>
        <v>4776.48</v>
      </c>
      <c r="N423" s="48">
        <f t="shared" si="38"/>
        <v>0.9992635983263597</v>
      </c>
    </row>
    <row r="424" spans="1:14" ht="11.25">
      <c r="A424" s="33"/>
      <c r="B424" s="39" t="s">
        <v>255</v>
      </c>
      <c r="C424" s="14"/>
      <c r="D424" s="56">
        <f>SUM(D421:D423)</f>
        <v>4780</v>
      </c>
      <c r="E424" s="56">
        <f>SUM(E421:E423)</f>
        <v>0</v>
      </c>
      <c r="F424" s="56">
        <f>SUM(F421:F423)</f>
        <v>0</v>
      </c>
      <c r="G424" s="56">
        <f>SUM(G421:G423)</f>
        <v>0</v>
      </c>
      <c r="H424" s="56">
        <f t="shared" si="37"/>
        <v>4780</v>
      </c>
      <c r="I424" s="56">
        <f>SUM(I421:I423)</f>
        <v>92360.23</v>
      </c>
      <c r="J424" s="56">
        <f>SUM(J421:J423)</f>
        <v>0</v>
      </c>
      <c r="K424" s="56">
        <f>SUM(K421:K423)</f>
        <v>0</v>
      </c>
      <c r="L424" s="56">
        <f>SUM(L421:L423)</f>
        <v>0</v>
      </c>
      <c r="M424" s="56">
        <f t="shared" si="36"/>
        <v>92360.23</v>
      </c>
      <c r="N424" s="51">
        <f t="shared" si="38"/>
        <v>19.322223849372385</v>
      </c>
    </row>
    <row r="425" spans="1:14" ht="90" customHeight="1">
      <c r="A425" s="33"/>
      <c r="B425" s="40" t="s">
        <v>193</v>
      </c>
      <c r="C425" s="11" t="s">
        <v>17</v>
      </c>
      <c r="D425" s="54">
        <v>26730</v>
      </c>
      <c r="E425" s="54"/>
      <c r="F425" s="54"/>
      <c r="G425" s="54"/>
      <c r="H425" s="54">
        <f t="shared" si="37"/>
        <v>26730</v>
      </c>
      <c r="I425" s="54">
        <v>27187.92</v>
      </c>
      <c r="J425" s="54"/>
      <c r="K425" s="54"/>
      <c r="L425" s="54"/>
      <c r="M425" s="55">
        <f t="shared" si="36"/>
        <v>27187.92</v>
      </c>
      <c r="N425" s="48">
        <f t="shared" si="38"/>
        <v>1.017131313131313</v>
      </c>
    </row>
    <row r="426" spans="1:14" ht="11.25">
      <c r="A426" s="36"/>
      <c r="B426" s="3" t="s">
        <v>194</v>
      </c>
      <c r="C426" s="14"/>
      <c r="D426" s="56">
        <f>SUM(D425)</f>
        <v>26730</v>
      </c>
      <c r="E426" s="56">
        <f>SUM(E425)</f>
        <v>0</v>
      </c>
      <c r="F426" s="56">
        <f>SUM(F425)</f>
        <v>0</v>
      </c>
      <c r="G426" s="56">
        <f>SUM(G425)</f>
        <v>0</v>
      </c>
      <c r="H426" s="56">
        <f t="shared" si="37"/>
        <v>26730</v>
      </c>
      <c r="I426" s="56">
        <f>SUM(I425)</f>
        <v>27187.92</v>
      </c>
      <c r="J426" s="56">
        <f>SUM(J425)</f>
        <v>0</v>
      </c>
      <c r="K426" s="56">
        <f>SUM(K425)</f>
        <v>0</v>
      </c>
      <c r="L426" s="56">
        <f>SUM(L425)</f>
        <v>0</v>
      </c>
      <c r="M426" s="56">
        <f t="shared" si="36"/>
        <v>27187.92</v>
      </c>
      <c r="N426" s="51">
        <f t="shared" si="38"/>
        <v>1.017131313131313</v>
      </c>
    </row>
    <row r="427" spans="1:14" ht="54.75" customHeight="1">
      <c r="A427" s="2"/>
      <c r="B427" s="90" t="s">
        <v>195</v>
      </c>
      <c r="C427" s="15" t="s">
        <v>26</v>
      </c>
      <c r="D427" s="54">
        <f>693056+486944</f>
        <v>1180000</v>
      </c>
      <c r="E427" s="54"/>
      <c r="F427" s="54"/>
      <c r="G427" s="54"/>
      <c r="H427" s="54">
        <f t="shared" si="37"/>
        <v>1180000</v>
      </c>
      <c r="I427" s="54">
        <v>1218687.11</v>
      </c>
      <c r="J427" s="54"/>
      <c r="K427" s="54"/>
      <c r="L427" s="54"/>
      <c r="M427" s="55">
        <f t="shared" si="36"/>
        <v>1218687.11</v>
      </c>
      <c r="N427" s="48">
        <f t="shared" si="38"/>
        <v>1.0327856864406781</v>
      </c>
    </row>
    <row r="428" spans="1:14" ht="18.75" customHeight="1">
      <c r="A428" s="2"/>
      <c r="B428" s="91"/>
      <c r="C428" s="16" t="s">
        <v>16</v>
      </c>
      <c r="D428" s="54">
        <f>601500-301500</f>
        <v>300000</v>
      </c>
      <c r="E428" s="54"/>
      <c r="F428" s="54"/>
      <c r="G428" s="54"/>
      <c r="H428" s="54">
        <f t="shared" si="37"/>
        <v>300000</v>
      </c>
      <c r="I428" s="54">
        <v>290349.31</v>
      </c>
      <c r="J428" s="54"/>
      <c r="K428" s="54"/>
      <c r="L428" s="54"/>
      <c r="M428" s="55">
        <f t="shared" si="36"/>
        <v>290349.31</v>
      </c>
      <c r="N428" s="48">
        <f t="shared" si="38"/>
        <v>0.9678310333333333</v>
      </c>
    </row>
    <row r="429" spans="1:14" ht="19.5" customHeight="1">
      <c r="A429" s="2"/>
      <c r="B429" s="91"/>
      <c r="C429" s="16" t="s">
        <v>19</v>
      </c>
      <c r="D429" s="54"/>
      <c r="E429" s="54"/>
      <c r="F429" s="54"/>
      <c r="G429" s="54"/>
      <c r="H429" s="54">
        <f t="shared" si="37"/>
        <v>0</v>
      </c>
      <c r="I429" s="54">
        <v>202.7</v>
      </c>
      <c r="J429" s="54"/>
      <c r="K429" s="54"/>
      <c r="L429" s="54"/>
      <c r="M429" s="55">
        <f t="shared" si="36"/>
        <v>202.7</v>
      </c>
      <c r="N429" s="48"/>
    </row>
    <row r="430" spans="1:14" ht="11.25">
      <c r="A430" s="2"/>
      <c r="B430" s="3" t="s">
        <v>196</v>
      </c>
      <c r="C430" s="19"/>
      <c r="D430" s="56">
        <f>SUM(D427:D429)</f>
        <v>1480000</v>
      </c>
      <c r="E430" s="56">
        <f>SUM(E427:E429)</f>
        <v>0</v>
      </c>
      <c r="F430" s="56">
        <f>SUM(F427:F429)</f>
        <v>0</v>
      </c>
      <c r="G430" s="56">
        <f>SUM(G427:G429)</f>
        <v>0</v>
      </c>
      <c r="H430" s="56">
        <f t="shared" si="37"/>
        <v>1480000</v>
      </c>
      <c r="I430" s="56">
        <f>SUM(I427:I429)</f>
        <v>1509239.12</v>
      </c>
      <c r="J430" s="56">
        <f>SUM(J427:J429)</f>
        <v>0</v>
      </c>
      <c r="K430" s="56">
        <f>SUM(K427:K429)</f>
        <v>0</v>
      </c>
      <c r="L430" s="56">
        <f>SUM(L427:L429)</f>
        <v>0</v>
      </c>
      <c r="M430" s="56">
        <f aca="true" t="shared" si="39" ref="M430:M447">SUM(I430:L430)</f>
        <v>1509239.12</v>
      </c>
      <c r="N430" s="51">
        <f t="shared" si="38"/>
        <v>1.0197561621621622</v>
      </c>
    </row>
    <row r="431" spans="1:14" s="29" customFormat="1" ht="13.5" customHeight="1">
      <c r="A431" s="28"/>
      <c r="B431" s="90" t="s">
        <v>197</v>
      </c>
      <c r="C431" s="16" t="s">
        <v>16</v>
      </c>
      <c r="D431" s="54">
        <v>600</v>
      </c>
      <c r="E431" s="58"/>
      <c r="F431" s="58"/>
      <c r="G431" s="58"/>
      <c r="H431" s="54">
        <f t="shared" si="37"/>
        <v>600</v>
      </c>
      <c r="I431" s="54">
        <v>1288.26</v>
      </c>
      <c r="J431" s="58"/>
      <c r="K431" s="58"/>
      <c r="L431" s="58"/>
      <c r="M431" s="55">
        <f t="shared" si="39"/>
        <v>1288.26</v>
      </c>
      <c r="N431" s="48"/>
    </row>
    <row r="432" spans="1:14" ht="12.75" customHeight="1">
      <c r="A432" s="2"/>
      <c r="B432" s="91"/>
      <c r="C432" s="15" t="s">
        <v>18</v>
      </c>
      <c r="D432" s="54">
        <f>4230+270</f>
        <v>4500</v>
      </c>
      <c r="E432" s="54"/>
      <c r="F432" s="54"/>
      <c r="G432" s="54"/>
      <c r="H432" s="54">
        <f t="shared" si="37"/>
        <v>4500</v>
      </c>
      <c r="I432" s="54">
        <v>3921.49</v>
      </c>
      <c r="J432" s="54"/>
      <c r="K432" s="54"/>
      <c r="L432" s="54"/>
      <c r="M432" s="55">
        <f t="shared" si="39"/>
        <v>3921.49</v>
      </c>
      <c r="N432" s="48">
        <f aca="true" t="shared" si="40" ref="N432:N438">M432/H432</f>
        <v>0.8714422222222222</v>
      </c>
    </row>
    <row r="433" spans="1:14" ht="24.75" customHeight="1">
      <c r="A433" s="2"/>
      <c r="B433" s="95"/>
      <c r="C433" s="16" t="s">
        <v>20</v>
      </c>
      <c r="D433" s="54">
        <f>1610+2940</f>
        <v>4550</v>
      </c>
      <c r="E433" s="54"/>
      <c r="F433" s="54"/>
      <c r="G433" s="54"/>
      <c r="H433" s="54">
        <f t="shared" si="37"/>
        <v>4550</v>
      </c>
      <c r="I433" s="54">
        <v>17109.5</v>
      </c>
      <c r="J433" s="54"/>
      <c r="K433" s="54"/>
      <c r="L433" s="54"/>
      <c r="M433" s="55">
        <f t="shared" si="39"/>
        <v>17109.5</v>
      </c>
      <c r="N433" s="48">
        <f t="shared" si="40"/>
        <v>3.7603296703296705</v>
      </c>
    </row>
    <row r="434" spans="1:14" ht="90" customHeight="1">
      <c r="A434" s="2"/>
      <c r="B434" s="2"/>
      <c r="C434" s="16" t="s">
        <v>10</v>
      </c>
      <c r="D434" s="54"/>
      <c r="E434" s="54"/>
      <c r="F434" s="54"/>
      <c r="G434" s="54"/>
      <c r="H434" s="54">
        <f t="shared" si="37"/>
        <v>0</v>
      </c>
      <c r="I434" s="54">
        <v>10161.53</v>
      </c>
      <c r="J434" s="54"/>
      <c r="K434" s="54"/>
      <c r="L434" s="54"/>
      <c r="M434" s="55">
        <f t="shared" si="39"/>
        <v>10161.53</v>
      </c>
      <c r="N434" s="48"/>
    </row>
    <row r="435" spans="1:14" ht="81.75" customHeight="1">
      <c r="A435" s="2"/>
      <c r="B435" s="2"/>
      <c r="C435" s="16" t="s">
        <v>54</v>
      </c>
      <c r="D435" s="54">
        <f>4500+374145</f>
        <v>378645</v>
      </c>
      <c r="E435" s="54"/>
      <c r="F435" s="54"/>
      <c r="G435" s="54"/>
      <c r="H435" s="54">
        <f t="shared" si="37"/>
        <v>378645</v>
      </c>
      <c r="I435" s="54">
        <v>378124</v>
      </c>
      <c r="J435" s="54"/>
      <c r="K435" s="54"/>
      <c r="L435" s="54"/>
      <c r="M435" s="55">
        <f t="shared" si="39"/>
        <v>378124</v>
      </c>
      <c r="N435" s="48">
        <f t="shared" si="40"/>
        <v>0.9986240409882607</v>
      </c>
    </row>
    <row r="436" spans="1:14" ht="90" customHeight="1">
      <c r="A436" s="2"/>
      <c r="B436" s="2"/>
      <c r="C436" s="16" t="s">
        <v>27</v>
      </c>
      <c r="D436" s="54">
        <f>3859300+1520366</f>
        <v>5379666</v>
      </c>
      <c r="E436" s="54"/>
      <c r="F436" s="54"/>
      <c r="G436" s="54"/>
      <c r="H436" s="54">
        <f t="shared" si="37"/>
        <v>5379666</v>
      </c>
      <c r="I436" s="54">
        <v>5592274.1</v>
      </c>
      <c r="J436" s="54"/>
      <c r="K436" s="54"/>
      <c r="L436" s="54"/>
      <c r="M436" s="55">
        <f t="shared" si="39"/>
        <v>5592274.1</v>
      </c>
      <c r="N436" s="48">
        <f t="shared" si="40"/>
        <v>1.039520687715557</v>
      </c>
    </row>
    <row r="437" spans="1:14" ht="11.25">
      <c r="A437" s="2"/>
      <c r="B437" s="3" t="s">
        <v>198</v>
      </c>
      <c r="C437" s="17"/>
      <c r="D437" s="56">
        <f>SUM(D431:D436)</f>
        <v>5767961</v>
      </c>
      <c r="E437" s="56">
        <f>SUM(E431:E436)</f>
        <v>0</v>
      </c>
      <c r="F437" s="56">
        <f>SUM(F431:F436)</f>
        <v>0</v>
      </c>
      <c r="G437" s="56">
        <f>SUM(G431:G436)</f>
        <v>0</v>
      </c>
      <c r="H437" s="56">
        <f t="shared" si="37"/>
        <v>5767961</v>
      </c>
      <c r="I437" s="56">
        <f>SUM(I431:I436)</f>
        <v>6002878.88</v>
      </c>
      <c r="J437" s="56">
        <f>SUM(J431:J436)</f>
        <v>0</v>
      </c>
      <c r="K437" s="56">
        <f>SUM(K431:K436)</f>
        <v>0</v>
      </c>
      <c r="L437" s="56">
        <f>SUM(L431:L436)</f>
        <v>0</v>
      </c>
      <c r="M437" s="56">
        <f t="shared" si="39"/>
        <v>6002878.88</v>
      </c>
      <c r="N437" s="50">
        <f t="shared" si="40"/>
        <v>1.0407280631751845</v>
      </c>
    </row>
    <row r="438" spans="1:14" ht="11.25">
      <c r="A438" s="4" t="s">
        <v>192</v>
      </c>
      <c r="B438" s="5"/>
      <c r="C438" s="9"/>
      <c r="D438" s="57">
        <f>SUM(D437,D418,D430,D426,D424,D420)</f>
        <v>9050510</v>
      </c>
      <c r="E438" s="57">
        <f>SUM(E437,E418,E430,E426,E424,E420)</f>
        <v>0</v>
      </c>
      <c r="F438" s="57">
        <f>SUM(F437,F418,F430,F426,F424,F420)</f>
        <v>0</v>
      </c>
      <c r="G438" s="57">
        <f>SUM(G437,G418,G430,G426,G424,G420)</f>
        <v>0</v>
      </c>
      <c r="H438" s="57">
        <f t="shared" si="37"/>
        <v>9050510</v>
      </c>
      <c r="I438" s="57">
        <f>SUM(I437,I418,I430,I426,I424,I420)</f>
        <v>9414132.180000002</v>
      </c>
      <c r="J438" s="57">
        <f>SUM(J437,J418,J430,J426,J424,J420)</f>
        <v>0</v>
      </c>
      <c r="K438" s="57">
        <f>SUM(K437,K418,K430,K426,K424,K420)</f>
        <v>0</v>
      </c>
      <c r="L438" s="57">
        <f>SUM(L437,L418,L430,L426,L424,L420)</f>
        <v>0</v>
      </c>
      <c r="M438" s="57">
        <f t="shared" si="39"/>
        <v>9414132.180000002</v>
      </c>
      <c r="N438" s="52">
        <f t="shared" si="40"/>
        <v>1.0401769822916058</v>
      </c>
    </row>
    <row r="439" spans="1:14" ht="91.5" customHeight="1">
      <c r="A439" s="1" t="s">
        <v>256</v>
      </c>
      <c r="B439" s="90" t="s">
        <v>257</v>
      </c>
      <c r="C439" s="15" t="s">
        <v>236</v>
      </c>
      <c r="D439" s="54"/>
      <c r="E439" s="54"/>
      <c r="F439" s="54"/>
      <c r="G439" s="54"/>
      <c r="H439" s="54">
        <f t="shared" si="37"/>
        <v>0</v>
      </c>
      <c r="I439" s="54">
        <v>10.07</v>
      </c>
      <c r="J439" s="54"/>
      <c r="K439" s="54"/>
      <c r="L439" s="54"/>
      <c r="M439" s="55">
        <f t="shared" si="39"/>
        <v>10.07</v>
      </c>
      <c r="N439" s="48"/>
    </row>
    <row r="440" spans="1:14" ht="105" customHeight="1">
      <c r="A440" s="23"/>
      <c r="B440" s="92"/>
      <c r="C440" s="15" t="s">
        <v>218</v>
      </c>
      <c r="D440" s="54"/>
      <c r="E440" s="54"/>
      <c r="F440" s="54"/>
      <c r="G440" s="54"/>
      <c r="H440" s="54">
        <f t="shared" si="37"/>
        <v>0</v>
      </c>
      <c r="I440" s="54">
        <v>3778.5</v>
      </c>
      <c r="J440" s="54"/>
      <c r="K440" s="54"/>
      <c r="L440" s="54"/>
      <c r="M440" s="55">
        <f t="shared" si="39"/>
        <v>3778.5</v>
      </c>
      <c r="N440" s="48"/>
    </row>
    <row r="441" spans="1:14" ht="11.25">
      <c r="A441" s="2"/>
      <c r="B441" s="3" t="s">
        <v>258</v>
      </c>
      <c r="C441" s="14"/>
      <c r="D441" s="56">
        <f>SUM(D439:D440)</f>
        <v>0</v>
      </c>
      <c r="E441" s="56">
        <f>SUM(E439:E440)</f>
        <v>0</v>
      </c>
      <c r="F441" s="56">
        <f>SUM(F439:F440)</f>
        <v>0</v>
      </c>
      <c r="G441" s="56">
        <f>SUM(G439:G440)</f>
        <v>0</v>
      </c>
      <c r="H441" s="56">
        <f aca="true" t="shared" si="41" ref="H441:H447">SUM(D441:G441)</f>
        <v>0</v>
      </c>
      <c r="I441" s="56">
        <f>SUM(I439:I440)</f>
        <v>3788.57</v>
      </c>
      <c r="J441" s="56">
        <f>SUM(J439:J440)</f>
        <v>0</v>
      </c>
      <c r="K441" s="56">
        <f>SUM(K439:K440)</f>
        <v>0</v>
      </c>
      <c r="L441" s="56">
        <f>SUM(L439:L440)</f>
        <v>0</v>
      </c>
      <c r="M441" s="56">
        <f t="shared" si="39"/>
        <v>3788.57</v>
      </c>
      <c r="N441" s="51"/>
    </row>
    <row r="442" spans="1:14" ht="21.75" customHeight="1">
      <c r="A442" s="2"/>
      <c r="B442" s="22" t="s">
        <v>259</v>
      </c>
      <c r="C442" s="15" t="s">
        <v>20</v>
      </c>
      <c r="D442" s="54"/>
      <c r="E442" s="54"/>
      <c r="F442" s="54"/>
      <c r="G442" s="54"/>
      <c r="H442" s="54">
        <f t="shared" si="41"/>
        <v>0</v>
      </c>
      <c r="I442" s="54">
        <v>17876</v>
      </c>
      <c r="J442" s="54"/>
      <c r="K442" s="54"/>
      <c r="L442" s="54"/>
      <c r="M442" s="55">
        <f t="shared" si="39"/>
        <v>17876</v>
      </c>
      <c r="N442" s="48"/>
    </row>
    <row r="443" spans="1:14" ht="11.25">
      <c r="A443" s="2"/>
      <c r="B443" s="3" t="s">
        <v>260</v>
      </c>
      <c r="C443" s="19"/>
      <c r="D443" s="56">
        <f>SUM(D442:D442)</f>
        <v>0</v>
      </c>
      <c r="E443" s="56">
        <f>SUM(E442:E442)</f>
        <v>0</v>
      </c>
      <c r="F443" s="56">
        <f>SUM(F442:F442)</f>
        <v>0</v>
      </c>
      <c r="G443" s="56">
        <f>SUM(G442:G442)</f>
        <v>0</v>
      </c>
      <c r="H443" s="56">
        <f t="shared" si="41"/>
        <v>0</v>
      </c>
      <c r="I443" s="56">
        <f>SUM(I442:I442)</f>
        <v>17876</v>
      </c>
      <c r="J443" s="56">
        <f>SUM(J442:J442)</f>
        <v>0</v>
      </c>
      <c r="K443" s="56">
        <f>SUM(K442:K442)</f>
        <v>0</v>
      </c>
      <c r="L443" s="56">
        <f>SUM(L442:L442)</f>
        <v>0</v>
      </c>
      <c r="M443" s="56">
        <f t="shared" si="39"/>
        <v>17876</v>
      </c>
      <c r="N443" s="51"/>
    </row>
    <row r="444" spans="1:14" ht="103.5" customHeight="1">
      <c r="A444" s="2"/>
      <c r="B444" s="22" t="s">
        <v>296</v>
      </c>
      <c r="C444" s="15" t="s">
        <v>218</v>
      </c>
      <c r="D444" s="54"/>
      <c r="E444" s="54"/>
      <c r="F444" s="54"/>
      <c r="G444" s="54"/>
      <c r="H444" s="54">
        <f t="shared" si="41"/>
        <v>0</v>
      </c>
      <c r="I444" s="54">
        <v>215145</v>
      </c>
      <c r="J444" s="54"/>
      <c r="K444" s="54"/>
      <c r="L444" s="54"/>
      <c r="M444" s="55">
        <f t="shared" si="39"/>
        <v>215145</v>
      </c>
      <c r="N444" s="48"/>
    </row>
    <row r="445" spans="1:14" ht="11.25">
      <c r="A445" s="2"/>
      <c r="B445" s="3" t="s">
        <v>297</v>
      </c>
      <c r="C445" s="19"/>
      <c r="D445" s="56">
        <f>SUM(D444:D444)</f>
        <v>0</v>
      </c>
      <c r="E445" s="56">
        <f>SUM(E444:E444)</f>
        <v>0</v>
      </c>
      <c r="F445" s="56">
        <f>SUM(F444:F444)</f>
        <v>0</v>
      </c>
      <c r="G445" s="56">
        <f>SUM(G444:G444)</f>
        <v>0</v>
      </c>
      <c r="H445" s="56">
        <f t="shared" si="41"/>
        <v>0</v>
      </c>
      <c r="I445" s="56">
        <f>SUM(I444:I444)</f>
        <v>215145</v>
      </c>
      <c r="J445" s="56">
        <f>SUM(J444:J444)</f>
        <v>0</v>
      </c>
      <c r="K445" s="56">
        <f>SUM(K444:K444)</f>
        <v>0</v>
      </c>
      <c r="L445" s="56">
        <f>SUM(L444:L444)</f>
        <v>0</v>
      </c>
      <c r="M445" s="56">
        <f t="shared" si="39"/>
        <v>215145</v>
      </c>
      <c r="N445" s="51"/>
    </row>
    <row r="446" spans="1:14" s="29" customFormat="1" ht="103.5" customHeight="1">
      <c r="A446" s="28"/>
      <c r="B446" s="22" t="s">
        <v>261</v>
      </c>
      <c r="C446" s="15" t="s">
        <v>218</v>
      </c>
      <c r="D446" s="58"/>
      <c r="E446" s="58"/>
      <c r="F446" s="58"/>
      <c r="G446" s="58"/>
      <c r="H446" s="54">
        <f t="shared" si="41"/>
        <v>0</v>
      </c>
      <c r="I446" s="54">
        <v>27650.72</v>
      </c>
      <c r="J446" s="58"/>
      <c r="K446" s="58"/>
      <c r="L446" s="58"/>
      <c r="M446" s="55">
        <f t="shared" si="39"/>
        <v>27650.72</v>
      </c>
      <c r="N446" s="48"/>
    </row>
    <row r="447" spans="1:14" ht="11.25">
      <c r="A447" s="2"/>
      <c r="B447" s="3" t="s">
        <v>262</v>
      </c>
      <c r="C447" s="17"/>
      <c r="D447" s="56">
        <f>SUM(D446:D446)</f>
        <v>0</v>
      </c>
      <c r="E447" s="56">
        <f>SUM(E446:E446)</f>
        <v>0</v>
      </c>
      <c r="F447" s="56">
        <f>SUM(F446:F446)</f>
        <v>0</v>
      </c>
      <c r="G447" s="56">
        <f>SUM(G446:G446)</f>
        <v>0</v>
      </c>
      <c r="H447" s="56">
        <f t="shared" si="41"/>
        <v>0</v>
      </c>
      <c r="I447" s="56">
        <f>SUM(I446:I446)</f>
        <v>27650.72</v>
      </c>
      <c r="J447" s="56">
        <f>SUM(J446:J446)</f>
        <v>0</v>
      </c>
      <c r="K447" s="56">
        <f>SUM(K446:K446)</f>
        <v>0</v>
      </c>
      <c r="L447" s="56">
        <f>SUM(L446:L446)</f>
        <v>0</v>
      </c>
      <c r="M447" s="56">
        <f t="shared" si="39"/>
        <v>27650.72</v>
      </c>
      <c r="N447" s="50"/>
    </row>
    <row r="448" spans="1:14" ht="11.25">
      <c r="A448" s="4" t="s">
        <v>263</v>
      </c>
      <c r="B448" s="5"/>
      <c r="C448" s="9"/>
      <c r="D448" s="57">
        <f aca="true" t="shared" si="42" ref="D448:M448">SUM(D447,D445,D441,D443)</f>
        <v>0</v>
      </c>
      <c r="E448" s="57">
        <f t="shared" si="42"/>
        <v>0</v>
      </c>
      <c r="F448" s="57">
        <f t="shared" si="42"/>
        <v>0</v>
      </c>
      <c r="G448" s="57">
        <f t="shared" si="42"/>
        <v>0</v>
      </c>
      <c r="H448" s="57">
        <f t="shared" si="42"/>
        <v>0</v>
      </c>
      <c r="I448" s="57">
        <f t="shared" si="42"/>
        <v>264460.29000000004</v>
      </c>
      <c r="J448" s="57">
        <f t="shared" si="42"/>
        <v>0</v>
      </c>
      <c r="K448" s="57">
        <f t="shared" si="42"/>
        <v>0</v>
      </c>
      <c r="L448" s="57">
        <f t="shared" si="42"/>
        <v>0</v>
      </c>
      <c r="M448" s="57">
        <f t="shared" si="42"/>
        <v>264460.29000000004</v>
      </c>
      <c r="N448" s="52"/>
    </row>
    <row r="449" spans="1:14" ht="24" customHeight="1">
      <c r="A449" s="99" t="s">
        <v>199</v>
      </c>
      <c r="B449" s="90" t="s">
        <v>264</v>
      </c>
      <c r="C449" s="15" t="s">
        <v>20</v>
      </c>
      <c r="D449" s="54"/>
      <c r="E449" s="54"/>
      <c r="F449" s="54"/>
      <c r="G449" s="54"/>
      <c r="H449" s="54">
        <f aca="true" t="shared" si="43" ref="H449:H463">SUM(D449:G449)</f>
        <v>0</v>
      </c>
      <c r="I449" s="54">
        <v>1454916.92</v>
      </c>
      <c r="J449" s="54"/>
      <c r="K449" s="54"/>
      <c r="L449" s="54"/>
      <c r="M449" s="55">
        <f aca="true" t="shared" si="44" ref="M449:M462">SUM(I449:L449)</f>
        <v>1454916.92</v>
      </c>
      <c r="N449" s="48"/>
    </row>
    <row r="450" spans="1:14" ht="45.75" customHeight="1">
      <c r="A450" s="93"/>
      <c r="B450" s="91"/>
      <c r="C450" s="41" t="s">
        <v>266</v>
      </c>
      <c r="D450" s="54"/>
      <c r="E450" s="54"/>
      <c r="F450" s="54"/>
      <c r="G450" s="54"/>
      <c r="H450" s="54">
        <f t="shared" si="43"/>
        <v>0</v>
      </c>
      <c r="I450" s="54">
        <v>818824.07</v>
      </c>
      <c r="J450" s="54"/>
      <c r="K450" s="54"/>
      <c r="L450" s="54"/>
      <c r="M450" s="55">
        <f t="shared" si="44"/>
        <v>818824.07</v>
      </c>
      <c r="N450" s="48"/>
    </row>
    <row r="451" spans="1:14" ht="101.25" customHeight="1">
      <c r="A451" s="93"/>
      <c r="B451" s="92"/>
      <c r="C451" s="15" t="s">
        <v>218</v>
      </c>
      <c r="D451" s="54"/>
      <c r="E451" s="54"/>
      <c r="F451" s="54"/>
      <c r="G451" s="54"/>
      <c r="H451" s="54">
        <f t="shared" si="43"/>
        <v>0</v>
      </c>
      <c r="I451" s="54">
        <v>201828.75</v>
      </c>
      <c r="J451" s="54"/>
      <c r="K451" s="54"/>
      <c r="L451" s="54"/>
      <c r="M451" s="55">
        <f t="shared" si="44"/>
        <v>201828.75</v>
      </c>
      <c r="N451" s="48"/>
    </row>
    <row r="452" spans="1:14" ht="11.25">
      <c r="A452" s="93"/>
      <c r="B452" s="3" t="s">
        <v>265</v>
      </c>
      <c r="C452" s="20"/>
      <c r="D452" s="56">
        <f>SUM(D449:D451)</f>
        <v>0</v>
      </c>
      <c r="E452" s="56">
        <f>SUM(E449:E451)</f>
        <v>0</v>
      </c>
      <c r="F452" s="56">
        <f>SUM(F449:F451)</f>
        <v>0</v>
      </c>
      <c r="G452" s="56">
        <f>SUM(G449:G451)</f>
        <v>0</v>
      </c>
      <c r="H452" s="56">
        <f t="shared" si="43"/>
        <v>0</v>
      </c>
      <c r="I452" s="56">
        <f>SUM(I449:I451)</f>
        <v>2475569.7399999998</v>
      </c>
      <c r="J452" s="56">
        <f>SUM(J449:J451)</f>
        <v>0</v>
      </c>
      <c r="K452" s="56">
        <f>SUM(K449:K451)</f>
        <v>0</v>
      </c>
      <c r="L452" s="56">
        <f>SUM(L449:L451)</f>
        <v>0</v>
      </c>
      <c r="M452" s="56">
        <f t="shared" si="44"/>
        <v>2475569.7399999998</v>
      </c>
      <c r="N452" s="51"/>
    </row>
    <row r="453" spans="1:14" s="10" customFormat="1" ht="89.25" customHeight="1">
      <c r="A453" s="93"/>
      <c r="B453" s="112" t="s">
        <v>200</v>
      </c>
      <c r="C453" s="15" t="s">
        <v>17</v>
      </c>
      <c r="D453" s="55">
        <v>1650017</v>
      </c>
      <c r="E453" s="61"/>
      <c r="F453" s="61"/>
      <c r="G453" s="61"/>
      <c r="H453" s="55">
        <f t="shared" si="43"/>
        <v>1650017</v>
      </c>
      <c r="I453" s="55">
        <v>1694288.56</v>
      </c>
      <c r="J453" s="61"/>
      <c r="K453" s="61"/>
      <c r="L453" s="61"/>
      <c r="M453" s="55">
        <f t="shared" si="44"/>
        <v>1694288.56</v>
      </c>
      <c r="N453" s="48">
        <f aca="true" t="shared" si="45" ref="N453:N463">M453/H453</f>
        <v>1.0268309720445306</v>
      </c>
    </row>
    <row r="454" spans="1:14" s="10" customFormat="1" ht="12" customHeight="1">
      <c r="A454" s="93"/>
      <c r="B454" s="113"/>
      <c r="C454" s="15" t="s">
        <v>18</v>
      </c>
      <c r="D454" s="55">
        <f>880000+127153</f>
        <v>1007153</v>
      </c>
      <c r="E454" s="61"/>
      <c r="F454" s="61"/>
      <c r="G454" s="61"/>
      <c r="H454" s="55">
        <f t="shared" si="43"/>
        <v>1007153</v>
      </c>
      <c r="I454" s="55">
        <v>1281588.78</v>
      </c>
      <c r="J454" s="61"/>
      <c r="K454" s="61"/>
      <c r="L454" s="61"/>
      <c r="M454" s="55">
        <f t="shared" si="44"/>
        <v>1281588.78</v>
      </c>
      <c r="N454" s="48">
        <f t="shared" si="45"/>
        <v>1.2724866827582304</v>
      </c>
    </row>
    <row r="455" spans="1:14" s="10" customFormat="1" ht="21.75" customHeight="1">
      <c r="A455" s="93"/>
      <c r="B455" s="113"/>
      <c r="C455" s="41" t="s">
        <v>267</v>
      </c>
      <c r="D455" s="55"/>
      <c r="E455" s="61"/>
      <c r="F455" s="61"/>
      <c r="G455" s="61"/>
      <c r="H455" s="55">
        <f t="shared" si="43"/>
        <v>0</v>
      </c>
      <c r="I455" s="55">
        <v>24839.58</v>
      </c>
      <c r="J455" s="61"/>
      <c r="K455" s="61"/>
      <c r="L455" s="61"/>
      <c r="M455" s="55">
        <f t="shared" si="44"/>
        <v>24839.58</v>
      </c>
      <c r="N455" s="48"/>
    </row>
    <row r="456" spans="1:14" s="10" customFormat="1" ht="23.25" customHeight="1">
      <c r="A456" s="93"/>
      <c r="B456" s="113"/>
      <c r="C456" s="41" t="s">
        <v>137</v>
      </c>
      <c r="D456" s="55">
        <v>5500</v>
      </c>
      <c r="E456" s="61"/>
      <c r="F456" s="61"/>
      <c r="G456" s="61"/>
      <c r="H456" s="55">
        <f t="shared" si="43"/>
        <v>5500</v>
      </c>
      <c r="I456" s="55">
        <v>573.62</v>
      </c>
      <c r="J456" s="61"/>
      <c r="K456" s="61"/>
      <c r="L456" s="61"/>
      <c r="M456" s="55">
        <f t="shared" si="44"/>
        <v>573.62</v>
      </c>
      <c r="N456" s="48">
        <f t="shared" si="45"/>
        <v>0.10429454545454546</v>
      </c>
    </row>
    <row r="457" spans="1:14" s="10" customFormat="1" ht="90" customHeight="1">
      <c r="A457" s="93"/>
      <c r="B457" s="113"/>
      <c r="C457" s="15" t="s">
        <v>236</v>
      </c>
      <c r="D457" s="55"/>
      <c r="E457" s="61"/>
      <c r="F457" s="61"/>
      <c r="G457" s="61"/>
      <c r="H457" s="55">
        <f t="shared" si="43"/>
        <v>0</v>
      </c>
      <c r="I457" s="55">
        <v>125.2</v>
      </c>
      <c r="J457" s="61"/>
      <c r="K457" s="61"/>
      <c r="L457" s="61"/>
      <c r="M457" s="55">
        <f t="shared" si="44"/>
        <v>125.2</v>
      </c>
      <c r="N457" s="48"/>
    </row>
    <row r="458" spans="1:14" s="10" customFormat="1" ht="14.25" customHeight="1">
      <c r="A458" s="93"/>
      <c r="B458" s="113"/>
      <c r="C458" s="16" t="s">
        <v>19</v>
      </c>
      <c r="D458" s="55"/>
      <c r="E458" s="61"/>
      <c r="F458" s="61"/>
      <c r="G458" s="61"/>
      <c r="H458" s="55">
        <f t="shared" si="43"/>
        <v>0</v>
      </c>
      <c r="I458" s="55">
        <v>25014.77</v>
      </c>
      <c r="J458" s="61"/>
      <c r="K458" s="61"/>
      <c r="L458" s="61"/>
      <c r="M458" s="55">
        <f t="shared" si="44"/>
        <v>25014.77</v>
      </c>
      <c r="N458" s="48"/>
    </row>
    <row r="459" spans="1:14" s="10" customFormat="1" ht="22.5" customHeight="1">
      <c r="A459" s="93"/>
      <c r="B459" s="113"/>
      <c r="C459" s="15" t="s">
        <v>20</v>
      </c>
      <c r="D459" s="55">
        <f>2318683+627355</f>
        <v>2946038</v>
      </c>
      <c r="E459" s="61"/>
      <c r="F459" s="61"/>
      <c r="G459" s="61"/>
      <c r="H459" s="55">
        <f t="shared" si="43"/>
        <v>2946038</v>
      </c>
      <c r="I459" s="55">
        <v>3155344.48</v>
      </c>
      <c r="J459" s="61"/>
      <c r="K459" s="61"/>
      <c r="L459" s="61"/>
      <c r="M459" s="55">
        <f t="shared" si="44"/>
        <v>3155344.48</v>
      </c>
      <c r="N459" s="48">
        <f t="shared" si="45"/>
        <v>1.0710467685752865</v>
      </c>
    </row>
    <row r="460" spans="1:14" s="10" customFormat="1" ht="101.25" customHeight="1">
      <c r="A460" s="93"/>
      <c r="B460" s="114"/>
      <c r="C460" s="15" t="s">
        <v>218</v>
      </c>
      <c r="D460" s="61"/>
      <c r="E460" s="61"/>
      <c r="F460" s="61"/>
      <c r="G460" s="61"/>
      <c r="H460" s="55">
        <f t="shared" si="43"/>
        <v>0</v>
      </c>
      <c r="I460" s="55">
        <v>1544.67</v>
      </c>
      <c r="J460" s="61"/>
      <c r="K460" s="61"/>
      <c r="L460" s="61"/>
      <c r="M460" s="55">
        <f t="shared" si="44"/>
        <v>1544.67</v>
      </c>
      <c r="N460" s="48"/>
    </row>
    <row r="461" spans="1:14" ht="11.25">
      <c r="A461" s="100"/>
      <c r="B461" s="3" t="s">
        <v>201</v>
      </c>
      <c r="C461" s="20"/>
      <c r="D461" s="56">
        <f>SUM(D453:D460)</f>
        <v>5608708</v>
      </c>
      <c r="E461" s="56">
        <f>SUM(E453:E460)</f>
        <v>0</v>
      </c>
      <c r="F461" s="56">
        <f>SUM(F453:F460)</f>
        <v>0</v>
      </c>
      <c r="G461" s="56">
        <f>SUM(G453:G460)</f>
        <v>0</v>
      </c>
      <c r="H461" s="56">
        <f t="shared" si="43"/>
        <v>5608708</v>
      </c>
      <c r="I461" s="56">
        <f>SUM(I453:I460)</f>
        <v>6183319.66</v>
      </c>
      <c r="J461" s="56">
        <f>SUM(J453:J460)</f>
        <v>0</v>
      </c>
      <c r="K461" s="56">
        <f>SUM(K453:K460)</f>
        <v>0</v>
      </c>
      <c r="L461" s="56">
        <f>SUM(L453:L460)</f>
        <v>0</v>
      </c>
      <c r="M461" s="56">
        <f t="shared" si="44"/>
        <v>6183319.66</v>
      </c>
      <c r="N461" s="50">
        <f t="shared" si="45"/>
        <v>1.1024499153815817</v>
      </c>
    </row>
    <row r="462" spans="1:14" ht="11.25">
      <c r="A462" s="4" t="s">
        <v>202</v>
      </c>
      <c r="B462" s="5"/>
      <c r="C462" s="9"/>
      <c r="D462" s="57">
        <f>SUM(D461,D452)</f>
        <v>5608708</v>
      </c>
      <c r="E462" s="57">
        <f>SUM(E461,E452)</f>
        <v>0</v>
      </c>
      <c r="F462" s="57">
        <f>SUM(F461,F452)</f>
        <v>0</v>
      </c>
      <c r="G462" s="57">
        <f>SUM(G461,G452)</f>
        <v>0</v>
      </c>
      <c r="H462" s="57">
        <f t="shared" si="43"/>
        <v>5608708</v>
      </c>
      <c r="I462" s="57">
        <f>SUM(I461,I452)</f>
        <v>8658889.4</v>
      </c>
      <c r="J462" s="57">
        <f>SUM(J461,J452)</f>
        <v>0</v>
      </c>
      <c r="K462" s="57">
        <f>SUM(K461,K452)</f>
        <v>0</v>
      </c>
      <c r="L462" s="57">
        <f>SUM(L461,L452)</f>
        <v>0</v>
      </c>
      <c r="M462" s="57">
        <f t="shared" si="44"/>
        <v>8658889.4</v>
      </c>
      <c r="N462" s="52">
        <f t="shared" si="45"/>
        <v>1.5438295949798064</v>
      </c>
    </row>
    <row r="463" spans="1:14" s="6" customFormat="1" ht="11.25">
      <c r="A463" s="42" t="s">
        <v>7</v>
      </c>
      <c r="B463" s="43"/>
      <c r="C463" s="44"/>
      <c r="D463" s="62">
        <f>SUM(D462,D448,D414,D385,D354,D287,D268,D180,D170,D132,D120,D115,D90,D64,D438,D49,D46,D14,D6,D9)</f>
        <v>977256088</v>
      </c>
      <c r="E463" s="62">
        <f>SUM(E462,E448,E414,E385,E354,E287,E268,E180,E170,E132,E120,E115,E90,E64,E438,E49,E46,E14,E6,E9)</f>
        <v>10538507</v>
      </c>
      <c r="F463" s="62">
        <f>SUM(F462,F448,F414,F385,F354,F287,F268,F180,F170,F132,F120,F115,F90,F64,F438,F49,F46,F14,F6,F9)</f>
        <v>44433560</v>
      </c>
      <c r="G463" s="62">
        <f>SUM(G462,G448,G414,G385,G354,G287,G268,G180,G170,G132,G120,G115,G90,G64,G438,G49,G46,G14,G6,G9)</f>
        <v>24875755</v>
      </c>
      <c r="H463" s="62">
        <f t="shared" si="43"/>
        <v>1057103910</v>
      </c>
      <c r="I463" s="62">
        <f>SUM(I462,I448,I438,I414,I385,I354,I287,I268,I180,I170,I132,I120,I115,I90,I64,I49,I46,I14,I6,I9)</f>
        <v>948288633.7900001</v>
      </c>
      <c r="J463" s="62">
        <f>SUM(J462,J448,J438,J414,J385,J354,J287,J268,J180,J170,J132,J120,J115,J90,J64,J49,J46,J14,J6,J9)</f>
        <v>11242037.74</v>
      </c>
      <c r="K463" s="62">
        <f>SUM(K462,K448,K438,K414,K385,K354,K287,K268,K180,K170,K132,K120,K115,K90,K64,K49,K46,K14,K6,K9)</f>
        <v>43559165.54000001</v>
      </c>
      <c r="L463" s="62">
        <f>SUM(L462,L448,L438,L414,L385,L354,L287,L268,L180,L170,L132,L120,L115,L90,L64,L49,L46,L14,L6,L9)</f>
        <v>24867593.21</v>
      </c>
      <c r="M463" s="62">
        <f>SUM(M462,M448,M438,M414,M385,M354,M287,M268,M180,M170,M132,M120,M115,M90,M64,M49,M46,M14,M6,M9)</f>
        <v>1027957430.2799999</v>
      </c>
      <c r="N463" s="49">
        <f t="shared" si="45"/>
        <v>0.9724279898652535</v>
      </c>
    </row>
    <row r="464" spans="3:13" s="29" customFormat="1" ht="11.25">
      <c r="C464" s="45"/>
      <c r="D464" s="66"/>
      <c r="E464" s="66"/>
      <c r="F464" s="66"/>
      <c r="G464" s="66"/>
      <c r="H464" s="66"/>
      <c r="I464" s="65"/>
      <c r="J464" s="65"/>
      <c r="K464" s="65"/>
      <c r="L464" s="65"/>
      <c r="M464" s="82"/>
    </row>
    <row r="465" spans="3:13" s="29" customFormat="1" ht="11.25">
      <c r="C465" s="45"/>
      <c r="D465" s="66"/>
      <c r="E465" s="66"/>
      <c r="F465" s="66"/>
      <c r="G465" s="66"/>
      <c r="H465" s="66"/>
      <c r="I465" s="65"/>
      <c r="J465" s="65"/>
      <c r="K465" s="65"/>
      <c r="L465" s="65"/>
      <c r="M465" s="82"/>
    </row>
    <row r="467" ht="11.25">
      <c r="J467" s="63" t="s">
        <v>298</v>
      </c>
    </row>
  </sheetData>
  <mergeCells count="72">
    <mergeCell ref="B427:B429"/>
    <mergeCell ref="B26:B28"/>
    <mergeCell ref="B95:B96"/>
    <mergeCell ref="B61:B62"/>
    <mergeCell ref="B39:B43"/>
    <mergeCell ref="B74:B76"/>
    <mergeCell ref="B69:B72"/>
    <mergeCell ref="B162:B164"/>
    <mergeCell ref="B238:B239"/>
    <mergeCell ref="B363:B364"/>
    <mergeCell ref="A1:N1"/>
    <mergeCell ref="D2:H2"/>
    <mergeCell ref="B15:B16"/>
    <mergeCell ref="A15:A16"/>
    <mergeCell ref="I2:N2"/>
    <mergeCell ref="A10:A11"/>
    <mergeCell ref="B10:B11"/>
    <mergeCell ref="A449:A461"/>
    <mergeCell ref="B449:B451"/>
    <mergeCell ref="B453:B460"/>
    <mergeCell ref="B367:B369"/>
    <mergeCell ref="B373:B383"/>
    <mergeCell ref="B388:B393"/>
    <mergeCell ref="B439:B440"/>
    <mergeCell ref="B431:B433"/>
    <mergeCell ref="A386:A402"/>
    <mergeCell ref="A415:A423"/>
    <mergeCell ref="A288:A290"/>
    <mergeCell ref="B222:B226"/>
    <mergeCell ref="B252:B258"/>
    <mergeCell ref="B288:B289"/>
    <mergeCell ref="B245:B246"/>
    <mergeCell ref="B248:B250"/>
    <mergeCell ref="A269:A274"/>
    <mergeCell ref="B269:B270"/>
    <mergeCell ref="B283:B285"/>
    <mergeCell ref="B398:B401"/>
    <mergeCell ref="B409:B412"/>
    <mergeCell ref="B280:B281"/>
    <mergeCell ref="B318:B319"/>
    <mergeCell ref="B321:B322"/>
    <mergeCell ref="B303:B306"/>
    <mergeCell ref="B298:B301"/>
    <mergeCell ref="A355:A361"/>
    <mergeCell ref="B342:B346"/>
    <mergeCell ref="A133:A141"/>
    <mergeCell ref="B136:B142"/>
    <mergeCell ref="B166:B168"/>
    <mergeCell ref="B173:B174"/>
    <mergeCell ref="B348:B352"/>
    <mergeCell ref="B324:B328"/>
    <mergeCell ref="B334:B335"/>
    <mergeCell ref="B155:B160"/>
    <mergeCell ref="B415:B417"/>
    <mergeCell ref="B421:B423"/>
    <mergeCell ref="B20:B24"/>
    <mergeCell ref="B133:B134"/>
    <mergeCell ref="B358:B361"/>
    <mergeCell ref="B203:B205"/>
    <mergeCell ref="B200:B201"/>
    <mergeCell ref="B315:B316"/>
    <mergeCell ref="B309:B313"/>
    <mergeCell ref="B395:B396"/>
    <mergeCell ref="B144:B153"/>
    <mergeCell ref="A50:A53"/>
    <mergeCell ref="B78:B79"/>
    <mergeCell ref="B52:B53"/>
    <mergeCell ref="B125:B126"/>
    <mergeCell ref="A65:A68"/>
    <mergeCell ref="A116:A119"/>
    <mergeCell ref="A121:A122"/>
    <mergeCell ref="B121:B123"/>
  </mergeCells>
  <printOptions/>
  <pageMargins left="0.17" right="0.17" top="0.63" bottom="0.34" header="0.5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kbaza</cp:lastModifiedBy>
  <cp:lastPrinted>2012-03-28T11:51:35Z</cp:lastPrinted>
  <dcterms:created xsi:type="dcterms:W3CDTF">2011-02-17T13:46:32Z</dcterms:created>
  <dcterms:modified xsi:type="dcterms:W3CDTF">2012-03-28T11:51:43Z</dcterms:modified>
  <cp:category/>
  <cp:version/>
  <cp:contentType/>
  <cp:contentStatus/>
</cp:coreProperties>
</file>