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780" windowHeight="12120" activeTab="0"/>
  </bookViews>
  <sheets>
    <sheet name="Zał 1 WPF" sheetId="1" r:id="rId1"/>
    <sheet name="Zał 2 UE" sheetId="2" r:id="rId2"/>
    <sheet name="zał. nr 3 pozostałe" sheetId="3" r:id="rId3"/>
  </sheets>
  <externalReferences>
    <externalReference r:id="rId6"/>
    <externalReference r:id="rId7"/>
    <externalReference r:id="rId8"/>
    <externalReference r:id="rId9"/>
  </externalReferences>
  <definedNames>
    <definedName name="_edn1" localSheetId="0">'Zał 1 WPF'!$A$56</definedName>
    <definedName name="_edn10" localSheetId="0">'Zał 1 WPF'!$A$65</definedName>
    <definedName name="_edn11" localSheetId="0">'Zał 1 WPF'!$A$66</definedName>
    <definedName name="_edn12" localSheetId="0">'Zał 1 WPF'!$A$67</definedName>
    <definedName name="_edn13" localSheetId="0">'Zał 1 WPF'!$A$68</definedName>
    <definedName name="_edn14" localSheetId="0">'Zał 1 WPF'!$A$69</definedName>
    <definedName name="_edn15" localSheetId="0">'Zał 1 WPF'!$A$70</definedName>
    <definedName name="_edn16" localSheetId="0">'Zał 1 WPF'!$A$71</definedName>
    <definedName name="_edn17" localSheetId="0">'Zał 1 WPF'!$A$72</definedName>
    <definedName name="_edn2" localSheetId="0">'Zał 1 WPF'!$A$57</definedName>
    <definedName name="_edn3" localSheetId="0">'Zał 1 WPF'!$A$58</definedName>
    <definedName name="_edn4" localSheetId="0">'Zał 1 WPF'!$A$59</definedName>
    <definedName name="_edn5" localSheetId="0">'Zał 1 WPF'!$A$60</definedName>
    <definedName name="_edn6" localSheetId="0">'Zał 1 WPF'!$A$61</definedName>
    <definedName name="_edn7" localSheetId="0">'Zał 1 WPF'!$A$62</definedName>
    <definedName name="_edn8" localSheetId="0">'Zał 1 WPF'!$A$63</definedName>
    <definedName name="_edn9" localSheetId="0">'Zał 1 WPF'!$A$64</definedName>
    <definedName name="_ednref1" localSheetId="0">'Zał 1 WPF'!$B$5</definedName>
    <definedName name="_ednref10" localSheetId="0">'Zał 1 WPF'!$B$29</definedName>
    <definedName name="_ednref11" localSheetId="0">'Zał 1 WPF'!$B$30</definedName>
    <definedName name="_ednref12" localSheetId="0">'Zał 1 WPF'!$B$32</definedName>
    <definedName name="_ednref13" localSheetId="0">'Zał 1 WPF'!$B$33</definedName>
    <definedName name="_ednref14" localSheetId="0">'Zał 1 WPF'!$B$34</definedName>
    <definedName name="_ednref15" localSheetId="0">'Zał 1 WPF'!$B$35</definedName>
    <definedName name="_ednref16" localSheetId="0">'Zał 1 WPF'!$B$36</definedName>
    <definedName name="_ednref17" localSheetId="0">'Zał 1 WPF'!$B$37</definedName>
    <definedName name="_ednref2" localSheetId="0">'Zał 1 WPF'!$B$9</definedName>
    <definedName name="_ednref3" localSheetId="0">'Zał 1 WPF'!$B$10</definedName>
    <definedName name="_ednref4" localSheetId="0">'Zał 1 WPF'!$B$11</definedName>
    <definedName name="_ednref5" localSheetId="0">'Zał 1 WPF'!$B$14</definedName>
    <definedName name="_ednref6" localSheetId="0">'Zał 1 WPF'!$B$18</definedName>
    <definedName name="_ednref7" localSheetId="0">'Zał 1 WPF'!$B$25</definedName>
    <definedName name="_ednref8" localSheetId="0">'Zał 1 WPF'!$B$27</definedName>
    <definedName name="_ednref9" localSheetId="0">'Zał 1 WPF'!$B$28</definedName>
    <definedName name="_xlnm.Print_Area" localSheetId="1">'Zał 2 UE'!$A$1:$U$450</definedName>
    <definedName name="_xlnm.Print_Area" localSheetId="2">'zał. nr 3 pozostałe'!$A$1:$AN$426</definedName>
    <definedName name="_xlnm.Print_Titles" localSheetId="0">'Zał 1 WPF'!$A:$B,'Zał 1 WPF'!$4:$4</definedName>
    <definedName name="_xlnm.Print_Titles" localSheetId="1">'Zał 2 UE'!$3:$4</definedName>
    <definedName name="_xlnm.Print_Titles" localSheetId="2">'zał. nr 3 pozostałe'!$3:$4</definedName>
  </definedNames>
  <calcPr fullCalcOnLoad="1"/>
</workbook>
</file>

<file path=xl/sharedStrings.xml><?xml version="1.0" encoding="utf-8"?>
<sst xmlns="http://schemas.openxmlformats.org/spreadsheetml/2006/main" count="1484" uniqueCount="241">
  <si>
    <t>Lp.</t>
  </si>
  <si>
    <t>Wyszczególnienie</t>
  </si>
  <si>
    <t>Rok 2011</t>
  </si>
  <si>
    <t>Rok 2012</t>
  </si>
  <si>
    <t>Rok 2014</t>
  </si>
  <si>
    <t>Rok 2015</t>
  </si>
  <si>
    <t>Rok 2016</t>
  </si>
  <si>
    <t>Rok 2018</t>
  </si>
  <si>
    <t>Rok 2019</t>
  </si>
  <si>
    <t>Rok 2020</t>
  </si>
  <si>
    <t>Rok 2022</t>
  </si>
  <si>
    <t>a</t>
  </si>
  <si>
    <t>dochody bieżące</t>
  </si>
  <si>
    <t>b</t>
  </si>
  <si>
    <t xml:space="preserve">dochody majątkowe,  w tym: </t>
  </si>
  <si>
    <t>c</t>
  </si>
  <si>
    <t>ze sprzedaży majątku</t>
  </si>
  <si>
    <t xml:space="preserve">  z tytułu gwarancji i poręczeń, w tym:</t>
  </si>
  <si>
    <t>d</t>
  </si>
  <si>
    <t>e</t>
  </si>
  <si>
    <t>Wynik budżetu po wykonaniu wydatków bieżących (bez obsługi długu) (1-2) 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</si>
  <si>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</si>
  <si>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</si>
  <si>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Środki do dyspozycji (3+4+5)</t>
  </si>
  <si>
    <t>Spłata i obsługa długu, z tego: </t>
  </si>
  <si>
    <t>rozchody z tytułu spłaty rat kapitałowych oraz wykupu obligacji</t>
  </si>
  <si>
    <t>wydatki bieżące na obsługę długu</t>
  </si>
  <si>
    <t>Inne rozchody (bez spłaty długu np. udzielane pożyczki)</t>
  </si>
  <si>
    <t>Środki do dyspozycji na wydatki majątkowe (6-7-8)</t>
  </si>
  <si>
    <t>wydatki majątkowe objęte limitem art. 226 ust. 4 ufp</t>
  </si>
  <si>
    <t>kwota wyłączeń z art. 243 ust. 3 pkt 1 ufp oraz z art. 170 ust. 3 sufp przypadająca na dany rok budżetowy</t>
  </si>
  <si>
    <t xml:space="preserve">15. </t>
  </si>
  <si>
    <t>Zgodny z  art. 243 ufp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</si>
  <si>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</si>
  <si>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</si>
  <si>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</si>
  <si>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</si>
  <si>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</si>
  <si>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Sposób sfinansowania spłaty długu (kwota powinna być zgodna z kwotą wykazaną w poz. 7a),
z tego: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</si>
  <si>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</si>
  <si>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</si>
  <si>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</si>
  <si>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</si>
  <si>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</si>
  <si>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</si>
  <si>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</si>
  <si>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</si>
  <si>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</si>
  <si>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</si>
  <si>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t>** powinna zostać spełniona zależność odnośnie lewej strony wzoru po uwzględnieniu poz. 14 w stosunku do prawej strony wzoru - niewłaściwe skreślić</t>
  </si>
  <si>
    <r>
      <t>Rok 2013</t>
    </r>
    <r>
      <rPr>
        <b/>
        <sz val="10"/>
        <color indexed="8"/>
        <rFont val="Times New Roman"/>
        <family val="1"/>
      </rPr>
      <t xml:space="preserve"> </t>
    </r>
  </si>
  <si>
    <r>
      <t>Rok 2017</t>
    </r>
    <r>
      <rPr>
        <b/>
        <sz val="10"/>
        <color indexed="8"/>
        <rFont val="Times New Roman"/>
        <family val="1"/>
      </rPr>
      <t xml:space="preserve"> </t>
    </r>
  </si>
  <si>
    <r>
      <t>Rok 2021</t>
    </r>
    <r>
      <rPr>
        <b/>
        <sz val="10"/>
        <color indexed="8"/>
        <rFont val="Times New Roman"/>
        <family val="1"/>
      </rPr>
      <t xml:space="preserve"> </t>
    </r>
  </si>
  <si>
    <r>
      <t>[1]</t>
    </r>
    <r>
      <rPr>
        <u val="single"/>
        <sz val="10"/>
        <color indexed="12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</si>
  <si>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color indexed="12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</si>
  <si>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color indexed="12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</si>
  <si>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color indexed="12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</si>
  <si>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color indexed="12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</si>
  <si>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color indexed="12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</si>
  <si>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color indexed="12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</si>
  <si>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color indexed="12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</si>
  <si>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color indexed="12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</si>
  <si>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color indexed="12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</t>
    </r>
  </si>
  <si>
    <r>
      <t>[11]</t>
    </r>
    <r>
      <rPr>
        <u val="single"/>
        <sz val="10"/>
        <color indexed="12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</si>
  <si>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color indexed="12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</si>
  <si>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color indexed="12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</si>
  <si>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color indexed="12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</si>
  <si>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color indexed="12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</si>
  <si>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color indexed="12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</si>
  <si>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color indexed="12"/>
        <rFont val="Times New Roman"/>
        <family val="1"/>
      </rPr>
      <t>W pozycjach 17 i 18 nie uwzględnia się zobowiązań związku współtworzonego przez jednostkę samorządu terytorialnego.</t>
    </r>
  </si>
  <si>
    <t>na wynagrodzenia i składki od nich naliczane</t>
  </si>
  <si>
    <t>związane z funkcjonowaniem organów JST</t>
  </si>
  <si>
    <t>wydatki bieżące objęte limitem art. 226 ust. 4 ufp</t>
  </si>
  <si>
    <t>Inne przychody niezwiązane z zaciągnięciem długu</t>
  </si>
  <si>
    <t>Przychody (kredyty, pożyczki, emisje obligacji)</t>
  </si>
  <si>
    <t>Kwota zobowiązań związku współtworzonego przez jst przypadających do spłaty w danym roku budżetowym podlegające doliczeniu zgodnie z art. 244 ufp</t>
  </si>
  <si>
    <t>łączna kwota wyłączeń z art. 243 ust. 3 pkt 1 ufp oraz z art. 170 ust. 3 sufp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</si>
  <si>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</si>
  <si>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</si>
  <si>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</si>
  <si>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 xml:space="preserve">Dochody ogółem, w tym: </t>
  </si>
  <si>
    <t>Wydatki bieżące (bez odsetek i prowizji od kredytów i pożyczek oraz wyemitowanych papierów wartościowych ), w tym:</t>
  </si>
  <si>
    <t>gwarancje i poręczenia podlegające wyłączeniu z limitów spłaty zobowiązań z art. 243 ufp/169sufp</t>
  </si>
  <si>
    <r>
      <t>Wydatki majątkowe</t>
    </r>
    <r>
      <rPr>
        <b/>
        <u val="single"/>
        <vertAlign val="superscript"/>
        <sz val="10"/>
        <rFont val="Times New Roman"/>
        <family val="1"/>
      </rPr>
      <t>,</t>
    </r>
    <r>
      <rPr>
        <b/>
        <u val="single"/>
        <sz val="10"/>
        <rFont val="Times New Roman"/>
        <family val="1"/>
      </rPr>
      <t xml:space="preserve"> w tym:</t>
    </r>
  </si>
  <si>
    <t>Kwota długu, w tym:</t>
  </si>
  <si>
    <r>
      <t>Spłata zadłużenia/dochody ogółem (7-13a +2c –2d):1)  -max 15%  z art. 169 sufp</t>
    </r>
    <r>
      <rPr>
        <b/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</si>
  <si>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0"/>
        <rFont val="Times New Roman"/>
        <family val="1"/>
      </rPr>
      <t>[17]</t>
    </r>
  </si>
  <si>
    <t>Wynik finansowy budżetu (9-10+11)</t>
  </si>
  <si>
    <t>WIELOLETNIA PROGNOZA FINANSOWA MIASTA GDYNI 2011-2022</t>
  </si>
  <si>
    <t>Załącznik nr 1 do uchwały Rady Miasta  Nr XIII/     /2011</t>
  </si>
  <si>
    <t>z dnia 26 października 2011</t>
  </si>
  <si>
    <t>Wykaz programów, projektów lub zadania związane z programami realizowanymi z udziałem środków, o których mowa w art. 5 ust. 1 pkt 2 i 3 nufp</t>
  </si>
  <si>
    <t>LP</t>
  </si>
  <si>
    <t xml:space="preserve">Dział </t>
  </si>
  <si>
    <t>Rozdział</t>
  </si>
  <si>
    <t>Nazwa przedsięwzięcia i cel</t>
  </si>
  <si>
    <t>Jednostka odpowiedzialna lub koordynująca</t>
  </si>
  <si>
    <t>Okres realizacji</t>
  </si>
  <si>
    <t>Łączne nakłady finansowe</t>
  </si>
  <si>
    <t>Źródła finansowania</t>
  </si>
  <si>
    <t>DO 2009</t>
  </si>
  <si>
    <t>Nakłady poniesione dotychczas</t>
  </si>
  <si>
    <t>Limity wydatków w poszczególnych latach</t>
  </si>
  <si>
    <t>Limit zobowiązań</t>
  </si>
  <si>
    <t>Mój biznes -  Kapitał Ludzki 2007-20013</t>
  </si>
  <si>
    <t>POWIATOWY URZĄD PRACY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</si>
  <si>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</si>
  <si>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</si>
  <si>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</si>
  <si>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</si>
  <si>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</si>
  <si>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</si>
  <si>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UE bież.</t>
  </si>
  <si>
    <t>środ. UE maj.</t>
  </si>
  <si>
    <t>Ogółem</t>
  </si>
  <si>
    <t>środ. inne bież.</t>
  </si>
  <si>
    <t>środ. inne maj.</t>
  </si>
  <si>
    <t>łącznie bieżące</t>
  </si>
  <si>
    <t>łącznie majątkowe</t>
  </si>
  <si>
    <t>Mój biznes II -  Kapitał Ludzki 2007-20013</t>
  </si>
  <si>
    <t>Rozwój proekologicznego transportu publicznego na obszarze metropolitalnym Trójmiasta   - Regionalny Program Operacyjny dla Woj.Pomorskiego         Rozwój i integracja systemów transportu zbiorowego</t>
  </si>
  <si>
    <t>ZARZĄD KOMUNIKACJI MIEJSKIEJ</t>
  </si>
  <si>
    <t>TROLLEY - Promoting Electric Public Transport     Cel: promowanie elektrycznego transportu publicznego</t>
  </si>
  <si>
    <t>URZĄD MIASTA GDYNI - WYDZIAŁ INWESTYCJI</t>
  </si>
  <si>
    <t>Przebudowa układu drogowego węzła Św. Maksymiliana wraz z budową tunelu drogowego pod Drogą Gdyńską, torami SKM i PKP w Gdyni -                      Regionalny Program Operacyjny dla Województwa Pomorskiego na lata 2007-2013</t>
  </si>
  <si>
    <t>Rozwój komunikacji rowerowej aglomeracji trójmiejskiej w latach 2007-2013  - Regionalny Program Województwa Pomorskiego na lata 2007-2013</t>
  </si>
  <si>
    <t>Wdrożenie zintegrowanego systemu zarządzania ruchem TRISTAR w Gdańsku, Gdyni i Sopocie - brak umowy</t>
  </si>
  <si>
    <t xml:space="preserve">INTERFACE -                     Europejski Fundusz Rozwoju Regionalnego </t>
  </si>
  <si>
    <t>URZĄD MIASTA GDYNI - BIURO ROZWOJU MIASTA</t>
  </si>
  <si>
    <t>SouthNorth Axis "SoNorA" -     Europejski Fundusz Rozwoju Regionalnego</t>
  </si>
  <si>
    <t>SEGMENT - Program Inteligentna Energia Europa</t>
  </si>
  <si>
    <t>URZĄD MIASTA GDYNI - BIURO INŻYNIERII TRANSPORTU</t>
  </si>
  <si>
    <t>Pomorski Park Naukowo-Technologiczny - rozbudowa etap 3  -  Regionalny Program Operacyjny dla Województwa Pomorskiego Innowacyjna Gospodarka</t>
  </si>
  <si>
    <t>GDYŃSKIE CENTRUM INNOWACJI</t>
  </si>
  <si>
    <t>Pomorski Park Naukowo-Technologiczny - rozbudowa etap 4  -  Regionalny Program Operacyjny dla Województwa Pomorskiego Innowacyjna Gospodarka</t>
  </si>
  <si>
    <t>Wzmocnienie współpracy środowiska naukowego GUMED z podmiotami gospodarczymi o charakterze regionalnym i ponadregionalnym oraz rozwój przedsiębiorczości akademickiej GUMED-          Regionalny Program Operacyjny Dla Woj.Pomorskiego 2007-2013</t>
  </si>
  <si>
    <t>Baltic Active Education Network For Development Of People-To-People Initiatives - Edupeople                            Program  Współpracy Transgranicznej Południowy Bałtyk 2007-2013</t>
  </si>
  <si>
    <t>Wspieranie międzynarodowej aktywności innowacyjnej przedsiębiorców z Pomorza poprzez udział w targach - Let's expo                                            Regionalny Program Operacyjny dla Woj.Pomorskiego                             2007-2013</t>
  </si>
  <si>
    <t>Development of Innovative System Through Knowledge Exchange - DISKE                                                  Program Południowy Bałtyk 2007-2013</t>
  </si>
  <si>
    <t>Rozwój elektronicznych usług publicznych w Gdyni - Regionalny Program Operacyjny dla Województwa Pomorskiego na lata 2007-2013</t>
  </si>
  <si>
    <t>URZĄD MIASTA GDYNI - WYDZIAŁ INFORMATYKI</t>
  </si>
  <si>
    <t>COMENIUS - Program „Uczenie się przez całe życie"  Fundacja Rozwoju Systemu Edukacji</t>
  </si>
  <si>
    <t>SAMORZĄDOWA SZKOŁA PODSTAWOWA NR 18</t>
  </si>
  <si>
    <t>GIMNAZJUM NR 1</t>
  </si>
  <si>
    <t>COMENIUS - Program „Uczenie się przez całe życie" - wizyty przygotowawcze 2011 -  Fundacja Rozwoju Systemu Edukacji</t>
  </si>
  <si>
    <t>COMENIUS - Program „Uczenie się przez całe życie"  Fundacja Rozwoju Systemu Edukacji wizyty przygotowacze COMENIUSA</t>
  </si>
  <si>
    <t>GIMNAZJUM NR 2</t>
  </si>
  <si>
    <t>GIMNAZJUM NR 4</t>
  </si>
  <si>
    <t>ZESPÓŁ SZKÓŁ OGÓLNOKSZTAŁCĄ-  CYCH NR 5</t>
  </si>
  <si>
    <t>Program "Młodzież w działaniu" Fundacja Rozwoju Systemu Edukacji</t>
  </si>
  <si>
    <t>Program "Młodzież w działaniu" 2011/2012 - Fundacja Rozwoju Systemu Edukacji</t>
  </si>
  <si>
    <t>COMENIUS - Program „Uczenie się przez całe życie"  2011-2013 Fundacja Rozwoju Systemu Edukacji</t>
  </si>
  <si>
    <t>ZESPÓŁ SZKÓŁ NR 12</t>
  </si>
  <si>
    <t>COMENIUS - Program „Uczenie się przez całe życie"  Wizyty przygotowawcze - Fundacja Rozwoju Systemu Edukacji</t>
  </si>
  <si>
    <t>ZESPÓŁ SPORTOWYCH SZKÓŁ OGÓLNOKSZTAŁCĄCYCH</t>
  </si>
  <si>
    <t>ZESPÓŁ SZKÓL ADMINISTRACYJNO- EKONOMICZNYCH</t>
  </si>
  <si>
    <t>Leonardo da Vinci - Program "Uczenie się przez całe życie"</t>
  </si>
  <si>
    <t>ZESPÓŁ SZKÓŁ HOTELARSKO-GASTRONOMICZNYCH</t>
  </si>
  <si>
    <t>ZESPÓŁ SZKÓŁ ADMINISTRACYJNO-EKONOMICZNYCH</t>
  </si>
  <si>
    <t>ZESPÓŁ SZKÓŁ CHŁODNICZYCH I ELEKTRONICZNYCH</t>
  </si>
  <si>
    <t>Praktyka czyni mistrza - nowatorski program praktyk na studiach pedagogicznych PWSH - Program Operacyjny Kapitał Ludzki</t>
  </si>
  <si>
    <t>URZĄD MIASTA GDYNI - WYDZIAŁ EDUKACJI</t>
  </si>
  <si>
    <t>Urzędnik na plus II - Program Operacyjny Kapitał Ludzki</t>
  </si>
  <si>
    <t>Projekt "Rodzina bliżej siebie" Europejski Fundusz Społeczny - Program Operacyjny Kapitał Ludzki</t>
  </si>
  <si>
    <t>MIEJSKI OŚRODEK POMOCY SPOŁECZNEJ</t>
  </si>
  <si>
    <t>Program "Odkryj moje możliwości" - Wyrównywanie szans edukacyjnych uczniów z grup o utrudnionym dostepie do edukacji oraz zmniejszenie różnic w jakości usług edukacyjnych - Program Operacyjny kapitał Ludzki</t>
  </si>
  <si>
    <t>Młodzieżowy Dom Kultury</t>
  </si>
  <si>
    <t xml:space="preserve">Ochrona wód Zatoki Gdańskiej - budowa i modernizacja systemu odprowadzania wód opadowych w Gdyni Etap I </t>
  </si>
  <si>
    <t>URZĄD MIASTA GDYNI -WYDZIAŁ INWESTYCJI</t>
  </si>
  <si>
    <t>Budowa małej infrastruktury służącej ochronie przyrody na obszarze rezerwatu Kępa Redłowska w Gdyni - Program Operacyjny Infrastruktura i Środowisko</t>
  </si>
  <si>
    <t xml:space="preserve">Kompleksowa termomodernizacja dziewięciu budynków placówek oświatowych na terenie Gdyni </t>
  </si>
  <si>
    <t>URZĄD MIASTA GDYNI - WYDZIAŁ BUDYNKÓW</t>
  </si>
  <si>
    <t>Rozbudowa przystani rybackiej w Gdyni - Obłuże - etap I - poprawa warunków bezpieczeństwa i higieny pracy oraz poprawa jakości produktów rybnych pochodzących z połowów w wodach morskich</t>
  </si>
  <si>
    <t>Rozbudowa przystani rybackiej w Gdyni - Obłuże - etap II - poprawa warunków bezpieczeństwa i higieny pracy przy wodowaniu i wyciąganiu na brzeg łodzi rybackich</t>
  </si>
  <si>
    <t>Rozbudowa przystani rybackiej w Gdyni - Oksywie - etap II - poprawa warunków bezpieczeństwa i higieny pracy przy wodowaniu i wyciąganiu na brzeg łodzi rybackich</t>
  </si>
  <si>
    <t>środki własne bieżące</t>
  </si>
  <si>
    <t>środki własne majątkowe</t>
  </si>
  <si>
    <t>SUMA ŚRODKI WŁASNE</t>
  </si>
  <si>
    <t>środki UE bieżace</t>
  </si>
  <si>
    <t>środki UE majątkowe</t>
  </si>
  <si>
    <t>SUMA ŚRODKI UE</t>
  </si>
  <si>
    <t>środki budżetu państwa majątkowe</t>
  </si>
  <si>
    <t>środki budżetu państwa bieżące</t>
  </si>
  <si>
    <t>SUMA ŚR. BUD. PAŃSTWA</t>
  </si>
  <si>
    <t>Razem bieżące</t>
  </si>
  <si>
    <t>Razem majątkowe</t>
  </si>
  <si>
    <t>RAZEM</t>
  </si>
  <si>
    <t xml:space="preserve">Wykaz programów, projektów lub zadań, które będą realizowane a nie są zaliczone do innych rodzajów </t>
  </si>
  <si>
    <t>LP.</t>
  </si>
  <si>
    <t>Rozdział klasyfikacji wydatków</t>
  </si>
  <si>
    <t>Rozbudowa systemów kanalizacji sanitarnej i zaopatrzenia w wodę na obszarze Gdyni - uzbrojenie terenów pod budownictwo</t>
  </si>
  <si>
    <t xml:space="preserve">Urząd Miasta </t>
  </si>
  <si>
    <t>środa. was. bież.</t>
  </si>
  <si>
    <t>środa. włas. maj.</t>
  </si>
  <si>
    <t xml:space="preserve">Dokumentacja przyszłościowa - rozwój proekologicznego transportu publicznego na obszarze metropolitalnym Trójmiasta -                      przygotowanie zadań do realizacji </t>
  </si>
  <si>
    <t>Kolej Metropolitalna (udział w projekcie regionalnym) - przygotowanie zadań do realizacji oraz udział w realizacji projektu regionalnego</t>
  </si>
  <si>
    <t>Przebudowa skrzyżowania ul. Chylońskiej i Północnej - poprawa systemu drogowego i układu komunikacji miejskiej</t>
  </si>
  <si>
    <t>Rozwój Komunikacji Rowerowej w aglomeracji Trójmiejskiej oraz budowa ścieżek rowerowych - dokumentacja projektowa, przygotowanie do realizacji - rozbudowa sieci nowoczesnych dróg rowerowych i ograniczenie emisji spalin</t>
  </si>
  <si>
    <t>Przbudowa ulicy Chwarznieńskiej I i II etap oraz Przebudowa dróg powiatowych  - przebudowa oraz poprawa systemu drogowego i układu komunikacji miejskiej</t>
  </si>
  <si>
    <t>Przebudowa skrzyżowań</t>
  </si>
  <si>
    <t xml:space="preserve">Dokumentacja przyszłościowa (w tym budowa Obwodowej Północnej Aglomeracji Trójmiejskiej) - przygotowanie zadań do realizacji </t>
  </si>
  <si>
    <t>Wykupy gruntów - przygotowanie zadań do realizacji</t>
  </si>
  <si>
    <t>Modernizacja ulic gminnych, przebudowa odcinka ul. Bp.Dominika (dojazd do Szkoły Muzycznej) oraz ul. Przebendowskich - poprawa lokalnego systemu drogowego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</si>
  <si>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</si>
  <si>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</si>
  <si>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</si>
  <si>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Wykup gruntów - przygotowanie zadań do realizacji</t>
  </si>
  <si>
    <t>Udziały Gminy w Porcie Lotniczym Gdańsk Sp. z o.o. - udział w realizacji projektu rozbudowy portu lotniczego</t>
  </si>
  <si>
    <t>Udziały Gminy w Porcie Lotniczym Gdynia-Kosakowo oraz w budowie drogi do Portu Lotniczego - udział w realizacji projektu</t>
  </si>
  <si>
    <t>Rozbudowa cmentarzy ZCK - poprawa stanu technicznego obiektów</t>
  </si>
  <si>
    <t>Monitoring wizyjny miasta - poprawa bezpieczeństwa</t>
  </si>
  <si>
    <t>Budowa oraz przebudowa szkół - rozbudowa infrastruktury oświatowej oraz poprawa stanu technicznego obiektów oświatowych</t>
  </si>
  <si>
    <t>Budowa przedszkola - rozbudowa infrastruktury oświatowej</t>
  </si>
  <si>
    <t>Przebudowa szkół - poprawa stanu technicznego obiektów oświatowych</t>
  </si>
  <si>
    <t>Przebudowa i rozbudowa Szkoły Muzycznej I i II stopnia im. Z. Noskowskiego w Gdyni - poprawa warunków funkcjonowania i wzbogacenie oferty edukacyjnej i kulturalnej placówki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</si>
  <si>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</si>
  <si>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Adaptacja pomieszczeń na poradnie psychologiczno - pedagogiczne - poprawa stanu technicznego obiektów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</si>
  <si>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</si>
  <si>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Ochrona wód Zatoki Gdańskiej - przebudowa przepompowni ścieków przy Bulwarze Nadmorskim - eliminowanie zanieczyszczeń wprowadzanych do wód powierzchniowych</t>
  </si>
  <si>
    <t>Lokalne Inicjatywy Inwestycyjne - uzbrojenie terenów pod budownictwo mieszkaniowe</t>
  </si>
  <si>
    <t>Tereny zielone, budowa małej infastruktury służącej ochronie przyrody na obszarze rezerwatu Kępa Redłowska w Gdyni - rozwój terenów zielonych w mieście, zachowanie i prtzywrócenie właściwego stanu zbiorowisk roslinnych klifu i wysoczyzny morenowej oraz ce</t>
  </si>
  <si>
    <t>Oświetlenie ulic - poprawa bezpieczeństwa</t>
  </si>
  <si>
    <t>Lokalne Inicjatywy Inwestycyjne - poprawa bezpieczeństwa</t>
  </si>
  <si>
    <t>Kompleksowa termomodernizacja dziewięciu budynków placówek oświatowych na terenie Gdyni - ochrona środowiska poprzez redukcję zanieczyszczeń</t>
  </si>
  <si>
    <t>Placówki oświatowe</t>
  </si>
  <si>
    <t>Zagospodarowanie fragmentu terenu przy ul. Orłowskiej w pobliżu mola</t>
  </si>
  <si>
    <t>Dokumentacja przyszłościowa (w tym rewitalizacja rejonu Opata Hackiego, Zamenhofa, Chylońskiej i  komierowskiego)</t>
  </si>
  <si>
    <t>Modernizacja Teatru Muzycznego w Gdyni - wkład własny - rozbudowa infrastruktury kulturalnej</t>
  </si>
  <si>
    <t>Dokumentacja przyszłościowa - Forum Kultury</t>
  </si>
  <si>
    <t>Adaptacja pomieszczeń SP 43 na filię biblioteki - podniesienie atrakcyjności kulturalnej i turystycznej miasta</t>
  </si>
  <si>
    <t>Rozbudowa stadionu piłkarskiego przy ul. Olimpijskiej w Gdyni - rozbudowa infrastruktury sportowej</t>
  </si>
  <si>
    <t>Gdyński Ośrodek Sportu i Rekreacji</t>
  </si>
  <si>
    <t>Budowa kompleksu sportowego - stadion Oksywie - rozbudowa infrastruktury sportowej</t>
  </si>
  <si>
    <t>GOSiR</t>
  </si>
  <si>
    <t>Budowa falochronu południowego w marinie - poprawa stanu technicznego obiektów</t>
  </si>
  <si>
    <t>Budowa placu zabaw przy ul. Złotej - I etap - rozbudowa infrastruktury sportowej</t>
  </si>
  <si>
    <t>SUMA</t>
  </si>
  <si>
    <t>różnice</t>
  </si>
  <si>
    <t>Załącznik nr 3 do Uchwały Rady Miasta Gdyni nr XIII/…………./11 z  26 października 2011r.</t>
  </si>
  <si>
    <t>Załącznik nr 2 do Uchwały Rady Miasta  Nr XIII/       /2011 z dnia 26 października 2011</t>
  </si>
  <si>
    <t>g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</si>
</sst>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"/>
    <numFmt numFmtId="170" formatCode="#,##0.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0.0%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0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8"/>
      <name val="Times New Roman"/>
      <family val="1"/>
    </font>
    <font>
      <i/>
      <sz val="10"/>
      <name val="Arial"/>
      <family val="2"/>
    </font>
    <font>
      <sz val="10"/>
      <name val="Arial CE"/>
      <family val="2"/>
    </font>
    <font>
      <b/>
      <sz val="12"/>
      <name val="Bookman Old Style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wrapText="1"/>
    </xf>
    <xf numFmtId="3" fontId="25" fillId="0" borderId="15" xfId="0" applyNumberFormat="1" applyFont="1" applyFill="1" applyBorder="1" applyAlignment="1">
      <alignment horizontal="right" wrapText="1"/>
    </xf>
    <xf numFmtId="3" fontId="25" fillId="0" borderId="16" xfId="0" applyNumberFormat="1" applyFont="1" applyFill="1" applyBorder="1" applyAlignment="1">
      <alignment horizontal="right" wrapText="1"/>
    </xf>
    <xf numFmtId="3" fontId="23" fillId="0" borderId="0" xfId="0" applyNumberFormat="1" applyFont="1" applyFill="1" applyAlignment="1">
      <alignment/>
    </xf>
    <xf numFmtId="0" fontId="25" fillId="0" borderId="17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3" fontId="26" fillId="0" borderId="0" xfId="0" applyNumberFormat="1" applyFont="1" applyFill="1" applyAlignment="1">
      <alignment horizontal="right"/>
    </xf>
    <xf numFmtId="0" fontId="23" fillId="0" borderId="17" xfId="0" applyFont="1" applyFill="1" applyBorder="1" applyAlignment="1">
      <alignment horizontal="center" vertical="top" wrapText="1"/>
    </xf>
    <xf numFmtId="3" fontId="26" fillId="0" borderId="17" xfId="0" applyNumberFormat="1" applyFont="1" applyFill="1" applyBorder="1" applyAlignment="1">
      <alignment horizontal="right" vertical="top" wrapText="1"/>
    </xf>
    <xf numFmtId="0" fontId="33" fillId="0" borderId="17" xfId="44" applyFont="1" applyFill="1" applyBorder="1" applyAlignment="1">
      <alignment horizontal="justify" vertical="top" wrapText="1"/>
    </xf>
    <xf numFmtId="0" fontId="23" fillId="0" borderId="17" xfId="0" applyFont="1" applyFill="1" applyBorder="1" applyAlignment="1">
      <alignment horizontal="justify" vertical="top" wrapText="1"/>
    </xf>
    <xf numFmtId="0" fontId="26" fillId="0" borderId="17" xfId="0" applyFont="1" applyFill="1" applyBorder="1" applyAlignment="1">
      <alignment horizontal="justify" vertical="top" wrapText="1"/>
    </xf>
    <xf numFmtId="0" fontId="34" fillId="0" borderId="17" xfId="44" applyFont="1" applyFill="1" applyBorder="1" applyAlignment="1">
      <alignment horizontal="justify" vertical="top" wrapText="1"/>
    </xf>
    <xf numFmtId="3" fontId="34" fillId="0" borderId="17" xfId="44" applyNumberFormat="1" applyFont="1" applyFill="1" applyBorder="1" applyAlignment="1">
      <alignment horizontal="right" vertical="top" wrapText="1"/>
    </xf>
    <xf numFmtId="0" fontId="26" fillId="0" borderId="18" xfId="0" applyFont="1" applyFill="1" applyBorder="1" applyAlignment="1">
      <alignment horizontal="justify" vertical="top" wrapText="1"/>
    </xf>
    <xf numFmtId="0" fontId="26" fillId="0" borderId="19" xfId="0" applyFont="1" applyFill="1" applyBorder="1" applyAlignment="1">
      <alignment horizontal="justify" vertical="top" wrapText="1"/>
    </xf>
    <xf numFmtId="0" fontId="26" fillId="0" borderId="20" xfId="0" applyFont="1" applyFill="1" applyBorder="1" applyAlignment="1">
      <alignment horizontal="justify" vertical="top" wrapText="1"/>
    </xf>
    <xf numFmtId="0" fontId="36" fillId="0" borderId="21" xfId="0" applyFont="1" applyFill="1" applyBorder="1" applyAlignment="1">
      <alignment horizontal="justify" vertical="top" wrapText="1"/>
    </xf>
    <xf numFmtId="0" fontId="36" fillId="0" borderId="22" xfId="0" applyFont="1" applyFill="1" applyBorder="1" applyAlignment="1">
      <alignment horizontal="justify" vertical="top" wrapText="1"/>
    </xf>
    <xf numFmtId="0" fontId="36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2" fillId="0" borderId="23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3" fontId="22" fillId="0" borderId="26" xfId="0" applyNumberFormat="1" applyFont="1" applyFill="1" applyBorder="1" applyAlignment="1">
      <alignment horizontal="right" wrapText="1"/>
    </xf>
    <xf numFmtId="3" fontId="22" fillId="0" borderId="27" xfId="0" applyNumberFormat="1" applyFont="1" applyFill="1" applyBorder="1" applyAlignment="1">
      <alignment horizontal="right" wrapText="1"/>
    </xf>
    <xf numFmtId="3" fontId="22" fillId="0" borderId="28" xfId="0" applyNumberFormat="1" applyFont="1" applyFill="1" applyBorder="1" applyAlignment="1">
      <alignment horizontal="right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3" fillId="0" borderId="12" xfId="0" applyNumberFormat="1" applyFont="1" applyFill="1" applyBorder="1" applyAlignment="1">
      <alignment horizontal="right" vertical="top" wrapText="1"/>
    </xf>
    <xf numFmtId="3" fontId="23" fillId="0" borderId="13" xfId="0" applyNumberFormat="1" applyFont="1" applyFill="1" applyBorder="1" applyAlignment="1">
      <alignment horizontal="right" vertical="top" wrapText="1"/>
    </xf>
    <xf numFmtId="3" fontId="26" fillId="0" borderId="11" xfId="0" applyNumberFormat="1" applyFont="1" applyFill="1" applyBorder="1" applyAlignment="1">
      <alignment horizontal="right" vertical="top" wrapText="1"/>
    </xf>
    <xf numFmtId="3" fontId="26" fillId="0" borderId="12" xfId="0" applyNumberFormat="1" applyFont="1" applyFill="1" applyBorder="1" applyAlignment="1">
      <alignment horizontal="right" vertical="top" wrapText="1"/>
    </xf>
    <xf numFmtId="3" fontId="26" fillId="0" borderId="13" xfId="0" applyNumberFormat="1" applyFont="1" applyFill="1" applyBorder="1" applyAlignment="1">
      <alignment horizontal="right" vertical="top" wrapText="1"/>
    </xf>
    <xf numFmtId="3" fontId="26" fillId="0" borderId="14" xfId="0" applyNumberFormat="1" applyFont="1" applyFill="1" applyBorder="1" applyAlignment="1">
      <alignment horizontal="right" vertical="top" wrapText="1"/>
    </xf>
    <xf numFmtId="3" fontId="26" fillId="0" borderId="15" xfId="0" applyNumberFormat="1" applyFont="1" applyFill="1" applyBorder="1" applyAlignment="1">
      <alignment horizontal="right" vertical="top" wrapText="1"/>
    </xf>
    <xf numFmtId="3" fontId="26" fillId="0" borderId="16" xfId="0" applyNumberFormat="1" applyFont="1" applyFill="1" applyBorder="1" applyAlignment="1">
      <alignment horizontal="right" vertical="top" wrapText="1"/>
    </xf>
    <xf numFmtId="3" fontId="26" fillId="0" borderId="29" xfId="0" applyNumberFormat="1" applyFont="1" applyFill="1" applyBorder="1" applyAlignment="1">
      <alignment horizontal="right" vertical="top" wrapText="1"/>
    </xf>
    <xf numFmtId="3" fontId="26" fillId="0" borderId="30" xfId="0" applyNumberFormat="1" applyFont="1" applyFill="1" applyBorder="1" applyAlignment="1">
      <alignment horizontal="right" vertical="top" wrapText="1"/>
    </xf>
    <xf numFmtId="3" fontId="25" fillId="0" borderId="31" xfId="0" applyNumberFormat="1" applyFont="1" applyFill="1" applyBorder="1" applyAlignment="1">
      <alignment horizontal="right" wrapText="1"/>
    </xf>
    <xf numFmtId="3" fontId="25" fillId="0" borderId="29" xfId="0" applyNumberFormat="1" applyFont="1" applyFill="1" applyBorder="1" applyAlignment="1">
      <alignment horizontal="right" wrapText="1"/>
    </xf>
    <xf numFmtId="3" fontId="25" fillId="0" borderId="29" xfId="0" applyNumberFormat="1" applyFont="1" applyFill="1" applyBorder="1" applyAlignment="1">
      <alignment horizontal="right" vertical="top" wrapText="1"/>
    </xf>
    <xf numFmtId="3" fontId="25" fillId="0" borderId="30" xfId="0" applyNumberFormat="1" applyFont="1" applyFill="1" applyBorder="1" applyAlignment="1">
      <alignment horizontal="right" wrapText="1"/>
    </xf>
    <xf numFmtId="3" fontId="23" fillId="0" borderId="26" xfId="0" applyNumberFormat="1" applyFont="1" applyFill="1" applyBorder="1" applyAlignment="1">
      <alignment horizontal="right" wrapText="1"/>
    </xf>
    <xf numFmtId="3" fontId="23" fillId="0" borderId="32" xfId="0" applyNumberFormat="1" applyFont="1" applyFill="1" applyBorder="1" applyAlignment="1">
      <alignment horizontal="right" wrapText="1"/>
    </xf>
    <xf numFmtId="3" fontId="26" fillId="0" borderId="11" xfId="0" applyNumberFormat="1" applyFont="1" applyFill="1" applyBorder="1" applyAlignment="1">
      <alignment horizontal="right" wrapText="1"/>
    </xf>
    <xf numFmtId="3" fontId="26" fillId="0" borderId="14" xfId="0" applyNumberFormat="1" applyFont="1" applyFill="1" applyBorder="1" applyAlignment="1">
      <alignment horizontal="right" wrapText="1"/>
    </xf>
    <xf numFmtId="3" fontId="26" fillId="0" borderId="15" xfId="0" applyNumberFormat="1" applyFont="1" applyFill="1" applyBorder="1" applyAlignment="1">
      <alignment horizontal="right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31" fillId="0" borderId="0" xfId="0" applyFont="1" applyFill="1" applyAlignment="1">
      <alignment/>
    </xf>
    <xf numFmtId="3" fontId="22" fillId="0" borderId="26" xfId="0" applyNumberFormat="1" applyFont="1" applyFill="1" applyBorder="1" applyAlignment="1">
      <alignment horizontal="right" vertical="justify" wrapText="1"/>
    </xf>
    <xf numFmtId="3" fontId="22" fillId="0" borderId="27" xfId="0" applyNumberFormat="1" applyFont="1" applyFill="1" applyBorder="1" applyAlignment="1">
      <alignment horizontal="right" vertical="justify" wrapText="1"/>
    </xf>
    <xf numFmtId="3" fontId="22" fillId="0" borderId="28" xfId="0" applyNumberFormat="1" applyFont="1" applyFill="1" applyBorder="1" applyAlignment="1">
      <alignment horizontal="right" vertical="justify" wrapText="1"/>
    </xf>
    <xf numFmtId="3" fontId="22" fillId="0" borderId="31" xfId="0" applyNumberFormat="1" applyFont="1" applyFill="1" applyBorder="1" applyAlignment="1">
      <alignment horizontal="right" vertical="top" wrapText="1"/>
    </xf>
    <xf numFmtId="3" fontId="22" fillId="0" borderId="29" xfId="0" applyNumberFormat="1" applyFont="1" applyFill="1" applyBorder="1" applyAlignment="1">
      <alignment horizontal="right" vertical="top" wrapText="1"/>
    </xf>
    <xf numFmtId="3" fontId="22" fillId="0" borderId="30" xfId="0" applyNumberFormat="1" applyFont="1" applyFill="1" applyBorder="1" applyAlignment="1">
      <alignment horizontal="right" vertical="top" wrapText="1"/>
    </xf>
    <xf numFmtId="3" fontId="25" fillId="0" borderId="31" xfId="0" applyNumberFormat="1" applyFont="1" applyFill="1" applyBorder="1" applyAlignment="1">
      <alignment vertical="top" wrapText="1"/>
    </xf>
    <xf numFmtId="3" fontId="23" fillId="0" borderId="33" xfId="0" applyNumberFormat="1" applyFont="1" applyFill="1" applyBorder="1" applyAlignment="1">
      <alignment horizontal="right" vertical="top" wrapText="1"/>
    </xf>
    <xf numFmtId="3" fontId="23" fillId="0" borderId="34" xfId="0" applyNumberFormat="1" applyFont="1" applyFill="1" applyBorder="1" applyAlignment="1">
      <alignment horizontal="right" vertical="top" wrapText="1"/>
    </xf>
    <xf numFmtId="3" fontId="25" fillId="0" borderId="16" xfId="0" applyNumberFormat="1" applyFont="1" applyFill="1" applyBorder="1" applyAlignment="1">
      <alignment horizontal="right" vertical="top" wrapText="1"/>
    </xf>
    <xf numFmtId="4" fontId="25" fillId="0" borderId="31" xfId="0" applyNumberFormat="1" applyFont="1" applyFill="1" applyBorder="1" applyAlignment="1">
      <alignment horizontal="justify" vertical="top" wrapText="1"/>
    </xf>
    <xf numFmtId="4" fontId="26" fillId="0" borderId="26" xfId="0" applyNumberFormat="1" applyFont="1" applyFill="1" applyBorder="1" applyAlignment="1">
      <alignment horizontal="right" wrapText="1"/>
    </xf>
    <xf numFmtId="4" fontId="26" fillId="0" borderId="32" xfId="0" applyNumberFormat="1" applyFont="1" applyFill="1" applyBorder="1" applyAlignment="1">
      <alignment horizontal="right" wrapText="1"/>
    </xf>
    <xf numFmtId="4" fontId="26" fillId="0" borderId="14" xfId="0" applyNumberFormat="1" applyFont="1" applyFill="1" applyBorder="1" applyAlignment="1">
      <alignment horizontal="right" wrapText="1"/>
    </xf>
    <xf numFmtId="4" fontId="26" fillId="0" borderId="35" xfId="0" applyNumberFormat="1" applyFont="1" applyFill="1" applyBorder="1" applyAlignment="1">
      <alignment horizontal="right" wrapText="1"/>
    </xf>
    <xf numFmtId="4" fontId="23" fillId="0" borderId="31" xfId="0" applyNumberFormat="1" applyFont="1" applyFill="1" applyBorder="1" applyAlignment="1">
      <alignment horizontal="right" wrapText="1"/>
    </xf>
    <xf numFmtId="4" fontId="23" fillId="0" borderId="36" xfId="0" applyNumberFormat="1" applyFont="1" applyFill="1" applyBorder="1" applyAlignment="1">
      <alignment horizontal="right" wrapText="1"/>
    </xf>
    <xf numFmtId="3" fontId="25" fillId="0" borderId="31" xfId="0" applyNumberFormat="1" applyFont="1" applyFill="1" applyBorder="1" applyAlignment="1">
      <alignment horizontal="right" vertical="top" wrapText="1"/>
    </xf>
    <xf numFmtId="3" fontId="25" fillId="0" borderId="3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/>
    </xf>
    <xf numFmtId="211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11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1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left" vertical="top"/>
    </xf>
    <xf numFmtId="0" fontId="26" fillId="0" borderId="17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34" fillId="0" borderId="17" xfId="44" applyFont="1" applyFill="1" applyBorder="1" applyAlignment="1">
      <alignment vertical="top" wrapText="1"/>
    </xf>
    <xf numFmtId="3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3" fontId="25" fillId="0" borderId="17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33" fillId="0" borderId="17" xfId="44" applyFont="1" applyFill="1" applyBorder="1" applyAlignment="1">
      <alignment vertical="top" wrapText="1"/>
    </xf>
    <xf numFmtId="3" fontId="23" fillId="0" borderId="26" xfId="0" applyNumberFormat="1" applyFont="1" applyFill="1" applyBorder="1" applyAlignment="1">
      <alignment horizontal="right" vertical="top" wrapText="1"/>
    </xf>
    <xf numFmtId="3" fontId="23" fillId="0" borderId="27" xfId="0" applyNumberFormat="1" applyFont="1" applyFill="1" applyBorder="1" applyAlignment="1">
      <alignment horizontal="right" vertical="top" wrapText="1"/>
    </xf>
    <xf numFmtId="3" fontId="23" fillId="0" borderId="28" xfId="0" applyNumberFormat="1" applyFont="1" applyFill="1" applyBorder="1" applyAlignment="1">
      <alignment horizontal="right" vertical="top" wrapText="1"/>
    </xf>
    <xf numFmtId="3" fontId="26" fillId="0" borderId="31" xfId="0" applyNumberFormat="1" applyFont="1" applyFill="1" applyBorder="1" applyAlignment="1">
      <alignment horizontal="right" vertical="top" wrapText="1"/>
    </xf>
    <xf numFmtId="3" fontId="25" fillId="0" borderId="26" xfId="0" applyNumberFormat="1" applyFont="1" applyFill="1" applyBorder="1" applyAlignment="1">
      <alignment horizontal="right" wrapText="1"/>
    </xf>
    <xf numFmtId="3" fontId="25" fillId="0" borderId="27" xfId="0" applyNumberFormat="1" applyFont="1" applyFill="1" applyBorder="1" applyAlignment="1">
      <alignment horizontal="right" wrapText="1"/>
    </xf>
    <xf numFmtId="3" fontId="25" fillId="0" borderId="28" xfId="0" applyNumberFormat="1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27" fillId="0" borderId="0" xfId="44" applyFont="1" applyFill="1" applyAlignment="1">
      <alignment wrapText="1"/>
    </xf>
    <xf numFmtId="0" fontId="0" fillId="0" borderId="0" xfId="0" applyFont="1" applyFill="1" applyAlignment="1">
      <alignment wrapText="1"/>
    </xf>
    <xf numFmtId="0" fontId="34" fillId="0" borderId="0" xfId="44" applyFont="1" applyFill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3" fontId="39" fillId="0" borderId="41" xfId="0" applyNumberFormat="1" applyFont="1" applyBorder="1" applyAlignment="1">
      <alignment vertical="center"/>
    </xf>
    <xf numFmtId="0" fontId="39" fillId="0" borderId="41" xfId="0" applyFont="1" applyBorder="1" applyAlignment="1">
      <alignment/>
    </xf>
    <xf numFmtId="3" fontId="39" fillId="0" borderId="41" xfId="0" applyNumberFormat="1" applyFont="1" applyBorder="1" applyAlignment="1" applyProtection="1">
      <alignment/>
      <protection locked="0"/>
    </xf>
    <xf numFmtId="3" fontId="39" fillId="0" borderId="42" xfId="0" applyNumberFormat="1" applyFont="1" applyBorder="1" applyAlignment="1" applyProtection="1">
      <alignment/>
      <protection locked="0"/>
    </xf>
    <xf numFmtId="3" fontId="39" fillId="0" borderId="43" xfId="0" applyNumberFormat="1" applyFont="1" applyBorder="1" applyAlignment="1" applyProtection="1">
      <alignment/>
      <protection locked="0"/>
    </xf>
    <xf numFmtId="3" fontId="39" fillId="0" borderId="44" xfId="0" applyNumberFormat="1" applyFont="1" applyBorder="1" applyAlignment="1" applyProtection="1">
      <alignment/>
      <protection locked="0"/>
    </xf>
    <xf numFmtId="3" fontId="39" fillId="0" borderId="45" xfId="0" applyNumberFormat="1" applyFont="1" applyBorder="1" applyAlignment="1">
      <alignment vertical="center"/>
    </xf>
    <xf numFmtId="0" fontId="39" fillId="0" borderId="46" xfId="0" applyFont="1" applyBorder="1" applyAlignment="1">
      <alignment/>
    </xf>
    <xf numFmtId="3" fontId="39" fillId="0" borderId="46" xfId="0" applyNumberFormat="1" applyFont="1" applyBorder="1" applyAlignment="1" applyProtection="1">
      <alignment/>
      <protection locked="0"/>
    </xf>
    <xf numFmtId="3" fontId="39" fillId="0" borderId="47" xfId="0" applyNumberFormat="1" applyFont="1" applyBorder="1" applyAlignment="1" applyProtection="1">
      <alignment/>
      <protection locked="0"/>
    </xf>
    <xf numFmtId="3" fontId="39" fillId="0" borderId="17" xfId="0" applyNumberFormat="1" applyFont="1" applyBorder="1" applyAlignment="1" applyProtection="1">
      <alignment/>
      <protection locked="0"/>
    </xf>
    <xf numFmtId="3" fontId="39" fillId="0" borderId="48" xfId="0" applyNumberFormat="1" applyFont="1" applyBorder="1" applyAlignment="1" applyProtection="1">
      <alignment/>
      <protection locked="0"/>
    </xf>
    <xf numFmtId="3" fontId="39" fillId="0" borderId="49" xfId="0" applyNumberFormat="1" applyFont="1" applyBorder="1" applyAlignment="1">
      <alignment vertical="center"/>
    </xf>
    <xf numFmtId="3" fontId="39" fillId="0" borderId="46" xfId="0" applyNumberFormat="1" applyFont="1" applyBorder="1" applyAlignment="1">
      <alignment vertical="center"/>
    </xf>
    <xf numFmtId="3" fontId="39" fillId="0" borderId="46" xfId="0" applyNumberFormat="1" applyFont="1" applyBorder="1" applyAlignment="1">
      <alignment/>
    </xf>
    <xf numFmtId="3" fontId="39" fillId="0" borderId="47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48" xfId="0" applyNumberFormat="1" applyFont="1" applyBorder="1" applyAlignment="1">
      <alignment/>
    </xf>
    <xf numFmtId="0" fontId="39" fillId="0" borderId="50" xfId="0" applyFont="1" applyBorder="1" applyAlignment="1">
      <alignment/>
    </xf>
    <xf numFmtId="3" fontId="39" fillId="0" borderId="50" xfId="0" applyNumberFormat="1" applyFont="1" applyBorder="1" applyAlignment="1">
      <alignment/>
    </xf>
    <xf numFmtId="3" fontId="39" fillId="0" borderId="51" xfId="0" applyNumberFormat="1" applyFont="1" applyBorder="1" applyAlignment="1">
      <alignment/>
    </xf>
    <xf numFmtId="3" fontId="39" fillId="0" borderId="52" xfId="0" applyNumberFormat="1" applyFont="1" applyBorder="1" applyAlignment="1">
      <alignment/>
    </xf>
    <xf numFmtId="3" fontId="39" fillId="0" borderId="53" xfId="0" applyNumberFormat="1" applyFont="1" applyBorder="1" applyAlignment="1">
      <alignment/>
    </xf>
    <xf numFmtId="0" fontId="39" fillId="0" borderId="49" xfId="0" applyFont="1" applyBorder="1" applyAlignment="1">
      <alignment/>
    </xf>
    <xf numFmtId="3" fontId="39" fillId="0" borderId="49" xfId="0" applyNumberFormat="1" applyFont="1" applyBorder="1" applyAlignment="1" applyProtection="1">
      <alignment/>
      <protection locked="0"/>
    </xf>
    <xf numFmtId="3" fontId="39" fillId="0" borderId="54" xfId="0" applyNumberFormat="1" applyFont="1" applyBorder="1" applyAlignment="1" applyProtection="1">
      <alignment/>
      <protection locked="0"/>
    </xf>
    <xf numFmtId="3" fontId="39" fillId="0" borderId="22" xfId="0" applyNumberFormat="1" applyFont="1" applyBorder="1" applyAlignment="1" applyProtection="1">
      <alignment/>
      <protection locked="0"/>
    </xf>
    <xf numFmtId="3" fontId="39" fillId="0" borderId="55" xfId="0" applyNumberFormat="1" applyFont="1" applyBorder="1" applyAlignment="1" applyProtection="1">
      <alignment/>
      <protection locked="0"/>
    </xf>
    <xf numFmtId="3" fontId="39" fillId="0" borderId="42" xfId="52" applyNumberFormat="1" applyFont="1" applyBorder="1" applyProtection="1">
      <alignment/>
      <protection locked="0"/>
    </xf>
    <xf numFmtId="3" fontId="39" fillId="0" borderId="47" xfId="52" applyNumberFormat="1" applyFont="1" applyBorder="1" applyProtection="1">
      <alignment/>
      <protection locked="0"/>
    </xf>
    <xf numFmtId="3" fontId="39" fillId="0" borderId="47" xfId="52" applyNumberFormat="1" applyFont="1" applyBorder="1">
      <alignment/>
      <protection/>
    </xf>
    <xf numFmtId="3" fontId="39" fillId="0" borderId="51" xfId="52" applyNumberFormat="1" applyFont="1" applyBorder="1">
      <alignment/>
      <protection/>
    </xf>
    <xf numFmtId="0" fontId="39" fillId="0" borderId="45" xfId="0" applyFont="1" applyBorder="1" applyAlignment="1">
      <alignment/>
    </xf>
    <xf numFmtId="3" fontId="39" fillId="0" borderId="45" xfId="0" applyNumberFormat="1" applyFont="1" applyBorder="1" applyAlignment="1">
      <alignment/>
    </xf>
    <xf numFmtId="3" fontId="39" fillId="0" borderId="56" xfId="0" applyNumberFormat="1" applyFont="1" applyBorder="1" applyAlignment="1">
      <alignment/>
    </xf>
    <xf numFmtId="3" fontId="39" fillId="0" borderId="57" xfId="0" applyNumberFormat="1" applyFont="1" applyBorder="1" applyAlignment="1">
      <alignment/>
    </xf>
    <xf numFmtId="3" fontId="39" fillId="0" borderId="41" xfId="52" applyNumberFormat="1" applyFont="1" applyBorder="1" applyProtection="1">
      <alignment/>
      <protection locked="0"/>
    </xf>
    <xf numFmtId="3" fontId="39" fillId="0" borderId="22" xfId="52" applyNumberFormat="1" applyFont="1" applyBorder="1" applyProtection="1">
      <alignment/>
      <protection locked="0"/>
    </xf>
    <xf numFmtId="3" fontId="39" fillId="0" borderId="43" xfId="52" applyNumberFormat="1" applyFont="1" applyBorder="1" applyProtection="1">
      <alignment/>
      <protection locked="0"/>
    </xf>
    <xf numFmtId="3" fontId="39" fillId="0" borderId="44" xfId="52" applyNumberFormat="1" applyFont="1" applyBorder="1" applyProtection="1">
      <alignment/>
      <protection locked="0"/>
    </xf>
    <xf numFmtId="3" fontId="39" fillId="0" borderId="46" xfId="52" applyNumberFormat="1" applyFont="1" applyBorder="1" applyProtection="1">
      <alignment/>
      <protection locked="0"/>
    </xf>
    <xf numFmtId="3" fontId="39" fillId="0" borderId="17" xfId="52" applyNumberFormat="1" applyFont="1" applyBorder="1" applyProtection="1">
      <alignment/>
      <protection locked="0"/>
    </xf>
    <xf numFmtId="3" fontId="39" fillId="0" borderId="48" xfId="52" applyNumberFormat="1" applyFont="1" applyBorder="1" applyProtection="1">
      <alignment/>
      <protection locked="0"/>
    </xf>
    <xf numFmtId="3" fontId="39" fillId="0" borderId="46" xfId="52" applyNumberFormat="1" applyFont="1" applyBorder="1">
      <alignment/>
      <protection/>
    </xf>
    <xf numFmtId="3" fontId="39" fillId="0" borderId="17" xfId="52" applyNumberFormat="1" applyFont="1" applyBorder="1">
      <alignment/>
      <protection/>
    </xf>
    <xf numFmtId="3" fontId="39" fillId="0" borderId="48" xfId="52" applyNumberFormat="1" applyFont="1" applyBorder="1">
      <alignment/>
      <protection/>
    </xf>
    <xf numFmtId="3" fontId="39" fillId="0" borderId="50" xfId="52" applyNumberFormat="1" applyFont="1" applyBorder="1">
      <alignment/>
      <protection/>
    </xf>
    <xf numFmtId="3" fontId="39" fillId="0" borderId="52" xfId="52" applyNumberFormat="1" applyFont="1" applyBorder="1">
      <alignment/>
      <protection/>
    </xf>
    <xf numFmtId="3" fontId="39" fillId="0" borderId="53" xfId="52" applyNumberFormat="1" applyFont="1" applyBorder="1">
      <alignment/>
      <protection/>
    </xf>
    <xf numFmtId="3" fontId="0" fillId="0" borderId="0" xfId="0" applyNumberFormat="1" applyAlignment="1">
      <alignment/>
    </xf>
    <xf numFmtId="3" fontId="39" fillId="0" borderId="58" xfId="0" applyNumberFormat="1" applyFont="1" applyBorder="1" applyAlignment="1">
      <alignment vertical="center"/>
    </xf>
    <xf numFmtId="3" fontId="39" fillId="0" borderId="59" xfId="0" applyNumberFormat="1" applyFont="1" applyBorder="1" applyAlignment="1">
      <alignment vertical="center"/>
    </xf>
    <xf numFmtId="3" fontId="39" fillId="0" borderId="60" xfId="0" applyNumberFormat="1" applyFont="1" applyBorder="1" applyAlignment="1">
      <alignment vertical="center"/>
    </xf>
    <xf numFmtId="3" fontId="39" fillId="0" borderId="61" xfId="0" applyNumberFormat="1" applyFont="1" applyBorder="1" applyAlignment="1">
      <alignment/>
    </xf>
    <xf numFmtId="3" fontId="39" fillId="0" borderId="62" xfId="0" applyNumberFormat="1" applyFont="1" applyBorder="1" applyAlignment="1" applyProtection="1">
      <alignment/>
      <protection locked="0"/>
    </xf>
    <xf numFmtId="3" fontId="39" fillId="0" borderId="63" xfId="0" applyNumberFormat="1" applyFont="1" applyBorder="1" applyAlignment="1" applyProtection="1">
      <alignment/>
      <protection locked="0"/>
    </xf>
    <xf numFmtId="3" fontId="39" fillId="0" borderId="64" xfId="0" applyNumberFormat="1" applyFont="1" applyBorder="1" applyAlignment="1" applyProtection="1">
      <alignment/>
      <protection locked="0"/>
    </xf>
    <xf numFmtId="3" fontId="39" fillId="0" borderId="36" xfId="0" applyNumberFormat="1" applyFont="1" applyBorder="1" applyAlignment="1" applyProtection="1">
      <alignment/>
      <protection locked="0"/>
    </xf>
    <xf numFmtId="3" fontId="39" fillId="0" borderId="64" xfId="0" applyNumberFormat="1" applyFont="1" applyBorder="1" applyAlignment="1">
      <alignment/>
    </xf>
    <xf numFmtId="3" fontId="39" fillId="0" borderId="36" xfId="0" applyNumberFormat="1" applyFont="1" applyBorder="1" applyAlignment="1">
      <alignment/>
    </xf>
    <xf numFmtId="3" fontId="39" fillId="0" borderId="65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3" fontId="39" fillId="0" borderId="66" xfId="0" applyNumberFormat="1" applyFont="1" applyBorder="1" applyAlignment="1">
      <alignment/>
    </xf>
    <xf numFmtId="3" fontId="39" fillId="0" borderId="67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  <xf numFmtId="3" fontId="39" fillId="0" borderId="41" xfId="52" applyNumberFormat="1" applyFont="1" applyBorder="1" applyAlignment="1">
      <alignment vertical="center"/>
      <protection/>
    </xf>
    <xf numFmtId="0" fontId="39" fillId="0" borderId="41" xfId="52" applyFont="1" applyBorder="1">
      <alignment/>
      <protection/>
    </xf>
    <xf numFmtId="0" fontId="39" fillId="0" borderId="46" xfId="52" applyFont="1" applyBorder="1">
      <alignment/>
      <protection/>
    </xf>
    <xf numFmtId="3" fontId="39" fillId="0" borderId="46" xfId="52" applyNumberFormat="1" applyFont="1" applyBorder="1" applyAlignment="1">
      <alignment vertical="center"/>
      <protection/>
    </xf>
    <xf numFmtId="0" fontId="39" fillId="0" borderId="50" xfId="52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/>
      <protection locked="0"/>
    </xf>
    <xf numFmtId="3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4" fillId="0" borderId="48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3" fontId="2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wrapText="1"/>
    </xf>
    <xf numFmtId="3" fontId="24" fillId="0" borderId="0" xfId="0" applyNumberFormat="1" applyFont="1" applyBorder="1" applyAlignment="1">
      <alignment/>
    </xf>
    <xf numFmtId="3" fontId="39" fillId="0" borderId="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 horizontal="center"/>
    </xf>
    <xf numFmtId="0" fontId="39" fillId="0" borderId="69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3" fontId="39" fillId="0" borderId="50" xfId="0" applyNumberFormat="1" applyFont="1" applyBorder="1" applyAlignment="1">
      <alignment vertical="center"/>
    </xf>
    <xf numFmtId="3" fontId="39" fillId="0" borderId="71" xfId="0" applyNumberFormat="1" applyFont="1" applyBorder="1" applyAlignment="1" applyProtection="1">
      <alignment/>
      <protection locked="0"/>
    </xf>
    <xf numFmtId="3" fontId="39" fillId="0" borderId="72" xfId="0" applyNumberFormat="1" applyFont="1" applyBorder="1" applyAlignment="1">
      <alignment/>
    </xf>
    <xf numFmtId="0" fontId="39" fillId="0" borderId="46" xfId="0" applyFont="1" applyFill="1" applyBorder="1" applyAlignment="1">
      <alignment/>
    </xf>
    <xf numFmtId="3" fontId="39" fillId="0" borderId="46" xfId="0" applyNumberFormat="1" applyFont="1" applyFill="1" applyBorder="1" applyAlignment="1" applyProtection="1">
      <alignment/>
      <protection locked="0"/>
    </xf>
    <xf numFmtId="3" fontId="39" fillId="0" borderId="36" xfId="0" applyNumberFormat="1" applyFont="1" applyFill="1" applyBorder="1" applyAlignment="1" applyProtection="1">
      <alignment/>
      <protection locked="0"/>
    </xf>
    <xf numFmtId="3" fontId="39" fillId="0" borderId="17" xfId="0" applyNumberFormat="1" applyFont="1" applyFill="1" applyBorder="1" applyAlignment="1" applyProtection="1">
      <alignment/>
      <protection locked="0"/>
    </xf>
    <xf numFmtId="3" fontId="39" fillId="0" borderId="41" xfId="0" applyNumberFormat="1" applyFont="1" applyFill="1" applyBorder="1" applyAlignment="1">
      <alignment vertical="center"/>
    </xf>
    <xf numFmtId="0" fontId="39" fillId="0" borderId="49" xfId="0" applyFont="1" applyFill="1" applyBorder="1" applyAlignment="1">
      <alignment/>
    </xf>
    <xf numFmtId="3" fontId="39" fillId="0" borderId="41" xfId="0" applyNumberFormat="1" applyFont="1" applyFill="1" applyBorder="1" applyAlignment="1" applyProtection="1">
      <alignment/>
      <protection locked="0"/>
    </xf>
    <xf numFmtId="3" fontId="39" fillId="0" borderId="63" xfId="0" applyNumberFormat="1" applyFont="1" applyFill="1" applyBorder="1" applyAlignment="1" applyProtection="1">
      <alignment/>
      <protection locked="0"/>
    </xf>
    <xf numFmtId="3" fontId="39" fillId="0" borderId="22" xfId="0" applyNumberFormat="1" applyFont="1" applyFill="1" applyBorder="1" applyAlignment="1" applyProtection="1">
      <alignment/>
      <protection locked="0"/>
    </xf>
    <xf numFmtId="3" fontId="39" fillId="0" borderId="46" xfId="0" applyNumberFormat="1" applyFont="1" applyFill="1" applyBorder="1" applyAlignment="1">
      <alignment vertical="center"/>
    </xf>
    <xf numFmtId="3" fontId="39" fillId="0" borderId="46" xfId="0" applyNumberFormat="1" applyFont="1" applyFill="1" applyBorder="1" applyAlignment="1">
      <alignment/>
    </xf>
    <xf numFmtId="3" fontId="39" fillId="0" borderId="36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50" xfId="0" applyNumberFormat="1" applyFont="1" applyFill="1" applyBorder="1" applyAlignment="1">
      <alignment vertical="center"/>
    </xf>
    <xf numFmtId="0" fontId="39" fillId="0" borderId="45" xfId="0" applyFont="1" applyFill="1" applyBorder="1" applyAlignment="1">
      <alignment/>
    </xf>
    <xf numFmtId="3" fontId="39" fillId="0" borderId="50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56" xfId="0" applyNumberFormat="1" applyFont="1" applyFill="1" applyBorder="1" applyAlignment="1">
      <alignment/>
    </xf>
    <xf numFmtId="3" fontId="39" fillId="0" borderId="73" xfId="0" applyNumberFormat="1" applyFont="1" applyFill="1" applyBorder="1" applyAlignment="1">
      <alignment/>
    </xf>
    <xf numFmtId="3" fontId="39" fillId="0" borderId="52" xfId="0" applyNumberFormat="1" applyFont="1" applyFill="1" applyBorder="1" applyAlignment="1">
      <alignment/>
    </xf>
    <xf numFmtId="0" fontId="39" fillId="0" borderId="74" xfId="0" applyFont="1" applyBorder="1" applyAlignment="1">
      <alignment vertical="center"/>
    </xf>
    <xf numFmtId="0" fontId="39" fillId="0" borderId="74" xfId="0" applyFont="1" applyBorder="1" applyAlignment="1" applyProtection="1">
      <alignment vertical="center" wrapText="1"/>
      <protection locked="0"/>
    </xf>
    <xf numFmtId="0" fontId="39" fillId="0" borderId="74" xfId="0" applyFont="1" applyBorder="1" applyAlignment="1" applyProtection="1">
      <alignment horizontal="center" vertical="center"/>
      <protection locked="0"/>
    </xf>
    <xf numFmtId="0" fontId="39" fillId="0" borderId="74" xfId="0" applyFont="1" applyBorder="1" applyAlignment="1" applyProtection="1">
      <alignment horizontal="center" vertical="center" wrapText="1"/>
      <protection locked="0"/>
    </xf>
    <xf numFmtId="0" fontId="39" fillId="0" borderId="74" xfId="0" applyFont="1" applyBorder="1" applyAlignment="1" applyProtection="1">
      <alignment horizontal="center"/>
      <protection locked="0"/>
    </xf>
    <xf numFmtId="3" fontId="39" fillId="0" borderId="74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3" fontId="39" fillId="0" borderId="0" xfId="0" applyNumberFormat="1" applyFont="1" applyFill="1" applyBorder="1" applyAlignment="1" applyProtection="1">
      <alignment vertical="center"/>
      <protection locked="0"/>
    </xf>
    <xf numFmtId="3" fontId="39" fillId="24" borderId="0" xfId="0" applyNumberFormat="1" applyFont="1" applyFill="1" applyBorder="1" applyAlignment="1" applyProtection="1">
      <alignment/>
      <protection locked="0"/>
    </xf>
    <xf numFmtId="0" fontId="39" fillId="0" borderId="75" xfId="0" applyFont="1" applyBorder="1" applyAlignment="1">
      <alignment/>
    </xf>
    <xf numFmtId="0" fontId="39" fillId="0" borderId="76" xfId="0" applyFont="1" applyBorder="1" applyAlignment="1">
      <alignment/>
    </xf>
    <xf numFmtId="0" fontId="39" fillId="0" borderId="73" xfId="0" applyFont="1" applyBorder="1" applyAlignment="1">
      <alignment/>
    </xf>
    <xf numFmtId="3" fontId="39" fillId="0" borderId="52" xfId="0" applyNumberFormat="1" applyFont="1" applyBorder="1" applyAlignment="1" applyProtection="1">
      <alignment/>
      <protection locked="0"/>
    </xf>
    <xf numFmtId="3" fontId="39" fillId="0" borderId="49" xfId="0" applyNumberFormat="1" applyFont="1" applyBorder="1" applyAlignment="1" applyProtection="1">
      <alignment horizontal="center" vertical="center"/>
      <protection locked="0"/>
    </xf>
    <xf numFmtId="3" fontId="39" fillId="0" borderId="46" xfId="0" applyNumberFormat="1" applyFont="1" applyBorder="1" applyAlignment="1" applyProtection="1">
      <alignment horizontal="center" vertical="center"/>
      <protection locked="0"/>
    </xf>
    <xf numFmtId="0" fontId="39" fillId="0" borderId="50" xfId="0" applyFont="1" applyBorder="1" applyAlignment="1" applyProtection="1">
      <alignment horizontal="center" vertical="center" wrapText="1"/>
      <protection locked="0"/>
    </xf>
    <xf numFmtId="0" fontId="39" fillId="0" borderId="49" xfId="0" applyFont="1" applyBorder="1" applyAlignment="1" applyProtection="1">
      <alignment horizontal="center"/>
      <protection locked="0"/>
    </xf>
    <xf numFmtId="0" fontId="39" fillId="0" borderId="46" xfId="0" applyFont="1" applyBorder="1" applyAlignment="1" applyProtection="1">
      <alignment horizontal="center"/>
      <protection locked="0"/>
    </xf>
    <xf numFmtId="0" fontId="39" fillId="0" borderId="46" xfId="0" applyFont="1" applyBorder="1" applyAlignment="1" applyProtection="1">
      <alignment horizontal="center" vertical="center" wrapText="1"/>
      <protection locked="0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39" fillId="0" borderId="67" xfId="52" applyFont="1" applyBorder="1" applyAlignment="1">
      <alignment horizontal="center" vertical="center"/>
      <protection/>
    </xf>
    <xf numFmtId="0" fontId="39" fillId="0" borderId="77" xfId="52" applyFont="1" applyBorder="1" applyAlignment="1">
      <alignment horizontal="center" vertical="center"/>
      <protection/>
    </xf>
    <xf numFmtId="0" fontId="39" fillId="0" borderId="78" xfId="52" applyFont="1" applyFill="1" applyBorder="1" applyAlignment="1" applyProtection="1">
      <alignment vertical="center" wrapText="1"/>
      <protection locked="0"/>
    </xf>
    <xf numFmtId="0" fontId="39" fillId="0" borderId="67" xfId="52" applyFont="1" applyFill="1" applyBorder="1" applyAlignment="1" applyProtection="1">
      <alignment vertical="center" wrapText="1"/>
      <protection locked="0"/>
    </xf>
    <xf numFmtId="0" fontId="39" fillId="0" borderId="77" xfId="52" applyFont="1" applyFill="1" applyBorder="1" applyAlignment="1" applyProtection="1">
      <alignment vertical="center" wrapText="1"/>
      <protection locked="0"/>
    </xf>
    <xf numFmtId="0" fontId="25" fillId="0" borderId="17" xfId="0" applyFont="1" applyFill="1" applyBorder="1" applyAlignment="1">
      <alignment horizontal="right" vertical="center" wrapText="1"/>
    </xf>
    <xf numFmtId="0" fontId="26" fillId="0" borderId="17" xfId="0" applyFont="1" applyFill="1" applyBorder="1" applyAlignment="1">
      <alignment horizontal="right"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3" fontId="39" fillId="0" borderId="45" xfId="0" applyNumberFormat="1" applyFont="1" applyBorder="1" applyAlignment="1">
      <alignment vertical="center"/>
    </xf>
    <xf numFmtId="3" fontId="39" fillId="0" borderId="67" xfId="0" applyNumberFormat="1" applyFont="1" applyBorder="1" applyAlignment="1">
      <alignment vertical="center"/>
    </xf>
    <xf numFmtId="3" fontId="39" fillId="0" borderId="77" xfId="0" applyNumberFormat="1" applyFont="1" applyBorder="1" applyAlignment="1">
      <alignment vertical="center"/>
    </xf>
    <xf numFmtId="0" fontId="39" fillId="0" borderId="41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78" xfId="0" applyFont="1" applyFill="1" applyBorder="1" applyAlignment="1" applyProtection="1">
      <alignment vertical="center" wrapText="1"/>
      <protection locked="0"/>
    </xf>
    <xf numFmtId="0" fontId="39" fillId="0" borderId="67" xfId="0" applyFont="1" applyFill="1" applyBorder="1" applyAlignment="1" applyProtection="1">
      <alignment vertical="center" wrapText="1"/>
      <protection locked="0"/>
    </xf>
    <xf numFmtId="0" fontId="39" fillId="0" borderId="77" xfId="0" applyFont="1" applyFill="1" applyBorder="1" applyAlignment="1" applyProtection="1">
      <alignment vertical="center" wrapText="1"/>
      <protection locked="0"/>
    </xf>
    <xf numFmtId="0" fontId="39" fillId="0" borderId="41" xfId="52" applyFont="1" applyBorder="1" applyAlignment="1" applyProtection="1">
      <alignment horizontal="center" vertical="center" wrapText="1"/>
      <protection locked="0"/>
    </xf>
    <xf numFmtId="0" fontId="39" fillId="0" borderId="46" xfId="52" applyFont="1" applyBorder="1" applyAlignment="1" applyProtection="1">
      <alignment horizontal="center" vertical="center" wrapText="1"/>
      <protection locked="0"/>
    </xf>
    <xf numFmtId="0" fontId="39" fillId="0" borderId="50" xfId="52" applyFont="1" applyBorder="1" applyAlignment="1" applyProtection="1">
      <alignment horizontal="center" vertical="center" wrapText="1"/>
      <protection locked="0"/>
    </xf>
    <xf numFmtId="0" fontId="39" fillId="0" borderId="41" xfId="52" applyFont="1" applyBorder="1" applyAlignment="1" applyProtection="1">
      <alignment horizontal="center"/>
      <protection locked="0"/>
    </xf>
    <xf numFmtId="0" fontId="39" fillId="0" borderId="46" xfId="52" applyFont="1" applyBorder="1" applyAlignment="1" applyProtection="1">
      <alignment horizontal="center"/>
      <protection locked="0"/>
    </xf>
    <xf numFmtId="3" fontId="39" fillId="0" borderId="41" xfId="52" applyNumberFormat="1" applyFont="1" applyBorder="1" applyAlignment="1" applyProtection="1">
      <alignment horizontal="center" vertical="center"/>
      <protection locked="0"/>
    </xf>
    <xf numFmtId="3" fontId="39" fillId="0" borderId="46" xfId="52" applyNumberFormat="1" applyFont="1" applyBorder="1" applyAlignment="1" applyProtection="1">
      <alignment horizontal="center" vertical="center"/>
      <protection locked="0"/>
    </xf>
    <xf numFmtId="3" fontId="39" fillId="0" borderId="50" xfId="52" applyNumberFormat="1" applyFont="1" applyBorder="1" applyAlignment="1" applyProtection="1">
      <alignment horizontal="center" vertical="center"/>
      <protection locked="0"/>
    </xf>
    <xf numFmtId="3" fontId="39" fillId="0" borderId="45" xfId="52" applyNumberFormat="1" applyFont="1" applyBorder="1" applyAlignment="1">
      <alignment vertical="center"/>
      <protection/>
    </xf>
    <xf numFmtId="3" fontId="39" fillId="0" borderId="49" xfId="52" applyNumberFormat="1" applyFont="1" applyBorder="1" applyAlignment="1">
      <alignment vertical="center"/>
      <protection/>
    </xf>
    <xf numFmtId="0" fontId="39" fillId="0" borderId="50" xfId="52" applyFont="1" applyBorder="1" applyAlignment="1" applyProtection="1">
      <alignment horizontal="center"/>
      <protection locked="0"/>
    </xf>
    <xf numFmtId="3" fontId="39" fillId="0" borderId="67" xfId="52" applyNumberFormat="1" applyFont="1" applyBorder="1" applyAlignment="1">
      <alignment vertical="center"/>
      <protection/>
    </xf>
    <xf numFmtId="3" fontId="39" fillId="0" borderId="77" xfId="52" applyNumberFormat="1" applyFont="1" applyBorder="1" applyAlignment="1">
      <alignment vertical="center"/>
      <protection/>
    </xf>
    <xf numFmtId="0" fontId="39" fillId="0" borderId="41" xfId="52" applyFont="1" applyBorder="1" applyAlignment="1">
      <alignment horizontal="center" vertical="center"/>
      <protection/>
    </xf>
    <xf numFmtId="0" fontId="39" fillId="0" borderId="46" xfId="52" applyFont="1" applyBorder="1" applyAlignment="1">
      <alignment horizontal="center" vertical="center"/>
      <protection/>
    </xf>
    <xf numFmtId="0" fontId="39" fillId="0" borderId="78" xfId="52" applyFont="1" applyBorder="1" applyAlignment="1">
      <alignment horizontal="center" vertical="center"/>
      <protection/>
    </xf>
    <xf numFmtId="3" fontId="39" fillId="0" borderId="50" xfId="0" applyNumberFormat="1" applyFont="1" applyBorder="1" applyAlignment="1" applyProtection="1">
      <alignment horizontal="center" vertical="center"/>
      <protection locked="0"/>
    </xf>
    <xf numFmtId="3" fontId="39" fillId="0" borderId="79" xfId="0" applyNumberFormat="1" applyFont="1" applyBorder="1" applyAlignment="1">
      <alignment vertical="center"/>
    </xf>
    <xf numFmtId="3" fontId="39" fillId="0" borderId="59" xfId="0" applyNumberFormat="1" applyFont="1" applyBorder="1" applyAlignment="1">
      <alignment vertical="center"/>
    </xf>
    <xf numFmtId="0" fontId="39" fillId="0" borderId="50" xfId="0" applyFont="1" applyBorder="1" applyAlignment="1" applyProtection="1">
      <alignment horizontal="center"/>
      <protection locked="0"/>
    </xf>
    <xf numFmtId="3" fontId="39" fillId="0" borderId="80" xfId="0" applyNumberFormat="1" applyFont="1" applyBorder="1" applyAlignment="1">
      <alignment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49" xfId="0" applyFont="1" applyFill="1" applyBorder="1" applyAlignment="1" applyProtection="1">
      <alignment vertical="center" wrapText="1"/>
      <protection locked="0"/>
    </xf>
    <xf numFmtId="0" fontId="39" fillId="0" borderId="46" xfId="0" applyFont="1" applyFill="1" applyBorder="1" applyAlignment="1" applyProtection="1">
      <alignment vertical="center" wrapText="1"/>
      <protection locked="0"/>
    </xf>
    <xf numFmtId="0" fontId="39" fillId="0" borderId="50" xfId="0" applyFont="1" applyFill="1" applyBorder="1" applyAlignment="1" applyProtection="1">
      <alignment vertical="center" wrapText="1"/>
      <protection locked="0"/>
    </xf>
    <xf numFmtId="3" fontId="39" fillId="0" borderId="49" xfId="0" applyNumberFormat="1" applyFont="1" applyBorder="1" applyAlignment="1">
      <alignment vertical="center"/>
    </xf>
    <xf numFmtId="0" fontId="39" fillId="0" borderId="77" xfId="0" applyFont="1" applyBorder="1" applyAlignment="1">
      <alignment horizontal="center" vertical="center"/>
    </xf>
    <xf numFmtId="0" fontId="39" fillId="0" borderId="67" xfId="0" applyFont="1" applyBorder="1" applyAlignment="1" applyProtection="1">
      <alignment vertical="center" wrapText="1"/>
      <protection locked="0"/>
    </xf>
    <xf numFmtId="0" fontId="39" fillId="0" borderId="77" xfId="0" applyFont="1" applyBorder="1" applyAlignment="1" applyProtection="1">
      <alignment vertical="center" wrapText="1"/>
      <protection locked="0"/>
    </xf>
    <xf numFmtId="0" fontId="39" fillId="0" borderId="41" xfId="0" applyFont="1" applyBorder="1" applyAlignment="1" applyProtection="1">
      <alignment horizontal="center"/>
      <protection locked="0"/>
    </xf>
    <xf numFmtId="3" fontId="39" fillId="0" borderId="41" xfId="0" applyNumberFormat="1" applyFont="1" applyBorder="1" applyAlignment="1" applyProtection="1">
      <alignment horizontal="center" vertical="center"/>
      <protection locked="0"/>
    </xf>
    <xf numFmtId="0" fontId="39" fillId="0" borderId="78" xfId="0" applyFont="1" applyBorder="1" applyAlignment="1" applyProtection="1">
      <alignment vertical="center" wrapText="1"/>
      <protection locked="0"/>
    </xf>
    <xf numFmtId="0" fontId="39" fillId="0" borderId="37" xfId="0" applyFont="1" applyBorder="1" applyAlignment="1" applyProtection="1">
      <alignment horizontal="center" vertical="center" wrapText="1"/>
      <protection locked="0"/>
    </xf>
    <xf numFmtId="0" fontId="39" fillId="0" borderId="78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77" xfId="0" applyFont="1" applyBorder="1" applyAlignment="1">
      <alignment horizontal="center" vertical="center" wrapText="1"/>
    </xf>
    <xf numFmtId="0" fontId="39" fillId="0" borderId="41" xfId="0" applyFont="1" applyFill="1" applyBorder="1" applyAlignment="1" applyProtection="1">
      <alignment vertical="center" wrapText="1"/>
      <protection locked="0"/>
    </xf>
    <xf numFmtId="0" fontId="39" fillId="0" borderId="78" xfId="0" applyFont="1" applyBorder="1" applyAlignment="1" applyProtection="1">
      <alignment horizontal="left" vertical="center" wrapText="1"/>
      <protection locked="0"/>
    </xf>
    <xf numFmtId="0" fontId="39" fillId="0" borderId="67" xfId="0" applyFont="1" applyBorder="1" applyAlignment="1" applyProtection="1">
      <alignment horizontal="left" vertical="center" wrapText="1"/>
      <protection locked="0"/>
    </xf>
    <xf numFmtId="0" fontId="39" fillId="0" borderId="77" xfId="0" applyFont="1" applyBorder="1" applyAlignment="1" applyProtection="1">
      <alignment horizontal="left" vertical="center" wrapText="1"/>
      <protection locked="0"/>
    </xf>
    <xf numFmtId="0" fontId="39" fillId="0" borderId="78" xfId="0" applyFont="1" applyBorder="1" applyAlignment="1" applyProtection="1">
      <alignment horizontal="center" vertical="center" wrapText="1"/>
      <protection locked="0"/>
    </xf>
    <xf numFmtId="0" fontId="39" fillId="0" borderId="67" xfId="0" applyFont="1" applyBorder="1" applyAlignment="1" applyProtection="1">
      <alignment horizontal="center" vertical="center" wrapText="1"/>
      <protection locked="0"/>
    </xf>
    <xf numFmtId="0" fontId="39" fillId="0" borderId="77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/>
      <protection locked="0"/>
    </xf>
    <xf numFmtId="0" fontId="39" fillId="0" borderId="59" xfId="0" applyFont="1" applyFill="1" applyBorder="1" applyAlignment="1" applyProtection="1">
      <alignment vertical="center" wrapText="1"/>
      <protection locked="0"/>
    </xf>
    <xf numFmtId="0" fontId="39" fillId="0" borderId="60" xfId="0" applyFont="1" applyFill="1" applyBorder="1" applyAlignment="1" applyProtection="1">
      <alignment vertical="center" wrapText="1"/>
      <protection locked="0"/>
    </xf>
    <xf numFmtId="0" fontId="39" fillId="0" borderId="81" xfId="0" applyFont="1" applyFill="1" applyBorder="1" applyAlignment="1" applyProtection="1">
      <alignment vertical="center" wrapText="1"/>
      <protection locked="0"/>
    </xf>
    <xf numFmtId="3" fontId="39" fillId="0" borderId="49" xfId="52" applyNumberFormat="1" applyFont="1" applyBorder="1" applyAlignment="1" applyProtection="1">
      <alignment horizontal="center" vertical="center"/>
      <protection locked="0"/>
    </xf>
    <xf numFmtId="0" fontId="39" fillId="0" borderId="82" xfId="0" applyFont="1" applyBorder="1" applyAlignment="1" applyProtection="1">
      <alignment vertical="center" wrapText="1"/>
      <protection locked="0"/>
    </xf>
    <xf numFmtId="0" fontId="39" fillId="0" borderId="68" xfId="0" applyFont="1" applyBorder="1" applyAlignment="1" applyProtection="1">
      <alignment vertical="center" wrapText="1"/>
      <protection locked="0"/>
    </xf>
    <xf numFmtId="0" fontId="39" fillId="0" borderId="83" xfId="0" applyFont="1" applyBorder="1" applyAlignment="1" applyProtection="1">
      <alignment vertical="center" wrapText="1"/>
      <protection locked="0"/>
    </xf>
    <xf numFmtId="3" fontId="39" fillId="0" borderId="84" xfId="0" applyNumberFormat="1" applyFont="1" applyBorder="1" applyAlignment="1">
      <alignment vertical="center"/>
    </xf>
    <xf numFmtId="3" fontId="39" fillId="0" borderId="45" xfId="0" applyNumberFormat="1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vertical="center" wrapText="1"/>
      <protection locked="0"/>
    </xf>
    <xf numFmtId="0" fontId="39" fillId="0" borderId="46" xfId="0" applyFont="1" applyBorder="1" applyAlignment="1" applyProtection="1">
      <alignment vertical="center" wrapText="1"/>
      <protection locked="0"/>
    </xf>
    <xf numFmtId="0" fontId="39" fillId="0" borderId="50" xfId="0" applyFont="1" applyBorder="1" applyAlignment="1" applyProtection="1">
      <alignment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39" fillId="0" borderId="85" xfId="0" applyFont="1" applyBorder="1" applyAlignment="1" applyProtection="1">
      <alignment vertical="center" wrapText="1"/>
      <protection locked="0"/>
    </xf>
    <xf numFmtId="0" fontId="39" fillId="0" borderId="80" xfId="0" applyFont="1" applyBorder="1" applyAlignment="1" applyProtection="1">
      <alignment vertical="center" wrapText="1"/>
      <protection locked="0"/>
    </xf>
    <xf numFmtId="0" fontId="39" fillId="0" borderId="84" xfId="0" applyFont="1" applyBorder="1" applyAlignment="1" applyProtection="1">
      <alignment vertical="center" wrapText="1"/>
      <protection locked="0"/>
    </xf>
    <xf numFmtId="0" fontId="39" fillId="0" borderId="49" xfId="0" applyFont="1" applyBorder="1" applyAlignment="1" applyProtection="1">
      <alignment vertical="center" wrapText="1"/>
      <protection locked="0"/>
    </xf>
    <xf numFmtId="0" fontId="39" fillId="0" borderId="67" xfId="0" applyFont="1" applyBorder="1" applyAlignment="1" applyProtection="1">
      <alignment horizontal="center"/>
      <protection locked="0"/>
    </xf>
    <xf numFmtId="0" fontId="39" fillId="0" borderId="77" xfId="0" applyFont="1" applyBorder="1" applyAlignment="1" applyProtection="1">
      <alignment horizontal="center"/>
      <protection locked="0"/>
    </xf>
    <xf numFmtId="0" fontId="39" fillId="0" borderId="78" xfId="0" applyFont="1" applyBorder="1" applyAlignment="1" applyProtection="1">
      <alignment horizontal="center"/>
      <protection locked="0"/>
    </xf>
    <xf numFmtId="0" fontId="0" fillId="0" borderId="77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24" fillId="0" borderId="48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6" xfId="0" applyBorder="1" applyAlignment="1">
      <alignment horizontal="left"/>
    </xf>
    <xf numFmtId="3" fontId="39" fillId="0" borderId="78" xfId="0" applyNumberFormat="1" applyFont="1" applyBorder="1" applyAlignment="1" applyProtection="1">
      <alignment horizontal="center" vertical="center"/>
      <protection locked="0"/>
    </xf>
    <xf numFmtId="3" fontId="39" fillId="0" borderId="67" xfId="0" applyNumberFormat="1" applyFont="1" applyBorder="1" applyAlignment="1" applyProtection="1">
      <alignment horizontal="center" vertical="center"/>
      <protection locked="0"/>
    </xf>
    <xf numFmtId="3" fontId="39" fillId="0" borderId="77" xfId="0" applyNumberFormat="1" applyFont="1" applyBorder="1" applyAlignment="1" applyProtection="1">
      <alignment horizontal="center" vertical="center"/>
      <protection locked="0"/>
    </xf>
    <xf numFmtId="3" fontId="39" fillId="0" borderId="45" xfId="0" applyNumberFormat="1" applyFont="1" applyBorder="1" applyAlignment="1">
      <alignment horizontal="right" vertical="center"/>
    </xf>
    <xf numFmtId="3" fontId="39" fillId="0" borderId="67" xfId="0" applyNumberFormat="1" applyFont="1" applyBorder="1" applyAlignment="1">
      <alignment horizontal="right" vertical="center"/>
    </xf>
    <xf numFmtId="3" fontId="39" fillId="0" borderId="77" xfId="0" applyNumberFormat="1" applyFont="1" applyBorder="1" applyAlignment="1">
      <alignment horizontal="right" vertical="center"/>
    </xf>
    <xf numFmtId="3" fontId="39" fillId="0" borderId="78" xfId="0" applyNumberFormat="1" applyFont="1" applyFill="1" applyBorder="1" applyAlignment="1" applyProtection="1">
      <alignment horizontal="center" vertical="center"/>
      <protection locked="0"/>
    </xf>
    <xf numFmtId="3" fontId="39" fillId="0" borderId="67" xfId="0" applyNumberFormat="1" applyFont="1" applyFill="1" applyBorder="1" applyAlignment="1" applyProtection="1">
      <alignment horizontal="center" vertical="center"/>
      <protection locked="0"/>
    </xf>
    <xf numFmtId="3" fontId="39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vertical="center"/>
    </xf>
    <xf numFmtId="0" fontId="39" fillId="0" borderId="78" xfId="0" applyFont="1" applyBorder="1" applyAlignment="1" applyProtection="1">
      <alignment horizontal="center" vertical="center"/>
      <protection locked="0"/>
    </xf>
    <xf numFmtId="0" fontId="39" fillId="0" borderId="67" xfId="0" applyFont="1" applyBorder="1" applyAlignment="1" applyProtection="1">
      <alignment horizontal="center" vertical="center"/>
      <protection locked="0"/>
    </xf>
    <xf numFmtId="0" fontId="39" fillId="0" borderId="77" xfId="0" applyFont="1" applyBorder="1" applyAlignment="1" applyProtection="1">
      <alignment horizontal="center" vertical="center"/>
      <protection locked="0"/>
    </xf>
    <xf numFmtId="0" fontId="24" fillId="0" borderId="8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9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70" xfId="0" applyBorder="1" applyAlignment="1">
      <alignment horizontal="center" vertical="center"/>
    </xf>
    <xf numFmtId="0" fontId="39" fillId="0" borderId="37" xfId="0" applyFont="1" applyFill="1" applyBorder="1" applyAlignment="1">
      <alignment vertical="center" wrapText="1"/>
    </xf>
    <xf numFmtId="3" fontId="3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78" xfId="0" applyFont="1" applyFill="1" applyBorder="1" applyAlignment="1" applyProtection="1">
      <alignment horizontal="center"/>
      <protection locked="0"/>
    </xf>
    <xf numFmtId="0" fontId="39" fillId="0" borderId="67" xfId="0" applyFont="1" applyFill="1" applyBorder="1" applyAlignment="1" applyProtection="1">
      <alignment horizontal="center"/>
      <protection locked="0"/>
    </xf>
    <xf numFmtId="0" fontId="39" fillId="0" borderId="49" xfId="0" applyFont="1" applyFill="1" applyBorder="1" applyAlignment="1" applyProtection="1">
      <alignment horizontal="center"/>
      <protection locked="0"/>
    </xf>
    <xf numFmtId="0" fontId="39" fillId="0" borderId="45" xfId="0" applyFont="1" applyFill="1" applyBorder="1" applyAlignment="1" applyProtection="1">
      <alignment horizontal="center"/>
      <protection locked="0"/>
    </xf>
    <xf numFmtId="0" fontId="39" fillId="0" borderId="77" xfId="0" applyFont="1" applyFill="1" applyBorder="1" applyAlignment="1" applyProtection="1">
      <alignment horizontal="center"/>
      <protection locked="0"/>
    </xf>
    <xf numFmtId="0" fontId="40" fillId="0" borderId="78" xfId="0" applyFont="1" applyBorder="1" applyAlignment="1" applyProtection="1">
      <alignment vertical="center" wrapText="1"/>
      <protection locked="0"/>
    </xf>
    <xf numFmtId="0" fontId="40" fillId="0" borderId="67" xfId="0" applyFont="1" applyBorder="1" applyAlignment="1" applyProtection="1">
      <alignment vertical="center" wrapText="1"/>
      <protection locked="0"/>
    </xf>
    <xf numFmtId="0" fontId="40" fillId="0" borderId="77" xfId="0" applyFont="1" applyBorder="1" applyAlignment="1" applyProtection="1">
      <alignment vertical="center" wrapText="1"/>
      <protection locked="0"/>
    </xf>
    <xf numFmtId="0" fontId="39" fillId="0" borderId="78" xfId="0" applyFont="1" applyFill="1" applyBorder="1" applyAlignment="1" applyProtection="1">
      <alignment horizontal="center" vertical="center"/>
      <protection locked="0"/>
    </xf>
    <xf numFmtId="0" fontId="39" fillId="0" borderId="67" xfId="0" applyFont="1" applyFill="1" applyBorder="1" applyAlignment="1" applyProtection="1">
      <alignment horizontal="center" vertical="center"/>
      <protection locked="0"/>
    </xf>
    <xf numFmtId="0" fontId="39" fillId="0" borderId="77" xfId="0" applyFont="1" applyFill="1" applyBorder="1" applyAlignment="1" applyProtection="1">
      <alignment horizontal="center" vertical="center"/>
      <protection locked="0"/>
    </xf>
    <xf numFmtId="0" fontId="39" fillId="0" borderId="78" xfId="0" applyFont="1" applyFill="1" applyBorder="1" applyAlignment="1" applyProtection="1">
      <alignment horizontal="center" vertical="center" wrapText="1"/>
      <protection locked="0"/>
    </xf>
    <xf numFmtId="0" fontId="39" fillId="0" borderId="67" xfId="0" applyFont="1" applyFill="1" applyBorder="1" applyAlignment="1" applyProtection="1">
      <alignment horizontal="center" vertical="center" wrapText="1"/>
      <protection locked="0"/>
    </xf>
    <xf numFmtId="3" fontId="39" fillId="0" borderId="45" xfId="0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39" fillId="0" borderId="89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Alignment="1">
      <alignment horizontal="righ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F na wrzesień 2011 AUTOPOPRAWK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bahe\Ustawienia%20lokalne\Temporary%20Internet%20Files\Content.IE5\VA6ZVLO7\WWPF%20Gdynia13.03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Ustawienia%20lokalne\Temporary%20Internet%20Files\Content.IE5\8J8AB0ZJ\WPF%2013.03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oje%20dokumenty\wpf%20gdynia\prognoza%20bud&#380;etu%20%202010-8.11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zedsi&#281;wzi&#281;cia%20pozosta&#322;e%20do%20WPF%20AS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-14.11.r (2)"/>
      <sheetName val="WPF-14.11.r"/>
      <sheetName val="WPF2011 14.11."/>
    </sheetNames>
    <sheetDataSet>
      <sheetData sheetId="2">
        <row r="9">
          <cell r="K9">
            <v>1009627061.927256</v>
          </cell>
          <cell r="L9">
            <v>1067729262.142953</v>
          </cell>
          <cell r="M9">
            <v>1114424031.3225648</v>
          </cell>
          <cell r="O9">
            <v>1184611883.6488433</v>
          </cell>
          <cell r="P9">
            <v>1219470866.8538556</v>
          </cell>
          <cell r="Q9">
            <v>1254640773.7306643</v>
          </cell>
          <cell r="R9">
            <v>1290082205.5835013</v>
          </cell>
          <cell r="S9">
            <v>1326539463.4525893</v>
          </cell>
          <cell r="T9">
            <v>1363232672.3766553</v>
          </cell>
        </row>
        <row r="20">
          <cell r="M20">
            <v>33500000</v>
          </cell>
          <cell r="N20">
            <v>23500000</v>
          </cell>
          <cell r="O20">
            <v>15000000</v>
          </cell>
          <cell r="P20">
            <v>10000000</v>
          </cell>
          <cell r="Q20">
            <v>10000000</v>
          </cell>
        </row>
        <row r="21">
          <cell r="J21">
            <v>60000000</v>
          </cell>
          <cell r="K21">
            <v>60000000</v>
          </cell>
          <cell r="L21">
            <v>60000000</v>
          </cell>
          <cell r="N21">
            <v>20000000</v>
          </cell>
          <cell r="O21">
            <v>15000000</v>
          </cell>
          <cell r="P21">
            <v>10000000</v>
          </cell>
        </row>
        <row r="25">
          <cell r="K25">
            <v>890000000</v>
          </cell>
          <cell r="L25">
            <v>900000000</v>
          </cell>
          <cell r="M25">
            <v>924300000</v>
          </cell>
          <cell r="N25">
            <v>949256100</v>
          </cell>
          <cell r="O25">
            <v>974886014.7</v>
          </cell>
          <cell r="R25">
            <v>1056003046.2862763</v>
          </cell>
          <cell r="S25">
            <v>1084515128.5360057</v>
          </cell>
          <cell r="T25">
            <v>1113797037.0064778</v>
          </cell>
        </row>
        <row r="99">
          <cell r="R99">
            <v>200000000</v>
          </cell>
          <cell r="S99">
            <v>210000000</v>
          </cell>
          <cell r="T99">
            <v>220000000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F13.03.2011"/>
      <sheetName val="Prognoza 13.03.2011)"/>
      <sheetName val="zadłużenie 2010"/>
      <sheetName val="Nordea 2004"/>
      <sheetName val="PKO BP 2005"/>
      <sheetName val="kredyt 2009  (80mln)"/>
      <sheetName val="kredyt 2009  (60mln)"/>
      <sheetName val="kredyt 2010 150mln"/>
      <sheetName val="kredyt 2010 120mln"/>
      <sheetName val="kredyt 2011 140 mln"/>
      <sheetName val="kredyt 2012 80 mln "/>
      <sheetName val="kredyt X"/>
      <sheetName val="kredyt "/>
    </sheetNames>
    <sheetDataSet>
      <sheetData sheetId="1">
        <row r="99">
          <cell r="M99">
            <v>150000000</v>
          </cell>
          <cell r="Q99">
            <v>160000000</v>
          </cell>
        </row>
        <row r="118">
          <cell r="M118">
            <v>7773990.147435188</v>
          </cell>
        </row>
      </sheetData>
      <sheetData sheetId="2">
        <row r="71">
          <cell r="H71">
            <v>113500000</v>
          </cell>
          <cell r="J71">
            <v>42400000</v>
          </cell>
          <cell r="K71">
            <v>57800000</v>
          </cell>
          <cell r="L71">
            <v>61800000</v>
          </cell>
          <cell r="M71">
            <v>72800000</v>
          </cell>
          <cell r="N71">
            <v>72800000</v>
          </cell>
          <cell r="O71">
            <v>72800000</v>
          </cell>
          <cell r="P71">
            <v>71600000</v>
          </cell>
          <cell r="Q71">
            <v>31000000</v>
          </cell>
          <cell r="R71">
            <v>18000000</v>
          </cell>
          <cell r="S71">
            <v>17000000</v>
          </cell>
        </row>
        <row r="78">
          <cell r="H78">
            <v>471500000</v>
          </cell>
          <cell r="J78">
            <v>475600000</v>
          </cell>
          <cell r="K78">
            <v>417800000</v>
          </cell>
        </row>
        <row r="91">
          <cell r="I91">
            <v>518000000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łożenia "/>
      <sheetName val="WPF2011"/>
      <sheetName val="Prognoza (2)"/>
    </sheetNames>
    <sheetDataSet>
      <sheetData sheetId="1">
        <row r="21">
          <cell r="R21">
            <v>30000000</v>
          </cell>
        </row>
        <row r="105">
          <cell r="J105">
            <v>140000000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3 do URM VIII"/>
      <sheetName val="zał. nr 3 do URM X"/>
    </sheetNames>
    <sheetDataSet>
      <sheetData sheetId="0">
        <row r="419">
          <cell r="H419">
            <v>0</v>
          </cell>
          <cell r="I419">
            <v>5929</v>
          </cell>
          <cell r="J419">
            <v>5929</v>
          </cell>
          <cell r="K419">
            <v>5929</v>
          </cell>
          <cell r="L419">
            <v>5929</v>
          </cell>
          <cell r="M419">
            <v>5929</v>
          </cell>
        </row>
        <row r="420">
          <cell r="H420">
            <v>88045561</v>
          </cell>
          <cell r="I420">
            <v>133361669</v>
          </cell>
          <cell r="J420">
            <v>112426437</v>
          </cell>
          <cell r="K420">
            <v>104029866</v>
          </cell>
          <cell r="L420">
            <v>74444714</v>
          </cell>
          <cell r="M420">
            <v>19500000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H425">
            <v>0</v>
          </cell>
          <cell r="I425">
            <v>5929</v>
          </cell>
          <cell r="J425">
            <v>5929</v>
          </cell>
          <cell r="K425">
            <v>5929</v>
          </cell>
          <cell r="L425">
            <v>5929</v>
          </cell>
          <cell r="M425">
            <v>5929</v>
          </cell>
        </row>
        <row r="426">
          <cell r="H426">
            <v>88045561</v>
          </cell>
          <cell r="I426">
            <v>133361669</v>
          </cell>
          <cell r="J426">
            <v>112426437</v>
          </cell>
          <cell r="K426">
            <v>104029866</v>
          </cell>
          <cell r="L426">
            <v>74444714</v>
          </cell>
          <cell r="M426">
            <v>19500000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workbookViewId="0" topLeftCell="A18">
      <selection activeCell="D81" sqref="D81"/>
    </sheetView>
  </sheetViews>
  <sheetFormatPr defaultColWidth="9.140625" defaultRowHeight="12.75"/>
  <cols>
    <col min="1" max="1" width="3.8515625" style="1" customWidth="1"/>
    <col min="2" max="2" width="49.28125" style="1" customWidth="1"/>
    <col min="3" max="3" width="16.8515625" style="91" customWidth="1"/>
    <col min="4" max="6" width="12.28125" style="92" customWidth="1"/>
    <col min="7" max="7" width="12.57421875" style="93" customWidth="1"/>
    <col min="8" max="10" width="12.140625" style="1" customWidth="1"/>
    <col min="11" max="11" width="13.00390625" style="1" customWidth="1"/>
    <col min="12" max="12" width="13.57421875" style="1" customWidth="1"/>
    <col min="13" max="13" width="13.421875" style="1" customWidth="1"/>
    <col min="14" max="14" width="14.421875" style="1" customWidth="1"/>
    <col min="15" max="15" width="11.8515625" style="1" hidden="1" customWidth="1"/>
    <col min="16" max="16384" width="9.140625" style="1" customWidth="1"/>
  </cols>
  <sheetData>
    <row r="1" spans="2:7" ht="12.75" customHeight="1">
      <c r="B1" s="104"/>
      <c r="C1" s="1"/>
      <c r="D1" s="2"/>
      <c r="E1" s="96"/>
      <c r="F1" s="96" t="s">
        <v>89</v>
      </c>
      <c r="G1" s="96"/>
    </row>
    <row r="2" spans="1:7" ht="47.25">
      <c r="A2" s="104"/>
      <c r="B2" s="105" t="s">
        <v>88</v>
      </c>
      <c r="C2" s="1"/>
      <c r="D2" s="2"/>
      <c r="E2" s="97" t="s">
        <v>90</v>
      </c>
      <c r="F2" s="95"/>
      <c r="G2" s="94"/>
    </row>
    <row r="3" spans="1:14" ht="15" hidden="1">
      <c r="A3" s="3"/>
      <c r="B3" s="3"/>
      <c r="C3" s="33">
        <f>C5+C17+C27-C21-C39</f>
        <v>0</v>
      </c>
      <c r="D3" s="33">
        <f aca="true" t="shared" si="0" ref="D3:N3">D5+D17+D27-D21-D39</f>
        <v>1784240</v>
      </c>
      <c r="E3" s="33">
        <f t="shared" si="0"/>
        <v>-0.07274389266967773</v>
      </c>
      <c r="F3" s="33">
        <f t="shared" si="0"/>
        <v>3390516.142952919</v>
      </c>
      <c r="G3" s="33">
        <f t="shared" si="0"/>
        <v>0.4700000286102295</v>
      </c>
      <c r="H3" s="33">
        <f t="shared" si="0"/>
        <v>0</v>
      </c>
      <c r="I3" s="33">
        <f t="shared" si="0"/>
        <v>-0.05115675926208496</v>
      </c>
      <c r="J3" s="33">
        <f t="shared" si="0"/>
        <v>-0.14614439010620117</v>
      </c>
      <c r="K3" s="33">
        <f t="shared" si="0"/>
        <v>-0.2693357467651367</v>
      </c>
      <c r="L3" s="33">
        <f t="shared" si="0"/>
        <v>10308072.297224998</v>
      </c>
      <c r="M3" s="33">
        <f t="shared" si="0"/>
        <v>22561942.916583538</v>
      </c>
      <c r="N3" s="33">
        <f t="shared" si="0"/>
        <v>21905643.370177507</v>
      </c>
    </row>
    <row r="4" spans="1:15" s="106" customFormat="1" ht="17.25" customHeight="1">
      <c r="A4" s="16" t="s">
        <v>0</v>
      </c>
      <c r="B4" s="19" t="s">
        <v>1</v>
      </c>
      <c r="C4" s="34" t="s">
        <v>2</v>
      </c>
      <c r="D4" s="35" t="s">
        <v>3</v>
      </c>
      <c r="E4" s="36" t="s">
        <v>50</v>
      </c>
      <c r="F4" s="35" t="s">
        <v>4</v>
      </c>
      <c r="G4" s="34" t="s">
        <v>5</v>
      </c>
      <c r="H4" s="34" t="s">
        <v>6</v>
      </c>
      <c r="I4" s="34" t="s">
        <v>51</v>
      </c>
      <c r="J4" s="34" t="s">
        <v>7</v>
      </c>
      <c r="K4" s="34" t="s">
        <v>8</v>
      </c>
      <c r="L4" s="34" t="s">
        <v>9</v>
      </c>
      <c r="M4" s="34" t="s">
        <v>52</v>
      </c>
      <c r="N4" s="37" t="s">
        <v>10</v>
      </c>
      <c r="O4" s="4"/>
    </row>
    <row r="5" spans="1:14" s="5" customFormat="1" ht="12.75">
      <c r="A5" s="16">
        <v>1</v>
      </c>
      <c r="B5" s="21" t="s">
        <v>80</v>
      </c>
      <c r="C5" s="38">
        <f aca="true" t="shared" si="1" ref="C5:N5">+C6+C7</f>
        <v>1065503463</v>
      </c>
      <c r="D5" s="39">
        <f t="shared" si="1"/>
        <v>1134556992</v>
      </c>
      <c r="E5" s="39">
        <f t="shared" si="1"/>
        <v>1115207167.927256</v>
      </c>
      <c r="F5" s="39">
        <f t="shared" si="1"/>
        <v>1151266712.142953</v>
      </c>
      <c r="G5" s="40">
        <f t="shared" si="1"/>
        <v>1147924031.3225648</v>
      </c>
      <c r="H5" s="40">
        <f t="shared" si="1"/>
        <v>1172488738</v>
      </c>
      <c r="I5" s="40">
        <f t="shared" si="1"/>
        <v>1199611883.6488433</v>
      </c>
      <c r="J5" s="40">
        <f t="shared" si="1"/>
        <v>1229470866.8538556</v>
      </c>
      <c r="K5" s="40">
        <f t="shared" si="1"/>
        <v>1264640773.7306643</v>
      </c>
      <c r="L5" s="40">
        <f t="shared" si="1"/>
        <v>1300082205.5835013</v>
      </c>
      <c r="M5" s="40">
        <f t="shared" si="1"/>
        <v>1336539463.4525893</v>
      </c>
      <c r="N5" s="40">
        <f t="shared" si="1"/>
        <v>1373232672.3766553</v>
      </c>
    </row>
    <row r="6" spans="1:14" s="5" customFormat="1" ht="13.5" customHeight="1">
      <c r="A6" s="16" t="s">
        <v>11</v>
      </c>
      <c r="B6" s="22" t="s">
        <v>12</v>
      </c>
      <c r="C6" s="41">
        <v>952131904</v>
      </c>
      <c r="D6" s="42">
        <f>964010253+1230512</f>
        <v>965240765</v>
      </c>
      <c r="E6" s="42">
        <f>'[1]WPF2011 14.11.'!K9</f>
        <v>1009627061.927256</v>
      </c>
      <c r="F6" s="42">
        <f>'[1]WPF2011 14.11.'!L9</f>
        <v>1067729262.142953</v>
      </c>
      <c r="G6" s="43">
        <f>'[1]WPF2011 14.11.'!M9</f>
        <v>1114424031.3225648</v>
      </c>
      <c r="H6" s="43">
        <v>1148988738</v>
      </c>
      <c r="I6" s="43">
        <f>'[1]WPF2011 14.11.'!O9</f>
        <v>1184611883.6488433</v>
      </c>
      <c r="J6" s="43">
        <f>'[1]WPF2011 14.11.'!P9</f>
        <v>1219470866.8538556</v>
      </c>
      <c r="K6" s="43">
        <f>'[1]WPF2011 14.11.'!Q9</f>
        <v>1254640773.7306643</v>
      </c>
      <c r="L6" s="43">
        <f>'[1]WPF2011 14.11.'!R9</f>
        <v>1290082205.5835013</v>
      </c>
      <c r="M6" s="43">
        <f>'[1]WPF2011 14.11.'!S9</f>
        <v>1326539463.4525893</v>
      </c>
      <c r="N6" s="43">
        <f>'[1]WPF2011 14.11.'!T9</f>
        <v>1363232672.3766553</v>
      </c>
    </row>
    <row r="7" spans="1:14" s="6" customFormat="1" ht="13.5" customHeight="1">
      <c r="A7" s="15" t="s">
        <v>13</v>
      </c>
      <c r="B7" s="23" t="s">
        <v>14</v>
      </c>
      <c r="C7" s="44">
        <v>113371559</v>
      </c>
      <c r="D7" s="45">
        <v>169316227</v>
      </c>
      <c r="E7" s="45">
        <v>105580106</v>
      </c>
      <c r="F7" s="45">
        <v>83537450</v>
      </c>
      <c r="G7" s="46">
        <f>'[1]WPF2011 14.11.'!M20</f>
        <v>33500000</v>
      </c>
      <c r="H7" s="46">
        <f>'[1]WPF2011 14.11.'!N20</f>
        <v>23500000</v>
      </c>
      <c r="I7" s="46">
        <f>'[1]WPF2011 14.11.'!O20</f>
        <v>15000000</v>
      </c>
      <c r="J7" s="46">
        <f>'[1]WPF2011 14.11.'!P20</f>
        <v>10000000</v>
      </c>
      <c r="K7" s="46">
        <f>'[1]WPF2011 14.11.'!Q20</f>
        <v>10000000</v>
      </c>
      <c r="L7" s="46">
        <v>10000000</v>
      </c>
      <c r="M7" s="46">
        <v>10000000</v>
      </c>
      <c r="N7" s="46">
        <v>10000000</v>
      </c>
    </row>
    <row r="8" spans="1:14" s="6" customFormat="1" ht="13.5" customHeight="1">
      <c r="A8" s="15" t="s">
        <v>15</v>
      </c>
      <c r="B8" s="23" t="s">
        <v>16</v>
      </c>
      <c r="C8" s="47">
        <v>41480500</v>
      </c>
      <c r="D8" s="48">
        <f>'[1]WPF2011 14.11.'!J21</f>
        <v>60000000</v>
      </c>
      <c r="E8" s="48">
        <f>'[1]WPF2011 14.11.'!K21</f>
        <v>60000000</v>
      </c>
      <c r="F8" s="48">
        <f>'[1]WPF2011 14.11.'!L21</f>
        <v>60000000</v>
      </c>
      <c r="G8" s="49">
        <f>'[3]WPF2011'!$R$21</f>
        <v>30000000</v>
      </c>
      <c r="H8" s="49">
        <f>'[1]WPF2011 14.11.'!N21</f>
        <v>20000000</v>
      </c>
      <c r="I8" s="49">
        <f>'[1]WPF2011 14.11.'!O21</f>
        <v>15000000</v>
      </c>
      <c r="J8" s="49">
        <f>'[1]WPF2011 14.11.'!P21</f>
        <v>10000000</v>
      </c>
      <c r="K8" s="49">
        <v>10000000</v>
      </c>
      <c r="L8" s="49">
        <v>10000000</v>
      </c>
      <c r="M8" s="49">
        <v>10000000</v>
      </c>
      <c r="N8" s="49">
        <v>10000000</v>
      </c>
    </row>
    <row r="9" spans="1:14" s="5" customFormat="1" ht="38.25">
      <c r="A9" s="16">
        <v>2</v>
      </c>
      <c r="B9" s="107" t="s">
        <v>81</v>
      </c>
      <c r="C9" s="108">
        <v>972847455</v>
      </c>
      <c r="D9" s="109">
        <f>880228398+861832-1630786+368680+861814</f>
        <v>880689938</v>
      </c>
      <c r="E9" s="109">
        <f>'[1]WPF2011 14.11.'!K25-2159940</f>
        <v>887840060</v>
      </c>
      <c r="F9" s="109">
        <f>'[1]WPF2011 14.11.'!L25-1926820</f>
        <v>898073180</v>
      </c>
      <c r="G9" s="110">
        <f>'[1]WPF2011 14.11.'!M25-1690696</f>
        <v>922609304</v>
      </c>
      <c r="H9" s="110">
        <f>'[1]WPF2011 14.11.'!N25-1428117</f>
        <v>947827983</v>
      </c>
      <c r="I9" s="110">
        <f>'[1]WPF2011 14.11.'!O25-1123791</f>
        <v>973762223.7</v>
      </c>
      <c r="J9" s="110">
        <f>1002486864-823471</f>
        <v>1001663393</v>
      </c>
      <c r="K9" s="110">
        <f>1027419555-525949</f>
        <v>1026893606</v>
      </c>
      <c r="L9" s="110">
        <f>'[1]WPF2011 14.11.'!R25-278179</f>
        <v>1055724867.2862763</v>
      </c>
      <c r="M9" s="110">
        <f>'[1]WPF2011 14.11.'!S25-146904+100</f>
        <v>1084368324.5360057</v>
      </c>
      <c r="N9" s="110">
        <f>'[1]WPF2011 14.11.'!T25-53204</f>
        <v>1113743833.0064778</v>
      </c>
    </row>
    <row r="10" spans="1:14" s="6" customFormat="1" ht="12.75">
      <c r="A10" s="15" t="s">
        <v>11</v>
      </c>
      <c r="B10" s="24" t="s">
        <v>70</v>
      </c>
      <c r="C10" s="58">
        <v>361649666</v>
      </c>
      <c r="D10" s="7">
        <v>357647321</v>
      </c>
      <c r="E10" s="8">
        <f aca="true" t="shared" si="2" ref="E10:N11">D10*1.01</f>
        <v>361223794.21</v>
      </c>
      <c r="F10" s="8">
        <f t="shared" si="2"/>
        <v>364836032.15209997</v>
      </c>
      <c r="G10" s="8">
        <f aca="true" t="shared" si="3" ref="G10:N10">F10*1.02</f>
        <v>372132752.795142</v>
      </c>
      <c r="H10" s="8">
        <f t="shared" si="3"/>
        <v>379575407.85104483</v>
      </c>
      <c r="I10" s="8">
        <f t="shared" si="3"/>
        <v>387166916.00806576</v>
      </c>
      <c r="J10" s="8">
        <f t="shared" si="3"/>
        <v>394910254.3282271</v>
      </c>
      <c r="K10" s="8">
        <f t="shared" si="3"/>
        <v>402808459.41479164</v>
      </c>
      <c r="L10" s="8">
        <f t="shared" si="3"/>
        <v>410864628.6030875</v>
      </c>
      <c r="M10" s="8">
        <f t="shared" si="3"/>
        <v>419081921.17514926</v>
      </c>
      <c r="N10" s="9">
        <f t="shared" si="3"/>
        <v>427463559.59865224</v>
      </c>
    </row>
    <row r="11" spans="1:14" s="6" customFormat="1" ht="12.75">
      <c r="A11" s="15" t="s">
        <v>13</v>
      </c>
      <c r="B11" s="24" t="s">
        <v>71</v>
      </c>
      <c r="C11" s="58">
        <v>59694296</v>
      </c>
      <c r="D11" s="7">
        <v>59437688</v>
      </c>
      <c r="E11" s="7">
        <f t="shared" si="2"/>
        <v>60032064.88</v>
      </c>
      <c r="F11" s="7">
        <f t="shared" si="2"/>
        <v>60632385.5288</v>
      </c>
      <c r="G11" s="7">
        <f t="shared" si="2"/>
        <v>61238709.384088</v>
      </c>
      <c r="H11" s="7">
        <f t="shared" si="2"/>
        <v>61851096.477928884</v>
      </c>
      <c r="I11" s="7">
        <f t="shared" si="2"/>
        <v>62469607.44270817</v>
      </c>
      <c r="J11" s="7">
        <f t="shared" si="2"/>
        <v>63094303.517135255</v>
      </c>
      <c r="K11" s="7">
        <f t="shared" si="2"/>
        <v>63725246.55230661</v>
      </c>
      <c r="L11" s="7">
        <f t="shared" si="2"/>
        <v>64362499.01782967</v>
      </c>
      <c r="M11" s="7">
        <f t="shared" si="2"/>
        <v>65006124.008007966</v>
      </c>
      <c r="N11" s="7">
        <f t="shared" si="2"/>
        <v>65656185.24808805</v>
      </c>
    </row>
    <row r="12" spans="1:14" s="6" customFormat="1" ht="13.5" customHeight="1">
      <c r="A12" s="15" t="s">
        <v>15</v>
      </c>
      <c r="B12" s="23" t="s">
        <v>17</v>
      </c>
      <c r="C12" s="58"/>
      <c r="D12" s="8"/>
      <c r="E12" s="8"/>
      <c r="F12" s="10"/>
      <c r="G12" s="9"/>
      <c r="H12" s="9"/>
      <c r="I12" s="9"/>
      <c r="J12" s="9"/>
      <c r="K12" s="9"/>
      <c r="L12" s="9"/>
      <c r="M12" s="9"/>
      <c r="N12" s="9"/>
    </row>
    <row r="13" spans="1:14" s="6" customFormat="1" ht="29.25" customHeight="1">
      <c r="A13" s="15" t="s">
        <v>18</v>
      </c>
      <c r="B13" s="23" t="s">
        <v>82</v>
      </c>
      <c r="C13" s="7"/>
      <c r="D13" s="8"/>
      <c r="E13" s="8"/>
      <c r="F13" s="10"/>
      <c r="G13" s="9"/>
      <c r="H13" s="9"/>
      <c r="I13" s="9"/>
      <c r="J13" s="9"/>
      <c r="K13" s="9"/>
      <c r="L13" s="9"/>
      <c r="M13" s="9"/>
      <c r="N13" s="9"/>
    </row>
    <row r="14" spans="1:14" s="6" customFormat="1" ht="25.5" customHeight="1">
      <c r="A14" s="15" t="s">
        <v>19</v>
      </c>
      <c r="B14" s="24" t="s">
        <v>72</v>
      </c>
      <c r="C14" s="7">
        <v>223005506</v>
      </c>
      <c r="D14" s="8">
        <v>229544040</v>
      </c>
      <c r="E14" s="8">
        <v>183611655</v>
      </c>
      <c r="F14" s="8">
        <v>171547085</v>
      </c>
      <c r="G14" s="9">
        <v>170438451</v>
      </c>
      <c r="H14" s="9">
        <v>172708219</v>
      </c>
      <c r="I14" s="9">
        <v>179617662</v>
      </c>
      <c r="J14" s="9">
        <v>186801051</v>
      </c>
      <c r="K14" s="9"/>
      <c r="L14" s="9"/>
      <c r="M14" s="9"/>
      <c r="N14" s="9"/>
    </row>
    <row r="15" spans="1:14" s="6" customFormat="1" ht="24.75" customHeight="1">
      <c r="A15" s="15">
        <v>3</v>
      </c>
      <c r="B15" s="23" t="s">
        <v>20</v>
      </c>
      <c r="C15" s="111">
        <f aca="true" t="shared" si="4" ref="C15:N15">+C5-C9</f>
        <v>92656008</v>
      </c>
      <c r="D15" s="50">
        <f t="shared" si="4"/>
        <v>253867054</v>
      </c>
      <c r="E15" s="50">
        <f t="shared" si="4"/>
        <v>227367107.9272561</v>
      </c>
      <c r="F15" s="50">
        <f t="shared" si="4"/>
        <v>253193532.14295292</v>
      </c>
      <c r="G15" s="51">
        <f t="shared" si="4"/>
        <v>225314727.32256484</v>
      </c>
      <c r="H15" s="51">
        <f t="shared" si="4"/>
        <v>224660755</v>
      </c>
      <c r="I15" s="51">
        <f t="shared" si="4"/>
        <v>225849659.94884324</v>
      </c>
      <c r="J15" s="51">
        <f t="shared" si="4"/>
        <v>227807473.8538556</v>
      </c>
      <c r="K15" s="51">
        <f t="shared" si="4"/>
        <v>237747167.73066425</v>
      </c>
      <c r="L15" s="51">
        <f t="shared" si="4"/>
        <v>244357338.297225</v>
      </c>
      <c r="M15" s="51">
        <f t="shared" si="4"/>
        <v>252171138.91658354</v>
      </c>
      <c r="N15" s="51">
        <f t="shared" si="4"/>
        <v>259488839.3701775</v>
      </c>
    </row>
    <row r="16" spans="1:14" s="6" customFormat="1" ht="27.75" customHeight="1">
      <c r="A16" s="15">
        <v>4</v>
      </c>
      <c r="B16" s="23" t="s">
        <v>21</v>
      </c>
      <c r="C16" s="112">
        <v>180324360.56</v>
      </c>
      <c r="D16" s="113">
        <f aca="true" t="shared" si="5" ref="D16:N16">C28</f>
        <v>45615322.56</v>
      </c>
      <c r="E16" s="113">
        <f t="shared" si="5"/>
        <v>36146811.56</v>
      </c>
      <c r="F16" s="113">
        <f t="shared" si="5"/>
        <v>28137668.48725611</v>
      </c>
      <c r="G16" s="114">
        <f t="shared" si="5"/>
        <v>31528184.63020903</v>
      </c>
      <c r="H16" s="114">
        <f t="shared" si="5"/>
        <v>23754194.95277387</v>
      </c>
      <c r="I16" s="114">
        <f t="shared" si="5"/>
        <v>22790077.95277387</v>
      </c>
      <c r="J16" s="114">
        <f t="shared" si="5"/>
        <v>22548583.90161711</v>
      </c>
      <c r="K16" s="114">
        <f t="shared" si="5"/>
        <v>22548583.75547272</v>
      </c>
      <c r="L16" s="114">
        <f t="shared" si="5"/>
        <v>22548583.486136973</v>
      </c>
      <c r="M16" s="114">
        <f t="shared" si="5"/>
        <v>32856655.78336197</v>
      </c>
      <c r="N16" s="114">
        <f t="shared" si="5"/>
        <v>55418598.69994551</v>
      </c>
    </row>
    <row r="17" spans="1:14" s="6" customFormat="1" ht="40.5" customHeight="1">
      <c r="A17" s="15" t="s">
        <v>11</v>
      </c>
      <c r="B17" s="98" t="s">
        <v>22</v>
      </c>
      <c r="C17" s="11">
        <v>134709038</v>
      </c>
      <c r="D17" s="12">
        <v>11252751</v>
      </c>
      <c r="E17" s="12">
        <v>8009143</v>
      </c>
      <c r="F17" s="12"/>
      <c r="G17" s="13">
        <f>'[2]Prognoza 13.03.2011)'!M118</f>
        <v>7773990.147435188</v>
      </c>
      <c r="H17" s="13">
        <v>964117</v>
      </c>
      <c r="I17" s="13">
        <v>241494</v>
      </c>
      <c r="J17" s="13"/>
      <c r="K17" s="13"/>
      <c r="L17" s="13"/>
      <c r="M17" s="13"/>
      <c r="N17" s="13"/>
    </row>
    <row r="18" spans="1:14" s="6" customFormat="1" ht="12.75">
      <c r="A18" s="15">
        <v>5</v>
      </c>
      <c r="B18" s="24" t="s">
        <v>73</v>
      </c>
      <c r="C18" s="52"/>
      <c r="D18" s="53"/>
      <c r="E18" s="53"/>
      <c r="F18" s="54"/>
      <c r="G18" s="55"/>
      <c r="H18" s="55"/>
      <c r="I18" s="55"/>
      <c r="J18" s="55"/>
      <c r="K18" s="55"/>
      <c r="L18" s="55"/>
      <c r="M18" s="55"/>
      <c r="N18" s="55"/>
    </row>
    <row r="19" spans="1:14" s="6" customFormat="1" ht="13.5" customHeight="1">
      <c r="A19" s="15">
        <v>6</v>
      </c>
      <c r="B19" s="23" t="s">
        <v>23</v>
      </c>
      <c r="C19" s="52">
        <f aca="true" t="shared" si="6" ref="C19:N19">+C15+C16+C18</f>
        <v>272980368.56</v>
      </c>
      <c r="D19" s="53">
        <f t="shared" si="6"/>
        <v>299482376.56</v>
      </c>
      <c r="E19" s="53">
        <f t="shared" si="6"/>
        <v>263513919.4872561</v>
      </c>
      <c r="F19" s="53">
        <f t="shared" si="6"/>
        <v>281331200.630209</v>
      </c>
      <c r="G19" s="55">
        <f t="shared" si="6"/>
        <v>256842911.95277387</v>
      </c>
      <c r="H19" s="55">
        <f t="shared" si="6"/>
        <v>248414949.95277387</v>
      </c>
      <c r="I19" s="55">
        <f t="shared" si="6"/>
        <v>248639737.9016171</v>
      </c>
      <c r="J19" s="55">
        <f t="shared" si="6"/>
        <v>250356057.75547272</v>
      </c>
      <c r="K19" s="55">
        <f t="shared" si="6"/>
        <v>260295751.48613697</v>
      </c>
      <c r="L19" s="55">
        <f t="shared" si="6"/>
        <v>266905921.78336197</v>
      </c>
      <c r="M19" s="55">
        <f t="shared" si="6"/>
        <v>285027794.6999455</v>
      </c>
      <c r="N19" s="55">
        <f t="shared" si="6"/>
        <v>314907438.070123</v>
      </c>
    </row>
    <row r="20" spans="1:15" s="5" customFormat="1" ht="19.5" customHeight="1">
      <c r="A20" s="16">
        <v>7</v>
      </c>
      <c r="B20" s="22" t="s">
        <v>24</v>
      </c>
      <c r="C20" s="56">
        <f aca="true" t="shared" si="7" ref="C20:N20">+C21+C22</f>
        <v>134878751</v>
      </c>
      <c r="D20" s="56">
        <f t="shared" si="7"/>
        <v>58736943</v>
      </c>
      <c r="E20" s="56">
        <f t="shared" si="7"/>
        <v>69576218</v>
      </c>
      <c r="F20" s="56">
        <f t="shared" si="7"/>
        <v>82245016</v>
      </c>
      <c r="G20" s="56">
        <f t="shared" si="7"/>
        <v>83088717</v>
      </c>
      <c r="H20" s="56">
        <f t="shared" si="7"/>
        <v>90624872</v>
      </c>
      <c r="I20" s="56">
        <f t="shared" si="7"/>
        <v>86691154</v>
      </c>
      <c r="J20" s="56">
        <f t="shared" si="7"/>
        <v>82807474</v>
      </c>
      <c r="K20" s="56">
        <f t="shared" si="7"/>
        <v>77747168</v>
      </c>
      <c r="L20" s="56">
        <f t="shared" si="7"/>
        <v>34049266</v>
      </c>
      <c r="M20" s="56">
        <f t="shared" si="7"/>
        <v>19609196</v>
      </c>
      <c r="N20" s="57">
        <f t="shared" si="7"/>
        <v>17583196</v>
      </c>
      <c r="O20" s="14">
        <v>841869951.0100001</v>
      </c>
    </row>
    <row r="21" spans="1:14" s="280" customFormat="1" ht="26.25" customHeight="1">
      <c r="A21" s="275" t="s">
        <v>11</v>
      </c>
      <c r="B21" s="276" t="s">
        <v>25</v>
      </c>
      <c r="C21" s="277">
        <f>'[2]zadłużenie 2010'!H71</f>
        <v>113500000</v>
      </c>
      <c r="D21" s="278">
        <v>33500000</v>
      </c>
      <c r="E21" s="278">
        <f>'[2]zadłużenie 2010'!J71</f>
        <v>42400000</v>
      </c>
      <c r="F21" s="278">
        <f>'[2]zadłużenie 2010'!K71</f>
        <v>57800000</v>
      </c>
      <c r="G21" s="279">
        <f>'[2]zadłużenie 2010'!L71</f>
        <v>61800000</v>
      </c>
      <c r="H21" s="279">
        <f>'[2]zadłużenie 2010'!M71</f>
        <v>72800000</v>
      </c>
      <c r="I21" s="279">
        <f>'[2]zadłużenie 2010'!N71</f>
        <v>72800000</v>
      </c>
      <c r="J21" s="279">
        <f>'[2]zadłużenie 2010'!O71</f>
        <v>72800000</v>
      </c>
      <c r="K21" s="279">
        <f>'[2]zadłużenie 2010'!P71</f>
        <v>71600000</v>
      </c>
      <c r="L21" s="279">
        <f>'[2]zadłużenie 2010'!Q71</f>
        <v>31000000</v>
      </c>
      <c r="M21" s="279">
        <f>'[2]zadłużenie 2010'!R71</f>
        <v>18000000</v>
      </c>
      <c r="N21" s="279">
        <f>'[2]zadłużenie 2010'!S71</f>
        <v>17000000</v>
      </c>
    </row>
    <row r="22" spans="1:14" s="6" customFormat="1" ht="20.25" customHeight="1">
      <c r="A22" s="15" t="s">
        <v>13</v>
      </c>
      <c r="B22" s="23" t="s">
        <v>26</v>
      </c>
      <c r="C22" s="59">
        <v>21378751</v>
      </c>
      <c r="D22" s="60">
        <v>25236943</v>
      </c>
      <c r="E22" s="60">
        <v>27176218</v>
      </c>
      <c r="F22" s="61">
        <v>24445016</v>
      </c>
      <c r="G22" s="13">
        <v>21288717</v>
      </c>
      <c r="H22" s="13">
        <v>17824872</v>
      </c>
      <c r="I22" s="13">
        <v>13891154</v>
      </c>
      <c r="J22" s="13">
        <v>10007474</v>
      </c>
      <c r="K22" s="13">
        <v>6147168</v>
      </c>
      <c r="L22" s="13">
        <v>3049266</v>
      </c>
      <c r="M22" s="13">
        <v>1609196</v>
      </c>
      <c r="N22" s="13">
        <v>583196</v>
      </c>
    </row>
    <row r="23" spans="1:14" s="6" customFormat="1" ht="13.5" customHeight="1">
      <c r="A23" s="15">
        <v>8</v>
      </c>
      <c r="B23" s="23" t="s">
        <v>27</v>
      </c>
      <c r="C23" s="52"/>
      <c r="D23" s="53"/>
      <c r="E23" s="53"/>
      <c r="F23" s="54"/>
      <c r="G23" s="55"/>
      <c r="H23" s="62"/>
      <c r="I23" s="55"/>
      <c r="J23" s="55"/>
      <c r="K23" s="55"/>
      <c r="L23" s="55"/>
      <c r="M23" s="55"/>
      <c r="N23" s="55"/>
    </row>
    <row r="24" spans="1:14" s="6" customFormat="1" ht="13.5" customHeight="1">
      <c r="A24" s="15">
        <v>9</v>
      </c>
      <c r="B24" s="23" t="s">
        <v>28</v>
      </c>
      <c r="C24" s="52">
        <f aca="true" t="shared" si="8" ref="C24:N24">+C19-C20-C23</f>
        <v>138101617.56</v>
      </c>
      <c r="D24" s="53">
        <f t="shared" si="8"/>
        <v>240745433.56</v>
      </c>
      <c r="E24" s="53">
        <f t="shared" si="8"/>
        <v>193937701.4872561</v>
      </c>
      <c r="F24" s="53">
        <f t="shared" si="8"/>
        <v>199086184.63020903</v>
      </c>
      <c r="G24" s="53">
        <f t="shared" si="8"/>
        <v>173754194.95277387</v>
      </c>
      <c r="H24" s="55">
        <f>+H19-H20-G23</f>
        <v>157790077.95277387</v>
      </c>
      <c r="I24" s="55">
        <f t="shared" si="8"/>
        <v>161948583.9016171</v>
      </c>
      <c r="J24" s="55">
        <f t="shared" si="8"/>
        <v>167548583.75547272</v>
      </c>
      <c r="K24" s="55">
        <f t="shared" si="8"/>
        <v>182548583.48613697</v>
      </c>
      <c r="L24" s="55">
        <f t="shared" si="8"/>
        <v>232856655.78336197</v>
      </c>
      <c r="M24" s="55">
        <f t="shared" si="8"/>
        <v>265418598.6999455</v>
      </c>
      <c r="N24" s="55">
        <f t="shared" si="8"/>
        <v>297324242.070123</v>
      </c>
    </row>
    <row r="25" spans="1:14" s="5" customFormat="1" ht="19.5" customHeight="1">
      <c r="A25" s="16">
        <v>10</v>
      </c>
      <c r="B25" s="21" t="s">
        <v>83</v>
      </c>
      <c r="C25" s="63">
        <v>232486295</v>
      </c>
      <c r="D25" s="64">
        <v>284598622</v>
      </c>
      <c r="E25" s="64">
        <f>159307240+6492793</f>
        <v>165800033</v>
      </c>
      <c r="F25" s="64">
        <v>167558000</v>
      </c>
      <c r="G25" s="65">
        <f>'[2]Prognoza 13.03.2011)'!M99</f>
        <v>150000000</v>
      </c>
      <c r="H25" s="65">
        <v>135000000</v>
      </c>
      <c r="I25" s="65">
        <v>139400000</v>
      </c>
      <c r="J25" s="65">
        <v>145000000</v>
      </c>
      <c r="K25" s="65">
        <f>'[2]Prognoza 13.03.2011)'!Q99</f>
        <v>160000000</v>
      </c>
      <c r="L25" s="65">
        <f>'[1]WPF2011 14.11.'!R99</f>
        <v>200000000</v>
      </c>
      <c r="M25" s="65">
        <f>'[1]WPF2011 14.11.'!S99</f>
        <v>210000000</v>
      </c>
      <c r="N25" s="65">
        <f>'[1]WPF2011 14.11.'!T99</f>
        <v>220000000</v>
      </c>
    </row>
    <row r="26" spans="1:14" s="6" customFormat="1" ht="13.5" customHeight="1">
      <c r="A26" s="15" t="s">
        <v>11</v>
      </c>
      <c r="B26" s="23" t="s">
        <v>29</v>
      </c>
      <c r="C26" s="11">
        <v>204922098</v>
      </c>
      <c r="D26" s="12">
        <v>283813294</v>
      </c>
      <c r="E26" s="12">
        <v>159851143</v>
      </c>
      <c r="F26" s="61">
        <v>92011953</v>
      </c>
      <c r="G26" s="13">
        <v>19500</v>
      </c>
      <c r="H26" s="13"/>
      <c r="I26" s="13"/>
      <c r="J26" s="13"/>
      <c r="K26" s="13"/>
      <c r="L26" s="13"/>
      <c r="M26" s="13"/>
      <c r="N26" s="13"/>
    </row>
    <row r="27" spans="1:14" s="5" customFormat="1" ht="12.75">
      <c r="A27" s="16">
        <v>11</v>
      </c>
      <c r="B27" s="21" t="s">
        <v>74</v>
      </c>
      <c r="C27" s="66">
        <f>'[3]WPF2011'!$J$105</f>
        <v>140000000</v>
      </c>
      <c r="D27" s="67">
        <v>80000000</v>
      </c>
      <c r="E27" s="67"/>
      <c r="F27" s="67"/>
      <c r="G27" s="68"/>
      <c r="H27" s="68"/>
      <c r="I27" s="68"/>
      <c r="J27" s="68"/>
      <c r="K27" s="68"/>
      <c r="L27" s="68"/>
      <c r="M27" s="68"/>
      <c r="N27" s="68"/>
    </row>
    <row r="28" spans="1:14" s="102" customFormat="1" ht="12.75">
      <c r="A28" s="99">
        <v>12</v>
      </c>
      <c r="B28" s="100" t="s">
        <v>87</v>
      </c>
      <c r="C28" s="69">
        <f aca="true" t="shared" si="9" ref="C28:N28">+C24-C25+C27</f>
        <v>45615322.56</v>
      </c>
      <c r="D28" s="69">
        <f t="shared" si="9"/>
        <v>36146811.56</v>
      </c>
      <c r="E28" s="69">
        <f t="shared" si="9"/>
        <v>28137668.48725611</v>
      </c>
      <c r="F28" s="69">
        <f t="shared" si="9"/>
        <v>31528184.63020903</v>
      </c>
      <c r="G28" s="69">
        <f t="shared" si="9"/>
        <v>23754194.95277387</v>
      </c>
      <c r="H28" s="69">
        <f t="shared" si="9"/>
        <v>22790077.95277387</v>
      </c>
      <c r="I28" s="69">
        <f t="shared" si="9"/>
        <v>22548583.90161711</v>
      </c>
      <c r="J28" s="69">
        <f t="shared" si="9"/>
        <v>22548583.75547272</v>
      </c>
      <c r="K28" s="69">
        <f t="shared" si="9"/>
        <v>22548583.486136973</v>
      </c>
      <c r="L28" s="69">
        <f t="shared" si="9"/>
        <v>32856655.78336197</v>
      </c>
      <c r="M28" s="69">
        <f t="shared" si="9"/>
        <v>55418598.69994551</v>
      </c>
      <c r="N28" s="101">
        <f t="shared" si="9"/>
        <v>77324242.07012302</v>
      </c>
    </row>
    <row r="29" spans="1:14" s="5" customFormat="1" ht="12.75">
      <c r="A29" s="16">
        <v>13</v>
      </c>
      <c r="B29" s="21" t="s">
        <v>84</v>
      </c>
      <c r="C29" s="70">
        <f>'[2]zadłużenie 2010'!H78</f>
        <v>471500000</v>
      </c>
      <c r="D29" s="71">
        <f>'[2]zadłużenie 2010'!I91</f>
        <v>518000000</v>
      </c>
      <c r="E29" s="71">
        <f>'[2]zadłużenie 2010'!J78</f>
        <v>475600000</v>
      </c>
      <c r="F29" s="71">
        <f>'[2]zadłużenie 2010'!K78</f>
        <v>417800000</v>
      </c>
      <c r="G29" s="71">
        <f aca="true" t="shared" si="10" ref="G29:N29">F29+G27-G21</f>
        <v>356000000</v>
      </c>
      <c r="H29" s="71">
        <f t="shared" si="10"/>
        <v>283200000</v>
      </c>
      <c r="I29" s="71">
        <f t="shared" si="10"/>
        <v>210400000</v>
      </c>
      <c r="J29" s="71">
        <f t="shared" si="10"/>
        <v>137600000</v>
      </c>
      <c r="K29" s="71">
        <f t="shared" si="10"/>
        <v>66000000</v>
      </c>
      <c r="L29" s="71">
        <f t="shared" si="10"/>
        <v>35000000</v>
      </c>
      <c r="M29" s="71">
        <f t="shared" si="10"/>
        <v>17000000</v>
      </c>
      <c r="N29" s="71">
        <f t="shared" si="10"/>
        <v>0</v>
      </c>
    </row>
    <row r="30" spans="1:14" s="18" customFormat="1" ht="25.5">
      <c r="A30" s="103" t="s">
        <v>11</v>
      </c>
      <c r="B30" s="25" t="s">
        <v>76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8" customFormat="1" ht="27.75" customHeight="1">
      <c r="A31" s="103" t="s">
        <v>13</v>
      </c>
      <c r="B31" s="20" t="s">
        <v>30</v>
      </c>
      <c r="C31" s="88"/>
      <c r="D31" s="61"/>
      <c r="E31" s="61"/>
      <c r="F31" s="61"/>
      <c r="G31" s="72"/>
      <c r="H31" s="72"/>
      <c r="I31" s="72"/>
      <c r="J31" s="72"/>
      <c r="K31" s="72"/>
      <c r="L31" s="72"/>
      <c r="M31" s="72"/>
      <c r="N31" s="72"/>
    </row>
    <row r="32" spans="1:14" s="6" customFormat="1" ht="39" customHeight="1">
      <c r="A32" s="15">
        <v>14</v>
      </c>
      <c r="B32" s="24" t="s">
        <v>75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s="6" customFormat="1" ht="12.75">
      <c r="A33" s="15" t="s">
        <v>31</v>
      </c>
      <c r="B33" s="24" t="s">
        <v>77</v>
      </c>
      <c r="C33" s="74">
        <f aca="true" t="shared" si="11" ref="C33:N33">C20/C5*100</f>
        <v>12.658687248208409</v>
      </c>
      <c r="D33" s="74">
        <f t="shared" si="11"/>
        <v>5.177081752099413</v>
      </c>
      <c r="E33" s="74">
        <f t="shared" si="11"/>
        <v>6.23886036612512</v>
      </c>
      <c r="F33" s="74">
        <f t="shared" si="11"/>
        <v>7.143871627010754</v>
      </c>
      <c r="G33" s="74">
        <f t="shared" si="11"/>
        <v>7.238172103102544</v>
      </c>
      <c r="H33" s="74">
        <f t="shared" si="11"/>
        <v>7.72927441116283</v>
      </c>
      <c r="I33" s="74">
        <f t="shared" si="11"/>
        <v>7.226600134729633</v>
      </c>
      <c r="J33" s="74">
        <f t="shared" si="11"/>
        <v>6.735212377329404</v>
      </c>
      <c r="K33" s="74">
        <f t="shared" si="11"/>
        <v>6.147766987667767</v>
      </c>
      <c r="L33" s="74">
        <f t="shared" si="11"/>
        <v>2.6190086945092865</v>
      </c>
      <c r="M33" s="74">
        <f t="shared" si="11"/>
        <v>1.4671617663533054</v>
      </c>
      <c r="N33" s="75">
        <f t="shared" si="11"/>
        <v>1.2804236567987233</v>
      </c>
    </row>
    <row r="34" spans="1:14" s="6" customFormat="1" ht="12.75">
      <c r="A34" s="15" t="s">
        <v>11</v>
      </c>
      <c r="B34" s="24" t="s">
        <v>78</v>
      </c>
      <c r="C34" s="76">
        <v>8.12</v>
      </c>
      <c r="D34" s="76">
        <v>3.36</v>
      </c>
      <c r="E34" s="76">
        <v>4.68</v>
      </c>
      <c r="F34" s="76">
        <v>8.11</v>
      </c>
      <c r="G34" s="76">
        <v>14.07</v>
      </c>
      <c r="H34" s="76">
        <v>16.38</v>
      </c>
      <c r="I34" s="76">
        <v>17.54</v>
      </c>
      <c r="J34" s="76">
        <v>17.49</v>
      </c>
      <c r="K34" s="76">
        <v>17.57</v>
      </c>
      <c r="L34" s="76">
        <v>17.9</v>
      </c>
      <c r="M34" s="76">
        <v>18.19</v>
      </c>
      <c r="N34" s="77">
        <v>18.54</v>
      </c>
    </row>
    <row r="35" spans="1:14" s="6" customFormat="1" ht="25.5">
      <c r="A35" s="15">
        <v>16</v>
      </c>
      <c r="B35" s="24" t="s">
        <v>79</v>
      </c>
      <c r="C35" s="69" t="s">
        <v>32</v>
      </c>
      <c r="D35" s="69" t="s">
        <v>32</v>
      </c>
      <c r="E35" s="69" t="s">
        <v>32</v>
      </c>
      <c r="F35" s="69" t="s">
        <v>32</v>
      </c>
      <c r="G35" s="69" t="s">
        <v>32</v>
      </c>
      <c r="H35" s="69" t="s">
        <v>32</v>
      </c>
      <c r="I35" s="69" t="s">
        <v>32</v>
      </c>
      <c r="J35" s="69" t="s">
        <v>32</v>
      </c>
      <c r="K35" s="69" t="s">
        <v>32</v>
      </c>
      <c r="L35" s="69" t="s">
        <v>32</v>
      </c>
      <c r="M35" s="69" t="s">
        <v>32</v>
      </c>
      <c r="N35" s="69" t="s">
        <v>32</v>
      </c>
    </row>
    <row r="36" spans="1:14" s="5" customFormat="1" ht="15.75" customHeight="1">
      <c r="A36" s="16">
        <v>17</v>
      </c>
      <c r="B36" s="21" t="s">
        <v>85</v>
      </c>
      <c r="C36" s="78">
        <f aca="true" t="shared" si="12" ref="C36:N36">+(C20-C30+C12-C13)/C5*100</f>
        <v>12.658687248208409</v>
      </c>
      <c r="D36" s="78">
        <f t="shared" si="12"/>
        <v>5.177081752099413</v>
      </c>
      <c r="E36" s="78">
        <f t="shared" si="12"/>
        <v>6.23886036612512</v>
      </c>
      <c r="F36" s="78">
        <f t="shared" si="12"/>
        <v>7.143871627010754</v>
      </c>
      <c r="G36" s="78">
        <f t="shared" si="12"/>
        <v>7.238172103102544</v>
      </c>
      <c r="H36" s="78">
        <f t="shared" si="12"/>
        <v>7.72927441116283</v>
      </c>
      <c r="I36" s="78">
        <f t="shared" si="12"/>
        <v>7.226600134729633</v>
      </c>
      <c r="J36" s="78">
        <f t="shared" si="12"/>
        <v>6.735212377329404</v>
      </c>
      <c r="K36" s="78">
        <f t="shared" si="12"/>
        <v>6.147766987667767</v>
      </c>
      <c r="L36" s="78">
        <f t="shared" si="12"/>
        <v>2.6190086945092865</v>
      </c>
      <c r="M36" s="78">
        <f t="shared" si="12"/>
        <v>1.4671617663533054</v>
      </c>
      <c r="N36" s="79">
        <f t="shared" si="12"/>
        <v>1.2804236567987233</v>
      </c>
    </row>
    <row r="37" spans="1:14" s="5" customFormat="1" ht="15.75" customHeight="1">
      <c r="A37" s="16">
        <v>18</v>
      </c>
      <c r="B37" s="21" t="s">
        <v>86</v>
      </c>
      <c r="C37" s="78">
        <f aca="true" t="shared" si="13" ref="C37:N37">+(C29-C30)/C5*100</f>
        <v>44.251381283403674</v>
      </c>
      <c r="D37" s="78">
        <f t="shared" si="13"/>
        <v>45.65658698968205</v>
      </c>
      <c r="E37" s="78">
        <f t="shared" si="13"/>
        <v>42.64678471211395</v>
      </c>
      <c r="F37" s="78">
        <f t="shared" si="13"/>
        <v>36.29046124527587</v>
      </c>
      <c r="G37" s="78">
        <f t="shared" si="13"/>
        <v>31.012505208192177</v>
      </c>
      <c r="H37" s="78">
        <f t="shared" si="13"/>
        <v>24.15375012326984</v>
      </c>
      <c r="I37" s="78">
        <f t="shared" si="13"/>
        <v>17.539005979169627</v>
      </c>
      <c r="J37" s="78">
        <f t="shared" si="13"/>
        <v>11.191806468103664</v>
      </c>
      <c r="K37" s="78">
        <f t="shared" si="13"/>
        <v>5.218873325213242</v>
      </c>
      <c r="L37" s="78">
        <f t="shared" si="13"/>
        <v>2.692137454822816</v>
      </c>
      <c r="M37" s="78">
        <f t="shared" si="13"/>
        <v>1.2719414925530956</v>
      </c>
      <c r="N37" s="79">
        <f t="shared" si="13"/>
        <v>0</v>
      </c>
    </row>
    <row r="38" spans="1:14" s="6" customFormat="1" ht="13.5" customHeight="1">
      <c r="A38" s="15">
        <v>19</v>
      </c>
      <c r="B38" s="23" t="s">
        <v>33</v>
      </c>
      <c r="C38" s="80">
        <f aca="true" t="shared" si="14" ref="C38:N38">+C9+C22</f>
        <v>994226206</v>
      </c>
      <c r="D38" s="54">
        <f t="shared" si="14"/>
        <v>905926881</v>
      </c>
      <c r="E38" s="54">
        <f t="shared" si="14"/>
        <v>915016278</v>
      </c>
      <c r="F38" s="54">
        <f t="shared" si="14"/>
        <v>922518196</v>
      </c>
      <c r="G38" s="81">
        <f t="shared" si="14"/>
        <v>943898021</v>
      </c>
      <c r="H38" s="81">
        <f t="shared" si="14"/>
        <v>965652855</v>
      </c>
      <c r="I38" s="81">
        <f t="shared" si="14"/>
        <v>987653377.7</v>
      </c>
      <c r="J38" s="81">
        <f t="shared" si="14"/>
        <v>1011670867</v>
      </c>
      <c r="K38" s="81">
        <f t="shared" si="14"/>
        <v>1033040774</v>
      </c>
      <c r="L38" s="81">
        <f t="shared" si="14"/>
        <v>1058774133.2862763</v>
      </c>
      <c r="M38" s="81">
        <f t="shared" si="14"/>
        <v>1085977520.5360057</v>
      </c>
      <c r="N38" s="81">
        <f t="shared" si="14"/>
        <v>1114327029.0064778</v>
      </c>
    </row>
    <row r="39" spans="1:14" s="6" customFormat="1" ht="13.5" customHeight="1">
      <c r="A39" s="15">
        <v>20</v>
      </c>
      <c r="B39" s="23" t="s">
        <v>34</v>
      </c>
      <c r="C39" s="80">
        <f aca="true" t="shared" si="15" ref="C39:N39">+C25+C38</f>
        <v>1226712501</v>
      </c>
      <c r="D39" s="54">
        <f t="shared" si="15"/>
        <v>1190525503</v>
      </c>
      <c r="E39" s="54">
        <f t="shared" si="15"/>
        <v>1080816311</v>
      </c>
      <c r="F39" s="54">
        <f t="shared" si="15"/>
        <v>1090076196</v>
      </c>
      <c r="G39" s="81">
        <f t="shared" si="15"/>
        <v>1093898021</v>
      </c>
      <c r="H39" s="81">
        <f t="shared" si="15"/>
        <v>1100652855</v>
      </c>
      <c r="I39" s="81">
        <f t="shared" si="15"/>
        <v>1127053377.7</v>
      </c>
      <c r="J39" s="81">
        <f t="shared" si="15"/>
        <v>1156670867</v>
      </c>
      <c r="K39" s="81">
        <f t="shared" si="15"/>
        <v>1193040774</v>
      </c>
      <c r="L39" s="81">
        <f t="shared" si="15"/>
        <v>1258774133.2862763</v>
      </c>
      <c r="M39" s="81">
        <f t="shared" si="15"/>
        <v>1295977520.5360057</v>
      </c>
      <c r="N39" s="81">
        <f t="shared" si="15"/>
        <v>1334327029.0064778</v>
      </c>
    </row>
    <row r="40" spans="1:14" s="5" customFormat="1" ht="13.5" customHeight="1">
      <c r="A40" s="16">
        <v>21</v>
      </c>
      <c r="B40" s="22" t="s">
        <v>35</v>
      </c>
      <c r="C40" s="66">
        <f aca="true" t="shared" si="16" ref="C40:N40">+C5-C39</f>
        <v>-161209038</v>
      </c>
      <c r="D40" s="66">
        <f t="shared" si="16"/>
        <v>-55968511</v>
      </c>
      <c r="E40" s="67">
        <f t="shared" si="16"/>
        <v>34390856.92725611</v>
      </c>
      <c r="F40" s="67">
        <f t="shared" si="16"/>
        <v>61190516.14295292</v>
      </c>
      <c r="G40" s="68">
        <f t="shared" si="16"/>
        <v>54026010.32256484</v>
      </c>
      <c r="H40" s="68">
        <f t="shared" si="16"/>
        <v>71835883</v>
      </c>
      <c r="I40" s="68">
        <f t="shared" si="16"/>
        <v>72558505.94884324</v>
      </c>
      <c r="J40" s="68">
        <f t="shared" si="16"/>
        <v>72799999.85385561</v>
      </c>
      <c r="K40" s="68">
        <f t="shared" si="16"/>
        <v>71599999.73066425</v>
      </c>
      <c r="L40" s="68">
        <f t="shared" si="16"/>
        <v>41308072.297225</v>
      </c>
      <c r="M40" s="68">
        <f t="shared" si="16"/>
        <v>40561942.91658354</v>
      </c>
      <c r="N40" s="68">
        <f t="shared" si="16"/>
        <v>38905643.37017751</v>
      </c>
    </row>
    <row r="41" spans="1:14" s="6" customFormat="1" ht="13.5" customHeight="1">
      <c r="A41" s="15">
        <v>22</v>
      </c>
      <c r="B41" s="23" t="s">
        <v>36</v>
      </c>
      <c r="C41" s="52">
        <f>+C18+C27+C17</f>
        <v>274709038</v>
      </c>
      <c r="D41" s="52">
        <f aca="true" t="shared" si="17" ref="D41:N41">+D18+D27+D17</f>
        <v>91252751</v>
      </c>
      <c r="E41" s="52">
        <f t="shared" si="17"/>
        <v>8009143</v>
      </c>
      <c r="F41" s="52">
        <f t="shared" si="17"/>
        <v>0</v>
      </c>
      <c r="G41" s="52">
        <f t="shared" si="17"/>
        <v>7773990.147435188</v>
      </c>
      <c r="H41" s="52">
        <f t="shared" si="17"/>
        <v>964117</v>
      </c>
      <c r="I41" s="52">
        <f t="shared" si="17"/>
        <v>241494</v>
      </c>
      <c r="J41" s="52">
        <f t="shared" si="17"/>
        <v>0</v>
      </c>
      <c r="K41" s="52">
        <f t="shared" si="17"/>
        <v>0</v>
      </c>
      <c r="L41" s="52">
        <f t="shared" si="17"/>
        <v>0</v>
      </c>
      <c r="M41" s="52">
        <f t="shared" si="17"/>
        <v>0</v>
      </c>
      <c r="N41" s="52">
        <f t="shared" si="17"/>
        <v>0</v>
      </c>
    </row>
    <row r="42" spans="1:14" s="6" customFormat="1" ht="13.5" customHeight="1">
      <c r="A42" s="15">
        <v>23</v>
      </c>
      <c r="B42" s="23" t="s">
        <v>37</v>
      </c>
      <c r="C42" s="52">
        <f aca="true" t="shared" si="18" ref="C42:N42">+C21+C23</f>
        <v>113500000</v>
      </c>
      <c r="D42" s="53">
        <f t="shared" si="18"/>
        <v>33500000</v>
      </c>
      <c r="E42" s="53">
        <f t="shared" si="18"/>
        <v>42400000</v>
      </c>
      <c r="F42" s="53">
        <f t="shared" si="18"/>
        <v>57800000</v>
      </c>
      <c r="G42" s="53">
        <f t="shared" si="18"/>
        <v>61800000</v>
      </c>
      <c r="H42" s="55">
        <f>+H21+G23</f>
        <v>72800000</v>
      </c>
      <c r="I42" s="55">
        <f t="shared" si="18"/>
        <v>72800000</v>
      </c>
      <c r="J42" s="55">
        <f t="shared" si="18"/>
        <v>72800000</v>
      </c>
      <c r="K42" s="55">
        <f t="shared" si="18"/>
        <v>71600000</v>
      </c>
      <c r="L42" s="55">
        <f t="shared" si="18"/>
        <v>31000000</v>
      </c>
      <c r="M42" s="55">
        <f t="shared" si="18"/>
        <v>18000000</v>
      </c>
      <c r="N42" s="55">
        <f t="shared" si="18"/>
        <v>17000000</v>
      </c>
    </row>
    <row r="43" spans="1:14" s="6" customFormat="1" ht="27" customHeight="1" hidden="1">
      <c r="A43" s="115">
        <v>24</v>
      </c>
      <c r="B43" s="26" t="s">
        <v>38</v>
      </c>
      <c r="C43" s="82">
        <f>C27+C17</f>
        <v>274709038</v>
      </c>
      <c r="D43" s="82">
        <f aca="true" t="shared" si="19" ref="D43:N43">D27+D17</f>
        <v>91252751</v>
      </c>
      <c r="E43" s="82">
        <f t="shared" si="19"/>
        <v>8009143</v>
      </c>
      <c r="F43" s="82">
        <f t="shared" si="19"/>
        <v>0</v>
      </c>
      <c r="G43" s="82">
        <f t="shared" si="19"/>
        <v>7773990.147435188</v>
      </c>
      <c r="H43" s="82">
        <f t="shared" si="19"/>
        <v>964117</v>
      </c>
      <c r="I43" s="82">
        <f t="shared" si="19"/>
        <v>241494</v>
      </c>
      <c r="J43" s="82">
        <f t="shared" si="19"/>
        <v>0</v>
      </c>
      <c r="K43" s="82">
        <f t="shared" si="19"/>
        <v>0</v>
      </c>
      <c r="L43" s="82">
        <f t="shared" si="19"/>
        <v>0</v>
      </c>
      <c r="M43" s="82">
        <f t="shared" si="19"/>
        <v>0</v>
      </c>
      <c r="N43" s="82">
        <f t="shared" si="19"/>
        <v>0</v>
      </c>
    </row>
    <row r="44" spans="1:14" s="6" customFormat="1" ht="13.5" customHeight="1" hidden="1">
      <c r="A44" s="116" t="s">
        <v>11</v>
      </c>
      <c r="B44" s="27" t="s">
        <v>39</v>
      </c>
      <c r="C44" s="83"/>
      <c r="D44" s="84"/>
      <c r="E44" s="84"/>
      <c r="F44" s="84"/>
      <c r="G44" s="85"/>
      <c r="H44" s="86"/>
      <c r="I44" s="86"/>
      <c r="J44" s="87"/>
      <c r="K44" s="1"/>
      <c r="L44" s="1"/>
      <c r="M44" s="1"/>
      <c r="N44" s="1"/>
    </row>
    <row r="45" spans="1:14" s="6" customFormat="1" ht="13.5" customHeight="1" hidden="1">
      <c r="A45" s="116" t="s">
        <v>13</v>
      </c>
      <c r="B45" s="27" t="s">
        <v>40</v>
      </c>
      <c r="C45" s="83"/>
      <c r="D45" s="83"/>
      <c r="E45" s="83"/>
      <c r="F45" s="84"/>
      <c r="G45" s="85"/>
      <c r="H45" s="86"/>
      <c r="I45" s="86"/>
      <c r="J45" s="87"/>
      <c r="K45" s="1"/>
      <c r="L45" s="1"/>
      <c r="M45" s="1"/>
      <c r="N45" s="1"/>
    </row>
    <row r="46" spans="1:14" s="6" customFormat="1" ht="13.5" customHeight="1" hidden="1">
      <c r="A46" s="116" t="s">
        <v>15</v>
      </c>
      <c r="B46" s="27" t="s">
        <v>41</v>
      </c>
      <c r="C46" s="83"/>
      <c r="D46" s="84"/>
      <c r="E46" s="84"/>
      <c r="F46" s="84"/>
      <c r="G46" s="85"/>
      <c r="H46" s="86"/>
      <c r="I46" s="86"/>
      <c r="J46" s="87"/>
      <c r="K46" s="1"/>
      <c r="L46" s="1"/>
      <c r="M46" s="1"/>
      <c r="N46" s="1"/>
    </row>
    <row r="47" spans="1:14" s="6" customFormat="1" ht="13.5" customHeight="1" hidden="1">
      <c r="A47" s="116" t="s">
        <v>18</v>
      </c>
      <c r="B47" s="27" t="s">
        <v>42</v>
      </c>
      <c r="C47" s="83"/>
      <c r="D47" s="84"/>
      <c r="E47" s="84"/>
      <c r="F47" s="84"/>
      <c r="G47" s="85"/>
      <c r="H47" s="86"/>
      <c r="I47" s="86"/>
      <c r="J47" s="87"/>
      <c r="K47" s="1"/>
      <c r="L47" s="1"/>
      <c r="M47" s="1"/>
      <c r="N47" s="1"/>
    </row>
    <row r="48" spans="1:14" s="6" customFormat="1" ht="13.5" customHeight="1" hidden="1">
      <c r="A48" s="116" t="s">
        <v>19</v>
      </c>
      <c r="B48" s="27" t="s">
        <v>43</v>
      </c>
      <c r="C48" s="83"/>
      <c r="D48" s="84"/>
      <c r="E48" s="84"/>
      <c r="F48" s="84"/>
      <c r="G48" s="85"/>
      <c r="H48" s="86"/>
      <c r="I48" s="86"/>
      <c r="J48" s="87"/>
      <c r="K48" s="1"/>
      <c r="L48" s="1"/>
      <c r="M48" s="1"/>
      <c r="N48" s="1"/>
    </row>
    <row r="49" spans="1:10" ht="13.5" customHeight="1" hidden="1">
      <c r="A49" s="117" t="s">
        <v>44</v>
      </c>
      <c r="B49" s="28" t="s">
        <v>45</v>
      </c>
      <c r="C49" s="83"/>
      <c r="D49" s="84"/>
      <c r="E49" s="84"/>
      <c r="F49" s="84"/>
      <c r="G49" s="85"/>
      <c r="H49" s="86"/>
      <c r="I49" s="86"/>
      <c r="J49" s="87"/>
    </row>
    <row r="50" spans="1:10" ht="12.75" customHeight="1" hidden="1">
      <c r="A50" s="118"/>
      <c r="B50" s="29" t="s">
        <v>46</v>
      </c>
      <c r="C50" s="83"/>
      <c r="D50" s="84"/>
      <c r="E50" s="84"/>
      <c r="F50" s="84"/>
      <c r="G50" s="85"/>
      <c r="H50" s="86"/>
      <c r="I50" s="86"/>
      <c r="J50" s="87"/>
    </row>
    <row r="51" spans="1:10" ht="12.75" customHeight="1" hidden="1">
      <c r="A51" s="119"/>
      <c r="B51" s="30" t="s">
        <v>47</v>
      </c>
      <c r="C51" s="83"/>
      <c r="D51" s="84"/>
      <c r="E51" s="84"/>
      <c r="F51" s="84"/>
      <c r="G51" s="85"/>
      <c r="H51" s="86"/>
      <c r="I51" s="86"/>
      <c r="J51" s="87"/>
    </row>
    <row r="52" spans="1:10" ht="9.75" customHeight="1" hidden="1">
      <c r="A52" s="120"/>
      <c r="B52" s="31"/>
      <c r="C52" s="83"/>
      <c r="D52" s="84"/>
      <c r="E52" s="84"/>
      <c r="F52" s="84"/>
      <c r="G52" s="85"/>
      <c r="H52" s="86"/>
      <c r="I52" s="86"/>
      <c r="J52" s="87"/>
    </row>
    <row r="53" spans="1:10" ht="25.5" customHeight="1" hidden="1">
      <c r="A53" s="121" t="s">
        <v>48</v>
      </c>
      <c r="B53" s="122"/>
      <c r="C53" s="83"/>
      <c r="D53" s="84"/>
      <c r="E53" s="84"/>
      <c r="F53" s="84"/>
      <c r="G53" s="85"/>
      <c r="H53" s="86"/>
      <c r="I53" s="86"/>
      <c r="J53" s="87"/>
    </row>
    <row r="54" spans="1:10" ht="12.75" customHeight="1" hidden="1">
      <c r="A54" s="102" t="s">
        <v>49</v>
      </c>
      <c r="B54" s="102"/>
      <c r="C54" s="83"/>
      <c r="D54" s="84"/>
      <c r="E54" s="84"/>
      <c r="F54" s="84"/>
      <c r="G54" s="85"/>
      <c r="H54" s="86"/>
      <c r="I54" s="86"/>
      <c r="J54" s="87"/>
    </row>
    <row r="55" spans="2:10" ht="12.75" customHeight="1" hidden="1">
      <c r="B55" s="32"/>
      <c r="C55" s="88"/>
      <c r="D55" s="89"/>
      <c r="E55" s="89"/>
      <c r="F55" s="89"/>
      <c r="G55" s="90"/>
      <c r="H55" s="87"/>
      <c r="I55" s="87"/>
      <c r="J55" s="87"/>
    </row>
    <row r="56" spans="1:10" ht="12.75" customHeight="1" hidden="1">
      <c r="A56" s="123" t="s">
        <v>53</v>
      </c>
      <c r="B56" s="124"/>
      <c r="C56" s="88"/>
      <c r="D56" s="89"/>
      <c r="E56" s="89"/>
      <c r="F56" s="89"/>
      <c r="G56" s="90"/>
      <c r="H56" s="87"/>
      <c r="I56" s="87"/>
      <c r="J56" s="87"/>
    </row>
    <row r="57" spans="1:10" ht="12.75" customHeight="1" hidden="1">
      <c r="A57" s="123" t="s">
        <v>54</v>
      </c>
      <c r="B57" s="125"/>
      <c r="C57" s="88"/>
      <c r="D57" s="89"/>
      <c r="E57" s="89"/>
      <c r="F57" s="89"/>
      <c r="G57" s="90"/>
      <c r="H57" s="87"/>
      <c r="I57" s="87"/>
      <c r="J57" s="87"/>
    </row>
    <row r="58" spans="1:10" ht="12.75" customHeight="1" hidden="1">
      <c r="A58" s="123" t="s">
        <v>55</v>
      </c>
      <c r="B58" s="125"/>
      <c r="C58" s="88"/>
      <c r="D58" s="89"/>
      <c r="E58" s="89"/>
      <c r="F58" s="89"/>
      <c r="G58" s="90"/>
      <c r="H58" s="87"/>
      <c r="I58" s="87"/>
      <c r="J58" s="87"/>
    </row>
    <row r="59" spans="1:10" ht="12.75" customHeight="1" hidden="1">
      <c r="A59" s="123" t="s">
        <v>56</v>
      </c>
      <c r="B59" s="125"/>
      <c r="C59" s="88"/>
      <c r="D59" s="89"/>
      <c r="E59" s="89"/>
      <c r="F59" s="89"/>
      <c r="G59" s="90"/>
      <c r="H59" s="87"/>
      <c r="I59" s="87"/>
      <c r="J59" s="87"/>
    </row>
    <row r="60" spans="1:10" ht="12.75" customHeight="1" hidden="1">
      <c r="A60" s="123" t="s">
        <v>57</v>
      </c>
      <c r="B60" s="125"/>
      <c r="C60" s="88"/>
      <c r="D60" s="89"/>
      <c r="E60" s="89"/>
      <c r="F60" s="89"/>
      <c r="G60" s="90"/>
      <c r="H60" s="87"/>
      <c r="I60" s="87"/>
      <c r="J60" s="87"/>
    </row>
    <row r="61" spans="1:10" ht="12.75" customHeight="1" hidden="1">
      <c r="A61" s="123" t="s">
        <v>58</v>
      </c>
      <c r="B61" s="125"/>
      <c r="C61" s="88"/>
      <c r="D61" s="89"/>
      <c r="E61" s="89"/>
      <c r="F61" s="89"/>
      <c r="G61" s="90"/>
      <c r="H61" s="87"/>
      <c r="I61" s="87"/>
      <c r="J61" s="87"/>
    </row>
    <row r="62" spans="1:10" ht="12.75" customHeight="1" hidden="1">
      <c r="A62" s="123" t="s">
        <v>59</v>
      </c>
      <c r="B62" s="125"/>
      <c r="C62" s="88"/>
      <c r="D62" s="89"/>
      <c r="E62" s="89"/>
      <c r="F62" s="89"/>
      <c r="G62" s="90"/>
      <c r="H62" s="87"/>
      <c r="I62" s="87"/>
      <c r="J62" s="87"/>
    </row>
    <row r="63" spans="1:10" ht="12.75" customHeight="1" hidden="1">
      <c r="A63" s="123" t="s">
        <v>60</v>
      </c>
      <c r="B63" s="125"/>
      <c r="C63" s="88"/>
      <c r="D63" s="89"/>
      <c r="E63" s="89"/>
      <c r="F63" s="89"/>
      <c r="G63" s="90"/>
      <c r="H63" s="87"/>
      <c r="I63" s="87"/>
      <c r="J63" s="87"/>
    </row>
    <row r="64" spans="1:10" ht="26.25" customHeight="1" hidden="1">
      <c r="A64" s="123" t="s">
        <v>61</v>
      </c>
      <c r="B64" s="125"/>
      <c r="C64" s="88"/>
      <c r="D64" s="89"/>
      <c r="E64" s="89"/>
      <c r="F64" s="89"/>
      <c r="G64" s="90"/>
      <c r="H64" s="87"/>
      <c r="I64" s="87"/>
      <c r="J64" s="87"/>
    </row>
    <row r="65" spans="1:10" ht="39.75" customHeight="1" hidden="1">
      <c r="A65" s="123" t="s">
        <v>62</v>
      </c>
      <c r="B65" s="125"/>
      <c r="C65" s="88"/>
      <c r="D65" s="89"/>
      <c r="E65" s="89"/>
      <c r="F65" s="89"/>
      <c r="G65" s="90"/>
      <c r="H65" s="87"/>
      <c r="I65" s="87"/>
      <c r="J65" s="87"/>
    </row>
    <row r="66" spans="1:10" ht="12.75" customHeight="1" hidden="1">
      <c r="A66" s="123" t="s">
        <v>63</v>
      </c>
      <c r="B66" s="125"/>
      <c r="C66" s="88"/>
      <c r="D66" s="89"/>
      <c r="E66" s="89"/>
      <c r="F66" s="89"/>
      <c r="G66" s="90"/>
      <c r="H66" s="87"/>
      <c r="I66" s="87"/>
      <c r="J66" s="87"/>
    </row>
    <row r="67" spans="1:10" ht="12.75" customHeight="1" hidden="1">
      <c r="A67" s="123" t="s">
        <v>64</v>
      </c>
      <c r="B67" s="125"/>
      <c r="C67" s="88"/>
      <c r="D67" s="89"/>
      <c r="E67" s="89"/>
      <c r="F67" s="89"/>
      <c r="G67" s="90"/>
      <c r="H67" s="87"/>
      <c r="I67" s="87"/>
      <c r="J67" s="87"/>
    </row>
    <row r="68" spans="1:10" ht="12.75" customHeight="1" hidden="1">
      <c r="A68" s="123" t="s">
        <v>65</v>
      </c>
      <c r="B68" s="125"/>
      <c r="C68" s="88"/>
      <c r="D68" s="89"/>
      <c r="E68" s="89"/>
      <c r="F68" s="89"/>
      <c r="G68" s="90"/>
      <c r="H68" s="87"/>
      <c r="I68" s="87"/>
      <c r="J68" s="87"/>
    </row>
    <row r="69" spans="1:10" ht="12.75" customHeight="1" hidden="1">
      <c r="A69" s="123" t="s">
        <v>66</v>
      </c>
      <c r="B69" s="125"/>
      <c r="C69" s="88"/>
      <c r="D69" s="89"/>
      <c r="E69" s="89"/>
      <c r="F69" s="89"/>
      <c r="G69" s="90"/>
      <c r="H69" s="87"/>
      <c r="I69" s="87"/>
      <c r="J69" s="87"/>
    </row>
    <row r="70" spans="1:10" ht="25.5" customHeight="1" hidden="1">
      <c r="A70" s="123" t="s">
        <v>67</v>
      </c>
      <c r="B70" s="125"/>
      <c r="C70" s="88"/>
      <c r="D70" s="89"/>
      <c r="E70" s="89"/>
      <c r="F70" s="89"/>
      <c r="G70" s="90"/>
      <c r="H70" s="87"/>
      <c r="I70" s="87"/>
      <c r="J70" s="87"/>
    </row>
    <row r="71" spans="1:10" ht="12.75" customHeight="1" hidden="1">
      <c r="A71" s="123" t="s">
        <v>68</v>
      </c>
      <c r="B71" s="125"/>
      <c r="C71" s="88"/>
      <c r="D71" s="89"/>
      <c r="E71" s="89"/>
      <c r="F71" s="89"/>
      <c r="G71" s="90"/>
      <c r="H71" s="87"/>
      <c r="I71" s="87"/>
      <c r="J71" s="87"/>
    </row>
    <row r="72" spans="1:10" ht="12.75" customHeight="1" hidden="1">
      <c r="A72" s="123" t="s">
        <v>69</v>
      </c>
      <c r="B72" s="125"/>
      <c r="C72" s="88"/>
      <c r="D72" s="89"/>
      <c r="E72" s="89"/>
      <c r="F72" s="89"/>
      <c r="G72" s="90"/>
      <c r="H72" s="87"/>
      <c r="I72" s="87"/>
      <c r="J72" s="87"/>
    </row>
    <row r="73" spans="2:10" ht="12.75">
      <c r="B73" s="32"/>
      <c r="C73" s="88"/>
      <c r="D73" s="89"/>
      <c r="E73" s="89"/>
      <c r="F73" s="89"/>
      <c r="G73" s="90"/>
      <c r="H73" s="87"/>
      <c r="I73" s="87"/>
      <c r="J73" s="87"/>
    </row>
    <row r="74" spans="3:10" ht="12.75">
      <c r="C74" s="88"/>
      <c r="D74" s="89"/>
      <c r="E74" s="89"/>
      <c r="F74" s="89"/>
      <c r="G74" s="90"/>
      <c r="H74" s="87"/>
      <c r="I74" s="87"/>
      <c r="J74" s="87"/>
    </row>
    <row r="75" spans="3:10" ht="12.75">
      <c r="C75" s="88"/>
      <c r="D75" s="89"/>
      <c r="E75" s="89"/>
      <c r="F75" s="89"/>
      <c r="G75" s="90"/>
      <c r="H75" s="87"/>
      <c r="I75" s="87"/>
      <c r="J75" s="87"/>
    </row>
    <row r="76" spans="3:10" ht="12.75">
      <c r="C76" s="88"/>
      <c r="D76" s="89"/>
      <c r="E76" s="89"/>
      <c r="F76" s="89"/>
      <c r="G76" s="90"/>
      <c r="H76" s="87"/>
      <c r="I76" s="87"/>
      <c r="J76" s="87"/>
    </row>
    <row r="77" spans="3:10" ht="12.75">
      <c r="C77" s="88"/>
      <c r="D77" s="89"/>
      <c r="E77" s="89"/>
      <c r="F77" s="89"/>
      <c r="G77" s="90"/>
      <c r="H77" s="87"/>
      <c r="I77" s="87"/>
      <c r="J77" s="87"/>
    </row>
    <row r="78" spans="3:10" ht="12.75">
      <c r="C78" s="88"/>
      <c r="D78" s="89"/>
      <c r="E78" s="89"/>
      <c r="F78" s="89"/>
      <c r="G78" s="90"/>
      <c r="H78" s="87"/>
      <c r="I78" s="87"/>
      <c r="J78" s="87"/>
    </row>
    <row r="79" spans="3:10" ht="12.75">
      <c r="C79" s="88"/>
      <c r="D79" s="89"/>
      <c r="E79" s="89"/>
      <c r="F79" s="89"/>
      <c r="G79" s="90"/>
      <c r="H79" s="87"/>
      <c r="I79" s="87"/>
      <c r="J79" s="87"/>
    </row>
    <row r="80" spans="3:10" ht="12.75">
      <c r="C80" s="88"/>
      <c r="D80" s="89"/>
      <c r="E80" s="89"/>
      <c r="F80" s="89"/>
      <c r="G80" s="90"/>
      <c r="H80" s="87"/>
      <c r="I80" s="87"/>
      <c r="J80" s="87"/>
    </row>
    <row r="81" spans="3:10" ht="12.75">
      <c r="C81" s="88"/>
      <c r="D81" s="89" t="s">
        <v>240</v>
      </c>
      <c r="E81" s="89"/>
      <c r="F81" s="89"/>
      <c r="G81" s="90"/>
      <c r="H81" s="87"/>
      <c r="I81" s="87"/>
      <c r="J81" s="87"/>
    </row>
    <row r="82" spans="3:10" ht="12.75">
      <c r="C82" s="88"/>
      <c r="D82" s="89"/>
      <c r="E82" s="89"/>
      <c r="F82" s="89"/>
      <c r="G82" s="90"/>
      <c r="H82" s="87"/>
      <c r="I82" s="87"/>
      <c r="J82" s="87"/>
    </row>
    <row r="83" spans="3:10" ht="12.75">
      <c r="C83" s="88"/>
      <c r="D83" s="89"/>
      <c r="E83" s="89"/>
      <c r="F83" s="89"/>
      <c r="G83" s="90"/>
      <c r="H83" s="87"/>
      <c r="I83" s="87"/>
      <c r="J83" s="87"/>
    </row>
    <row r="84" spans="3:10" ht="12.75">
      <c r="C84" s="88"/>
      <c r="D84" s="89"/>
      <c r="E84" s="89"/>
      <c r="F84" s="89"/>
      <c r="G84" s="90"/>
      <c r="H84" s="87"/>
      <c r="I84" s="87"/>
      <c r="J84" s="87"/>
    </row>
    <row r="85" spans="3:10" ht="12.75">
      <c r="C85" s="88"/>
      <c r="D85" s="89"/>
      <c r="E85" s="89"/>
      <c r="F85" s="89"/>
      <c r="G85" s="90"/>
      <c r="H85" s="87"/>
      <c r="I85" s="87"/>
      <c r="J85" s="87"/>
    </row>
    <row r="86" spans="3:10" ht="12.75">
      <c r="C86" s="88"/>
      <c r="D86" s="89"/>
      <c r="E86" s="89"/>
      <c r="F86" s="89"/>
      <c r="G86" s="90"/>
      <c r="H86" s="87"/>
      <c r="I86" s="87"/>
      <c r="J86" s="87"/>
    </row>
    <row r="87" spans="3:10" ht="12.75">
      <c r="C87" s="88"/>
      <c r="D87" s="89"/>
      <c r="E87" s="89"/>
      <c r="F87" s="89"/>
      <c r="G87" s="90"/>
      <c r="H87" s="87"/>
      <c r="I87" s="87"/>
      <c r="J87" s="87"/>
    </row>
    <row r="88" spans="3:10" ht="12.75">
      <c r="C88" s="88"/>
      <c r="D88" s="89"/>
      <c r="E88" s="89"/>
      <c r="F88" s="89"/>
      <c r="G88" s="90"/>
      <c r="H88" s="87"/>
      <c r="I88" s="87"/>
      <c r="J88" s="87"/>
    </row>
    <row r="89" spans="3:10" ht="12.75">
      <c r="C89" s="88"/>
      <c r="D89" s="89"/>
      <c r="E89" s="89"/>
      <c r="F89" s="89"/>
      <c r="G89" s="90"/>
      <c r="H89" s="87"/>
      <c r="I89" s="87"/>
      <c r="J89" s="87"/>
    </row>
    <row r="90" spans="3:10" ht="12.75">
      <c r="C90" s="88"/>
      <c r="D90" s="89"/>
      <c r="E90" s="89"/>
      <c r="F90" s="89"/>
      <c r="G90" s="90"/>
      <c r="H90" s="87"/>
      <c r="I90" s="87"/>
      <c r="J90" s="87"/>
    </row>
    <row r="91" spans="3:10" ht="12.75">
      <c r="C91" s="88"/>
      <c r="D91" s="89"/>
      <c r="E91" s="89"/>
      <c r="F91" s="89"/>
      <c r="G91" s="90"/>
      <c r="H91" s="87"/>
      <c r="I91" s="87"/>
      <c r="J91" s="87"/>
    </row>
    <row r="92" spans="3:10" ht="12.75">
      <c r="C92" s="88"/>
      <c r="D92" s="89"/>
      <c r="E92" s="89"/>
      <c r="F92" s="89"/>
      <c r="G92" s="90"/>
      <c r="H92" s="87"/>
      <c r="I92" s="87"/>
      <c r="J92" s="87"/>
    </row>
    <row r="93" spans="3:10" ht="12.75">
      <c r="C93" s="88"/>
      <c r="D93" s="89"/>
      <c r="E93" s="89"/>
      <c r="F93" s="89"/>
      <c r="G93" s="90"/>
      <c r="H93" s="87"/>
      <c r="I93" s="87"/>
      <c r="J93" s="87"/>
    </row>
    <row r="94" spans="3:10" ht="12.75">
      <c r="C94" s="88"/>
      <c r="D94" s="89"/>
      <c r="E94" s="89"/>
      <c r="F94" s="89"/>
      <c r="G94" s="90"/>
      <c r="H94" s="87"/>
      <c r="I94" s="87"/>
      <c r="J94" s="87"/>
    </row>
    <row r="95" spans="3:10" ht="12.75">
      <c r="C95" s="88"/>
      <c r="D95" s="89"/>
      <c r="E95" s="89"/>
      <c r="F95" s="89"/>
      <c r="G95" s="90"/>
      <c r="H95" s="87"/>
      <c r="I95" s="87"/>
      <c r="J95" s="87"/>
    </row>
    <row r="96" spans="3:10" ht="12.75">
      <c r="C96" s="88"/>
      <c r="D96" s="89"/>
      <c r="E96" s="89"/>
      <c r="F96" s="89"/>
      <c r="G96" s="90"/>
      <c r="H96" s="87"/>
      <c r="I96" s="87"/>
      <c r="J96" s="87"/>
    </row>
    <row r="97" spans="3:10" ht="12.75">
      <c r="C97" s="88"/>
      <c r="D97" s="89"/>
      <c r="E97" s="89"/>
      <c r="F97" s="89"/>
      <c r="G97" s="90"/>
      <c r="H97" s="87"/>
      <c r="I97" s="87"/>
      <c r="J97" s="87"/>
    </row>
    <row r="98" spans="3:10" ht="12.75">
      <c r="C98" s="88"/>
      <c r="D98" s="89"/>
      <c r="E98" s="89"/>
      <c r="F98" s="89"/>
      <c r="G98" s="90"/>
      <c r="H98" s="87"/>
      <c r="I98" s="87"/>
      <c r="J98" s="87"/>
    </row>
    <row r="99" spans="3:10" ht="12.75">
      <c r="C99" s="88"/>
      <c r="D99" s="89"/>
      <c r="E99" s="89"/>
      <c r="F99" s="89"/>
      <c r="G99" s="90"/>
      <c r="H99" s="87"/>
      <c r="I99" s="87"/>
      <c r="J99" s="87"/>
    </row>
    <row r="100" spans="3:10" ht="12.75">
      <c r="C100" s="88"/>
      <c r="D100" s="89"/>
      <c r="E100" s="89"/>
      <c r="F100" s="89"/>
      <c r="G100" s="90"/>
      <c r="H100" s="87"/>
      <c r="I100" s="87"/>
      <c r="J100" s="87"/>
    </row>
    <row r="101" spans="3:10" ht="12.75">
      <c r="C101" s="88"/>
      <c r="D101" s="89"/>
      <c r="E101" s="89"/>
      <c r="F101" s="89"/>
      <c r="G101" s="90"/>
      <c r="H101" s="87"/>
      <c r="I101" s="87"/>
      <c r="J101" s="87"/>
    </row>
    <row r="102" spans="3:10" ht="12.75">
      <c r="C102" s="88"/>
      <c r="D102" s="89"/>
      <c r="E102" s="89"/>
      <c r="F102" s="89"/>
      <c r="G102" s="90"/>
      <c r="H102" s="87"/>
      <c r="I102" s="87"/>
      <c r="J102" s="87"/>
    </row>
    <row r="103" spans="3:10" ht="12.75">
      <c r="C103" s="88"/>
      <c r="D103" s="89"/>
      <c r="E103" s="89"/>
      <c r="F103" s="89"/>
      <c r="G103" s="90"/>
      <c r="H103" s="87"/>
      <c r="I103" s="87"/>
      <c r="J103" s="87"/>
    </row>
    <row r="104" spans="3:10" ht="12.75">
      <c r="C104" s="88"/>
      <c r="D104" s="89"/>
      <c r="E104" s="89"/>
      <c r="F104" s="89"/>
      <c r="G104" s="90"/>
      <c r="H104" s="87"/>
      <c r="I104" s="87"/>
      <c r="J104" s="87"/>
    </row>
    <row r="105" spans="3:10" ht="12.75">
      <c r="C105" s="88"/>
      <c r="D105" s="89"/>
      <c r="E105" s="89"/>
      <c r="F105" s="89"/>
      <c r="G105" s="90"/>
      <c r="H105" s="87"/>
      <c r="I105" s="87"/>
      <c r="J105" s="87"/>
    </row>
    <row r="106" spans="3:10" ht="12.75">
      <c r="C106" s="88"/>
      <c r="D106" s="89"/>
      <c r="E106" s="89"/>
      <c r="F106" s="89"/>
      <c r="G106" s="90"/>
      <c r="H106" s="87"/>
      <c r="I106" s="87"/>
      <c r="J106" s="87"/>
    </row>
    <row r="107" spans="3:10" ht="12.75">
      <c r="C107" s="88"/>
      <c r="D107" s="89"/>
      <c r="E107" s="89"/>
      <c r="F107" s="89"/>
      <c r="G107" s="90"/>
      <c r="H107" s="87"/>
      <c r="I107" s="87"/>
      <c r="J107" s="87"/>
    </row>
    <row r="108" spans="3:10" ht="12.75">
      <c r="C108" s="88"/>
      <c r="D108" s="89"/>
      <c r="E108" s="89"/>
      <c r="F108" s="89"/>
      <c r="G108" s="90"/>
      <c r="H108" s="87"/>
      <c r="I108" s="87"/>
      <c r="J108" s="87"/>
    </row>
    <row r="109" spans="3:10" ht="12.75">
      <c r="C109" s="88"/>
      <c r="D109" s="89"/>
      <c r="E109" s="89"/>
      <c r="F109" s="89"/>
      <c r="G109" s="90"/>
      <c r="H109" s="87"/>
      <c r="I109" s="87"/>
      <c r="J109" s="87"/>
    </row>
    <row r="110" spans="3:10" ht="12.75">
      <c r="C110" s="88"/>
      <c r="D110" s="89"/>
      <c r="E110" s="89"/>
      <c r="F110" s="89"/>
      <c r="G110" s="90"/>
      <c r="H110" s="87"/>
      <c r="I110" s="87"/>
      <c r="J110" s="87"/>
    </row>
    <row r="111" spans="3:10" ht="12.75">
      <c r="C111" s="88"/>
      <c r="D111" s="89"/>
      <c r="E111" s="89"/>
      <c r="F111" s="89"/>
      <c r="G111" s="90"/>
      <c r="H111" s="87"/>
      <c r="I111" s="87"/>
      <c r="J111" s="87"/>
    </row>
    <row r="112" spans="3:10" ht="12.75">
      <c r="C112" s="88"/>
      <c r="D112" s="89"/>
      <c r="E112" s="89"/>
      <c r="F112" s="89"/>
      <c r="G112" s="90"/>
      <c r="H112" s="87"/>
      <c r="I112" s="87"/>
      <c r="J112" s="87"/>
    </row>
    <row r="113" spans="3:10" ht="12.75">
      <c r="C113" s="88"/>
      <c r="D113" s="89"/>
      <c r="E113" s="89"/>
      <c r="F113" s="89"/>
      <c r="G113" s="90"/>
      <c r="H113" s="87"/>
      <c r="I113" s="87"/>
      <c r="J113" s="87"/>
    </row>
    <row r="114" spans="3:10" ht="12.75">
      <c r="C114" s="88"/>
      <c r="D114" s="89"/>
      <c r="E114" s="89"/>
      <c r="F114" s="89"/>
      <c r="G114" s="90"/>
      <c r="H114" s="87"/>
      <c r="I114" s="87"/>
      <c r="J114" s="87"/>
    </row>
    <row r="115" spans="3:10" ht="12.75">
      <c r="C115" s="88"/>
      <c r="D115" s="89"/>
      <c r="E115" s="89"/>
      <c r="F115" s="89"/>
      <c r="G115" s="90"/>
      <c r="H115" s="87"/>
      <c r="I115" s="87"/>
      <c r="J115" s="87"/>
    </row>
    <row r="116" spans="3:10" ht="12.75">
      <c r="C116" s="88"/>
      <c r="D116" s="89"/>
      <c r="E116" s="89"/>
      <c r="F116" s="89"/>
      <c r="G116" s="90"/>
      <c r="H116" s="87"/>
      <c r="I116" s="87"/>
      <c r="J116" s="87"/>
    </row>
    <row r="117" spans="3:10" ht="12.75">
      <c r="C117" s="88"/>
      <c r="D117" s="89"/>
      <c r="E117" s="89"/>
      <c r="F117" s="89"/>
      <c r="G117" s="90"/>
      <c r="H117" s="87"/>
      <c r="I117" s="87"/>
      <c r="J117" s="87"/>
    </row>
    <row r="118" spans="3:10" ht="12.75">
      <c r="C118" s="88"/>
      <c r="D118" s="89"/>
      <c r="E118" s="89"/>
      <c r="F118" s="89"/>
      <c r="G118" s="90"/>
      <c r="H118" s="87"/>
      <c r="I118" s="87"/>
      <c r="J118" s="87"/>
    </row>
    <row r="119" spans="3:10" ht="12.75">
      <c r="C119" s="88"/>
      <c r="D119" s="89"/>
      <c r="E119" s="89"/>
      <c r="F119" s="89"/>
      <c r="G119" s="90"/>
      <c r="H119" s="87"/>
      <c r="I119" s="87"/>
      <c r="J119" s="87"/>
    </row>
    <row r="120" spans="3:10" ht="12.75">
      <c r="C120" s="88"/>
      <c r="D120" s="89"/>
      <c r="E120" s="89"/>
      <c r="F120" s="89"/>
      <c r="G120" s="90"/>
      <c r="H120" s="87"/>
      <c r="I120" s="87"/>
      <c r="J120" s="87"/>
    </row>
    <row r="121" spans="3:10" ht="12.75">
      <c r="C121" s="88"/>
      <c r="D121" s="89"/>
      <c r="E121" s="89"/>
      <c r="F121" s="89"/>
      <c r="G121" s="90"/>
      <c r="H121" s="87"/>
      <c r="I121" s="87"/>
      <c r="J121" s="87"/>
    </row>
    <row r="122" spans="3:10" ht="12.75">
      <c r="C122" s="88"/>
      <c r="D122" s="89"/>
      <c r="E122" s="89"/>
      <c r="F122" s="89"/>
      <c r="G122" s="90"/>
      <c r="H122" s="87"/>
      <c r="I122" s="87"/>
      <c r="J122" s="87"/>
    </row>
    <row r="123" spans="3:10" ht="12.75">
      <c r="C123" s="88"/>
      <c r="D123" s="89"/>
      <c r="E123" s="89"/>
      <c r="F123" s="89"/>
      <c r="G123" s="90"/>
      <c r="H123" s="87"/>
      <c r="I123" s="87"/>
      <c r="J123" s="87"/>
    </row>
    <row r="124" spans="3:10" ht="12.75">
      <c r="C124" s="88"/>
      <c r="D124" s="89"/>
      <c r="E124" s="89"/>
      <c r="F124" s="89"/>
      <c r="G124" s="90"/>
      <c r="H124" s="87"/>
      <c r="I124" s="87"/>
      <c r="J124" s="87"/>
    </row>
    <row r="125" spans="3:10" ht="12.75">
      <c r="C125" s="88"/>
      <c r="D125" s="89"/>
      <c r="E125" s="89"/>
      <c r="F125" s="89"/>
      <c r="G125" s="90"/>
      <c r="H125" s="87"/>
      <c r="I125" s="87"/>
      <c r="J125" s="87"/>
    </row>
    <row r="126" spans="3:10" ht="12.75">
      <c r="C126" s="88"/>
      <c r="D126" s="89"/>
      <c r="E126" s="89"/>
      <c r="F126" s="89"/>
      <c r="G126" s="90"/>
      <c r="H126" s="87"/>
      <c r="I126" s="87"/>
      <c r="J126" s="87"/>
    </row>
    <row r="127" spans="3:10" ht="12.75">
      <c r="C127" s="88"/>
      <c r="D127" s="89"/>
      <c r="E127" s="89"/>
      <c r="F127" s="89"/>
      <c r="G127" s="90"/>
      <c r="H127" s="87"/>
      <c r="I127" s="87"/>
      <c r="J127" s="87"/>
    </row>
    <row r="128" spans="3:10" ht="12.75">
      <c r="C128" s="88"/>
      <c r="D128" s="89"/>
      <c r="E128" s="89"/>
      <c r="F128" s="89"/>
      <c r="G128" s="90"/>
      <c r="H128" s="87"/>
      <c r="I128" s="87"/>
      <c r="J128" s="87"/>
    </row>
    <row r="129" spans="3:10" ht="12.75">
      <c r="C129" s="88"/>
      <c r="D129" s="89"/>
      <c r="E129" s="89"/>
      <c r="F129" s="89"/>
      <c r="G129" s="90"/>
      <c r="H129" s="87"/>
      <c r="I129" s="87"/>
      <c r="J129" s="87"/>
    </row>
    <row r="130" spans="3:10" ht="12.75">
      <c r="C130" s="88"/>
      <c r="D130" s="89"/>
      <c r="E130" s="89"/>
      <c r="F130" s="89"/>
      <c r="G130" s="90"/>
      <c r="H130" s="87"/>
      <c r="I130" s="87"/>
      <c r="J130" s="87"/>
    </row>
    <row r="131" spans="3:10" ht="12.75">
      <c r="C131" s="88"/>
      <c r="D131" s="89"/>
      <c r="E131" s="89"/>
      <c r="F131" s="89"/>
      <c r="G131" s="90"/>
      <c r="H131" s="87"/>
      <c r="I131" s="87"/>
      <c r="J131" s="87"/>
    </row>
    <row r="132" spans="3:10" ht="12.75">
      <c r="C132" s="88"/>
      <c r="D132" s="89"/>
      <c r="E132" s="89"/>
      <c r="F132" s="89"/>
      <c r="G132" s="90"/>
      <c r="H132" s="87"/>
      <c r="I132" s="87"/>
      <c r="J132" s="87"/>
    </row>
    <row r="133" spans="3:10" ht="12.75">
      <c r="C133" s="88"/>
      <c r="D133" s="89"/>
      <c r="E133" s="89"/>
      <c r="F133" s="89"/>
      <c r="G133" s="90"/>
      <c r="H133" s="87"/>
      <c r="I133" s="87"/>
      <c r="J133" s="87"/>
    </row>
    <row r="134" spans="3:10" ht="12.75">
      <c r="C134" s="88"/>
      <c r="D134" s="89"/>
      <c r="E134" s="89"/>
      <c r="F134" s="89"/>
      <c r="G134" s="90"/>
      <c r="H134" s="87"/>
      <c r="I134" s="87"/>
      <c r="J134" s="87"/>
    </row>
    <row r="135" spans="3:10" ht="12.75">
      <c r="C135" s="88"/>
      <c r="D135" s="89"/>
      <c r="E135" s="89"/>
      <c r="F135" s="89"/>
      <c r="G135" s="90"/>
      <c r="H135" s="87"/>
      <c r="I135" s="87"/>
      <c r="J135" s="87"/>
    </row>
    <row r="136" spans="3:10" ht="12.75">
      <c r="C136" s="88"/>
      <c r="D136" s="89"/>
      <c r="E136" s="89"/>
      <c r="F136" s="89"/>
      <c r="G136" s="90"/>
      <c r="H136" s="87"/>
      <c r="I136" s="87"/>
      <c r="J136" s="87"/>
    </row>
    <row r="137" spans="3:10" ht="12.75">
      <c r="C137" s="88"/>
      <c r="D137" s="89"/>
      <c r="E137" s="89"/>
      <c r="F137" s="89"/>
      <c r="G137" s="90"/>
      <c r="H137" s="87"/>
      <c r="I137" s="87"/>
      <c r="J137" s="87"/>
    </row>
    <row r="138" spans="3:10" ht="12.75">
      <c r="C138" s="88"/>
      <c r="D138" s="89"/>
      <c r="E138" s="89"/>
      <c r="F138" s="89"/>
      <c r="G138" s="90"/>
      <c r="H138" s="87"/>
      <c r="I138" s="87"/>
      <c r="J138" s="87"/>
    </row>
    <row r="139" spans="3:10" ht="12.75">
      <c r="C139" s="88"/>
      <c r="D139" s="89"/>
      <c r="E139" s="89"/>
      <c r="F139" s="89"/>
      <c r="G139" s="90"/>
      <c r="H139" s="87"/>
      <c r="I139" s="87"/>
      <c r="J139" s="87"/>
    </row>
    <row r="140" spans="3:10" ht="12.75">
      <c r="C140" s="88"/>
      <c r="D140" s="89"/>
      <c r="E140" s="89"/>
      <c r="F140" s="89"/>
      <c r="G140" s="90"/>
      <c r="H140" s="87"/>
      <c r="I140" s="87"/>
      <c r="J140" s="87"/>
    </row>
    <row r="141" spans="3:10" ht="12.75">
      <c r="C141" s="88"/>
      <c r="D141" s="89"/>
      <c r="E141" s="89"/>
      <c r="F141" s="89"/>
      <c r="G141" s="90"/>
      <c r="H141" s="87"/>
      <c r="I141" s="87"/>
      <c r="J141" s="87"/>
    </row>
    <row r="142" spans="3:10" ht="12.75">
      <c r="C142" s="88"/>
      <c r="D142" s="89"/>
      <c r="E142" s="89"/>
      <c r="F142" s="89"/>
      <c r="G142" s="90"/>
      <c r="H142" s="87"/>
      <c r="I142" s="87"/>
      <c r="J142" s="87"/>
    </row>
    <row r="143" spans="3:10" ht="12.75">
      <c r="C143" s="88"/>
      <c r="D143" s="89"/>
      <c r="E143" s="89"/>
      <c r="F143" s="89"/>
      <c r="G143" s="90"/>
      <c r="H143" s="87"/>
      <c r="I143" s="87"/>
      <c r="J143" s="87"/>
    </row>
    <row r="144" spans="3:10" ht="12.75">
      <c r="C144" s="88"/>
      <c r="D144" s="89"/>
      <c r="E144" s="89"/>
      <c r="F144" s="89"/>
      <c r="G144" s="90"/>
      <c r="H144" s="87"/>
      <c r="I144" s="87"/>
      <c r="J144" s="87"/>
    </row>
    <row r="145" spans="3:10" ht="12.75">
      <c r="C145" s="88"/>
      <c r="D145" s="89"/>
      <c r="E145" s="89"/>
      <c r="F145" s="89"/>
      <c r="G145" s="90"/>
      <c r="H145" s="87"/>
      <c r="I145" s="87"/>
      <c r="J145" s="87"/>
    </row>
    <row r="146" spans="3:10" ht="12.75">
      <c r="C146" s="88"/>
      <c r="D146" s="89"/>
      <c r="E146" s="89"/>
      <c r="F146" s="89"/>
      <c r="G146" s="90"/>
      <c r="H146" s="87"/>
      <c r="I146" s="87"/>
      <c r="J146" s="87"/>
    </row>
    <row r="147" spans="3:10" ht="12.75">
      <c r="C147" s="88"/>
      <c r="D147" s="89"/>
      <c r="E147" s="89"/>
      <c r="F147" s="89"/>
      <c r="G147" s="90"/>
      <c r="H147" s="87"/>
      <c r="I147" s="87"/>
      <c r="J147" s="87"/>
    </row>
    <row r="148" spans="3:10" ht="12.75">
      <c r="C148" s="88"/>
      <c r="D148" s="89"/>
      <c r="E148" s="89"/>
      <c r="F148" s="89"/>
      <c r="G148" s="90"/>
      <c r="H148" s="87"/>
      <c r="I148" s="87"/>
      <c r="J148" s="87"/>
    </row>
    <row r="149" spans="3:10" ht="12.75">
      <c r="C149" s="88"/>
      <c r="D149" s="89"/>
      <c r="E149" s="89"/>
      <c r="F149" s="89"/>
      <c r="G149" s="90"/>
      <c r="H149" s="87"/>
      <c r="I149" s="87"/>
      <c r="J149" s="87"/>
    </row>
    <row r="150" spans="3:10" ht="12.75">
      <c r="C150" s="88"/>
      <c r="D150" s="89"/>
      <c r="E150" s="89"/>
      <c r="F150" s="89"/>
      <c r="G150" s="90"/>
      <c r="H150" s="87"/>
      <c r="I150" s="87"/>
      <c r="J150" s="87"/>
    </row>
    <row r="151" spans="3:10" ht="12.75">
      <c r="C151" s="88"/>
      <c r="D151" s="89"/>
      <c r="E151" s="89"/>
      <c r="F151" s="89"/>
      <c r="G151" s="90"/>
      <c r="H151" s="87"/>
      <c r="I151" s="87"/>
      <c r="J151" s="87"/>
    </row>
    <row r="152" spans="3:10" ht="12.75">
      <c r="C152" s="88"/>
      <c r="D152" s="89"/>
      <c r="E152" s="89"/>
      <c r="F152" s="89"/>
      <c r="G152" s="90"/>
      <c r="H152" s="87"/>
      <c r="I152" s="87"/>
      <c r="J152" s="87"/>
    </row>
    <row r="153" spans="3:10" ht="12.75">
      <c r="C153" s="88"/>
      <c r="D153" s="89"/>
      <c r="E153" s="89"/>
      <c r="F153" s="89"/>
      <c r="G153" s="90"/>
      <c r="H153" s="87"/>
      <c r="I153" s="87"/>
      <c r="J153" s="87"/>
    </row>
    <row r="154" spans="3:10" ht="12.75">
      <c r="C154" s="88"/>
      <c r="D154" s="89"/>
      <c r="E154" s="89"/>
      <c r="F154" s="89"/>
      <c r="G154" s="90"/>
      <c r="H154" s="87"/>
      <c r="I154" s="87"/>
      <c r="J154" s="87"/>
    </row>
    <row r="155" spans="3:10" ht="12.75">
      <c r="C155" s="88"/>
      <c r="D155" s="89"/>
      <c r="E155" s="89"/>
      <c r="F155" s="89"/>
      <c r="G155" s="90"/>
      <c r="H155" s="87"/>
      <c r="I155" s="87"/>
      <c r="J155" s="87"/>
    </row>
    <row r="156" spans="3:10" ht="12.75">
      <c r="C156" s="88"/>
      <c r="D156" s="89"/>
      <c r="E156" s="89"/>
      <c r="F156" s="89"/>
      <c r="G156" s="90"/>
      <c r="H156" s="87"/>
      <c r="I156" s="87"/>
      <c r="J156" s="87"/>
    </row>
    <row r="157" spans="3:10" ht="12.75">
      <c r="C157" s="88"/>
      <c r="D157" s="89"/>
      <c r="E157" s="89"/>
      <c r="F157" s="89"/>
      <c r="G157" s="90"/>
      <c r="H157" s="87"/>
      <c r="I157" s="87"/>
      <c r="J157" s="87"/>
    </row>
    <row r="158" spans="3:10" ht="12.75">
      <c r="C158" s="88"/>
      <c r="D158" s="89"/>
      <c r="E158" s="89"/>
      <c r="F158" s="89"/>
      <c r="G158" s="90"/>
      <c r="H158" s="87"/>
      <c r="I158" s="87"/>
      <c r="J158" s="87"/>
    </row>
    <row r="159" spans="3:10" ht="12.75">
      <c r="C159" s="88"/>
      <c r="D159" s="89"/>
      <c r="E159" s="89"/>
      <c r="F159" s="89"/>
      <c r="G159" s="90"/>
      <c r="H159" s="87"/>
      <c r="I159" s="87"/>
      <c r="J159" s="87"/>
    </row>
    <row r="160" spans="3:10" ht="12.75">
      <c r="C160" s="88"/>
      <c r="D160" s="89"/>
      <c r="E160" s="89"/>
      <c r="F160" s="89"/>
      <c r="G160" s="90"/>
      <c r="H160" s="87"/>
      <c r="I160" s="87"/>
      <c r="J160" s="87"/>
    </row>
    <row r="161" spans="3:10" ht="12.75">
      <c r="C161" s="88"/>
      <c r="D161" s="89"/>
      <c r="E161" s="89"/>
      <c r="F161" s="89"/>
      <c r="G161" s="90"/>
      <c r="H161" s="87"/>
      <c r="I161" s="87"/>
      <c r="J161" s="87"/>
    </row>
    <row r="162" spans="3:10" ht="12.75">
      <c r="C162" s="88"/>
      <c r="D162" s="89"/>
      <c r="E162" s="89"/>
      <c r="F162" s="89"/>
      <c r="G162" s="90"/>
      <c r="H162" s="87"/>
      <c r="I162" s="87"/>
      <c r="J162" s="87"/>
    </row>
    <row r="163" spans="3:10" ht="12.75">
      <c r="C163" s="88"/>
      <c r="D163" s="89"/>
      <c r="E163" s="89"/>
      <c r="F163" s="89"/>
      <c r="G163" s="90"/>
      <c r="H163" s="87"/>
      <c r="I163" s="87"/>
      <c r="J163" s="87"/>
    </row>
    <row r="164" spans="3:10" ht="12.75">
      <c r="C164" s="88"/>
      <c r="D164" s="89"/>
      <c r="E164" s="89"/>
      <c r="F164" s="89"/>
      <c r="G164" s="90"/>
      <c r="H164" s="87"/>
      <c r="I164" s="87"/>
      <c r="J164" s="87"/>
    </row>
    <row r="165" spans="3:10" ht="12.75">
      <c r="C165" s="88"/>
      <c r="D165" s="89"/>
      <c r="E165" s="89"/>
      <c r="F165" s="89"/>
      <c r="G165" s="90"/>
      <c r="H165" s="87"/>
      <c r="I165" s="87"/>
      <c r="J165" s="87"/>
    </row>
    <row r="166" spans="3:10" ht="12.75">
      <c r="C166" s="88"/>
      <c r="D166" s="89"/>
      <c r="E166" s="89"/>
      <c r="F166" s="89"/>
      <c r="G166" s="90"/>
      <c r="H166" s="87"/>
      <c r="I166" s="87"/>
      <c r="J166" s="87"/>
    </row>
    <row r="167" spans="3:10" ht="12.75">
      <c r="C167" s="88"/>
      <c r="D167" s="89"/>
      <c r="E167" s="89"/>
      <c r="F167" s="89"/>
      <c r="G167" s="90"/>
      <c r="H167" s="87"/>
      <c r="I167" s="87"/>
      <c r="J167" s="87"/>
    </row>
    <row r="168" spans="3:10" ht="12.75">
      <c r="C168" s="88"/>
      <c r="D168" s="89"/>
      <c r="E168" s="89"/>
      <c r="F168" s="89"/>
      <c r="G168" s="90"/>
      <c r="H168" s="87"/>
      <c r="I168" s="87"/>
      <c r="J168" s="87"/>
    </row>
    <row r="169" spans="3:10" ht="12.75">
      <c r="C169" s="88"/>
      <c r="D169" s="89"/>
      <c r="E169" s="89"/>
      <c r="F169" s="89"/>
      <c r="G169" s="90"/>
      <c r="H169" s="87"/>
      <c r="I169" s="87"/>
      <c r="J169" s="87"/>
    </row>
    <row r="170" spans="3:10" ht="12.75">
      <c r="C170" s="88"/>
      <c r="D170" s="89"/>
      <c r="E170" s="89"/>
      <c r="F170" s="89"/>
      <c r="G170" s="90"/>
      <c r="H170" s="87"/>
      <c r="I170" s="87"/>
      <c r="J170" s="87"/>
    </row>
    <row r="171" spans="3:10" ht="12.75">
      <c r="C171" s="88"/>
      <c r="D171" s="89"/>
      <c r="E171" s="89"/>
      <c r="F171" s="89"/>
      <c r="G171" s="90"/>
      <c r="H171" s="87"/>
      <c r="I171" s="87"/>
      <c r="J171" s="87"/>
    </row>
    <row r="172" spans="3:10" ht="12.75">
      <c r="C172" s="88"/>
      <c r="D172" s="89"/>
      <c r="E172" s="89"/>
      <c r="F172" s="89"/>
      <c r="G172" s="90"/>
      <c r="H172" s="87"/>
      <c r="I172" s="87"/>
      <c r="J172" s="87"/>
    </row>
    <row r="173" spans="3:10" ht="12.75">
      <c r="C173" s="88"/>
      <c r="D173" s="89"/>
      <c r="E173" s="89"/>
      <c r="F173" s="89"/>
      <c r="G173" s="90"/>
      <c r="H173" s="87"/>
      <c r="I173" s="87"/>
      <c r="J173" s="87"/>
    </row>
    <row r="174" spans="3:10" ht="12.75">
      <c r="C174" s="88"/>
      <c r="D174" s="89"/>
      <c r="E174" s="89"/>
      <c r="F174" s="89"/>
      <c r="G174" s="90"/>
      <c r="H174" s="87"/>
      <c r="I174" s="87"/>
      <c r="J174" s="87"/>
    </row>
    <row r="175" spans="3:10" ht="12.75">
      <c r="C175" s="88"/>
      <c r="D175" s="89"/>
      <c r="E175" s="89"/>
      <c r="F175" s="89"/>
      <c r="G175" s="90"/>
      <c r="H175" s="87"/>
      <c r="I175" s="87"/>
      <c r="J175" s="87"/>
    </row>
    <row r="176" spans="3:10" ht="12.75">
      <c r="C176" s="88"/>
      <c r="D176" s="89"/>
      <c r="E176" s="89"/>
      <c r="F176" s="89"/>
      <c r="G176" s="90"/>
      <c r="H176" s="87"/>
      <c r="I176" s="87"/>
      <c r="J176" s="87"/>
    </row>
    <row r="177" spans="3:10" ht="12.75">
      <c r="C177" s="88"/>
      <c r="D177" s="89"/>
      <c r="E177" s="89"/>
      <c r="F177" s="89"/>
      <c r="G177" s="90"/>
      <c r="H177" s="87"/>
      <c r="I177" s="87"/>
      <c r="J177" s="87"/>
    </row>
    <row r="178" spans="3:10" ht="12.75">
      <c r="C178" s="88"/>
      <c r="D178" s="89"/>
      <c r="E178" s="89"/>
      <c r="F178" s="89"/>
      <c r="G178" s="90"/>
      <c r="H178" s="87"/>
      <c r="I178" s="87"/>
      <c r="J178" s="87"/>
    </row>
    <row r="179" spans="3:10" ht="12.75">
      <c r="C179" s="88"/>
      <c r="D179" s="89"/>
      <c r="E179" s="89"/>
      <c r="F179" s="89"/>
      <c r="G179" s="90"/>
      <c r="H179" s="87"/>
      <c r="I179" s="87"/>
      <c r="J179" s="87"/>
    </row>
    <row r="180" spans="3:10" ht="12.75">
      <c r="C180" s="88"/>
      <c r="D180" s="89"/>
      <c r="E180" s="89"/>
      <c r="F180" s="89"/>
      <c r="G180" s="90"/>
      <c r="H180" s="87"/>
      <c r="I180" s="87"/>
      <c r="J180" s="87"/>
    </row>
    <row r="181" spans="3:10" ht="12.75">
      <c r="C181" s="88"/>
      <c r="D181" s="89"/>
      <c r="E181" s="89"/>
      <c r="F181" s="89"/>
      <c r="G181" s="90"/>
      <c r="H181" s="87"/>
      <c r="I181" s="87"/>
      <c r="J181" s="87"/>
    </row>
    <row r="182" spans="3:10" ht="12.75">
      <c r="C182" s="88"/>
      <c r="D182" s="89"/>
      <c r="E182" s="89"/>
      <c r="F182" s="89"/>
      <c r="G182" s="90"/>
      <c r="H182" s="87"/>
      <c r="I182" s="87"/>
      <c r="J182" s="87"/>
    </row>
    <row r="183" spans="3:10" ht="12.75">
      <c r="C183" s="88"/>
      <c r="D183" s="89"/>
      <c r="E183" s="89"/>
      <c r="F183" s="89"/>
      <c r="G183" s="90"/>
      <c r="H183" s="87"/>
      <c r="I183" s="87"/>
      <c r="J183" s="87"/>
    </row>
    <row r="184" spans="3:10" ht="12.75">
      <c r="C184" s="88"/>
      <c r="D184" s="89"/>
      <c r="E184" s="89"/>
      <c r="F184" s="89"/>
      <c r="G184" s="90"/>
      <c r="H184" s="87"/>
      <c r="I184" s="87"/>
      <c r="J184" s="87"/>
    </row>
    <row r="185" spans="3:10" ht="12.75">
      <c r="C185" s="88"/>
      <c r="D185" s="89"/>
      <c r="E185" s="89"/>
      <c r="F185" s="89"/>
      <c r="G185" s="90"/>
      <c r="H185" s="87"/>
      <c r="I185" s="87"/>
      <c r="J185" s="87"/>
    </row>
    <row r="186" spans="3:10" ht="12.75">
      <c r="C186" s="88"/>
      <c r="D186" s="89"/>
      <c r="E186" s="89"/>
      <c r="F186" s="89"/>
      <c r="G186" s="90"/>
      <c r="H186" s="87"/>
      <c r="I186" s="87"/>
      <c r="J186" s="87"/>
    </row>
    <row r="187" spans="3:10" ht="12.75">
      <c r="C187" s="88"/>
      <c r="D187" s="89"/>
      <c r="E187" s="89"/>
      <c r="F187" s="89"/>
      <c r="G187" s="90"/>
      <c r="H187" s="87"/>
      <c r="I187" s="87"/>
      <c r="J187" s="87"/>
    </row>
    <row r="188" spans="3:10" ht="12.75">
      <c r="C188" s="88"/>
      <c r="D188" s="89"/>
      <c r="E188" s="89"/>
      <c r="F188" s="89"/>
      <c r="G188" s="90"/>
      <c r="H188" s="87"/>
      <c r="I188" s="87"/>
      <c r="J188" s="87"/>
    </row>
    <row r="189" spans="3:10" ht="12.75">
      <c r="C189" s="88"/>
      <c r="D189" s="89"/>
      <c r="E189" s="89"/>
      <c r="F189" s="89"/>
      <c r="G189" s="90"/>
      <c r="H189" s="87"/>
      <c r="I189" s="87"/>
      <c r="J189" s="87"/>
    </row>
    <row r="190" spans="3:10" ht="12.75">
      <c r="C190" s="88"/>
      <c r="D190" s="89"/>
      <c r="E190" s="89"/>
      <c r="F190" s="89"/>
      <c r="G190" s="90"/>
      <c r="H190" s="87"/>
      <c r="I190" s="87"/>
      <c r="J190" s="87"/>
    </row>
    <row r="191" spans="3:10" ht="12.75">
      <c r="C191" s="88"/>
      <c r="D191" s="89"/>
      <c r="E191" s="89"/>
      <c r="F191" s="89"/>
      <c r="G191" s="90"/>
      <c r="H191" s="87"/>
      <c r="I191" s="87"/>
      <c r="J191" s="87"/>
    </row>
    <row r="192" spans="3:10" ht="12.75">
      <c r="C192" s="88"/>
      <c r="D192" s="89"/>
      <c r="E192" s="89"/>
      <c r="F192" s="89"/>
      <c r="G192" s="90"/>
      <c r="H192" s="87"/>
      <c r="I192" s="87"/>
      <c r="J192" s="87"/>
    </row>
    <row r="193" spans="3:10" ht="12.75">
      <c r="C193" s="88"/>
      <c r="D193" s="89"/>
      <c r="E193" s="89"/>
      <c r="F193" s="89"/>
      <c r="G193" s="90"/>
      <c r="H193" s="87"/>
      <c r="I193" s="87"/>
      <c r="J193" s="87"/>
    </row>
    <row r="194" spans="3:10" ht="12.75">
      <c r="C194" s="88"/>
      <c r="D194" s="89"/>
      <c r="E194" s="89"/>
      <c r="F194" s="89"/>
      <c r="G194" s="90"/>
      <c r="H194" s="87"/>
      <c r="I194" s="87"/>
      <c r="J194" s="87"/>
    </row>
    <row r="195" spans="3:10" ht="12.75">
      <c r="C195" s="88"/>
      <c r="D195" s="89"/>
      <c r="E195" s="89"/>
      <c r="F195" s="89"/>
      <c r="G195" s="90"/>
      <c r="H195" s="87"/>
      <c r="I195" s="87"/>
      <c r="J195" s="87"/>
    </row>
    <row r="196" spans="3:10" ht="12.75">
      <c r="C196" s="88"/>
      <c r="D196" s="89"/>
      <c r="E196" s="89"/>
      <c r="F196" s="89"/>
      <c r="G196" s="90"/>
      <c r="H196" s="87"/>
      <c r="I196" s="87"/>
      <c r="J196" s="87"/>
    </row>
    <row r="197" spans="3:10" ht="12.75">
      <c r="C197" s="88"/>
      <c r="D197" s="89"/>
      <c r="E197" s="89"/>
      <c r="F197" s="89"/>
      <c r="G197" s="90"/>
      <c r="H197" s="87"/>
      <c r="I197" s="87"/>
      <c r="J197" s="87"/>
    </row>
    <row r="198" spans="3:10" ht="12.75">
      <c r="C198" s="88"/>
      <c r="D198" s="89"/>
      <c r="E198" s="89"/>
      <c r="F198" s="89"/>
      <c r="G198" s="90"/>
      <c r="H198" s="87"/>
      <c r="I198" s="87"/>
      <c r="J198" s="87"/>
    </row>
    <row r="199" spans="3:10" ht="12.75">
      <c r="C199" s="88"/>
      <c r="D199" s="89"/>
      <c r="E199" s="89"/>
      <c r="F199" s="89"/>
      <c r="G199" s="90"/>
      <c r="H199" s="87"/>
      <c r="I199" s="87"/>
      <c r="J199" s="87"/>
    </row>
    <row r="200" spans="3:10" ht="12.75">
      <c r="C200" s="88"/>
      <c r="D200" s="89"/>
      <c r="E200" s="89"/>
      <c r="F200" s="89"/>
      <c r="G200" s="90"/>
      <c r="H200" s="87"/>
      <c r="I200" s="87"/>
      <c r="J200" s="87"/>
    </row>
    <row r="201" spans="3:10" ht="12.75">
      <c r="C201" s="88"/>
      <c r="D201" s="89"/>
      <c r="E201" s="89"/>
      <c r="F201" s="89"/>
      <c r="G201" s="90"/>
      <c r="H201" s="87"/>
      <c r="I201" s="87"/>
      <c r="J201" s="87"/>
    </row>
    <row r="202" spans="3:10" ht="12.75">
      <c r="C202" s="88"/>
      <c r="D202" s="89"/>
      <c r="E202" s="89"/>
      <c r="F202" s="89"/>
      <c r="G202" s="90"/>
      <c r="H202" s="87"/>
      <c r="I202" s="87"/>
      <c r="J202" s="87"/>
    </row>
    <row r="203" spans="3:10" ht="12.75">
      <c r="C203" s="88"/>
      <c r="D203" s="89"/>
      <c r="E203" s="89"/>
      <c r="F203" s="89"/>
      <c r="G203" s="90"/>
      <c r="H203" s="87"/>
      <c r="I203" s="87"/>
      <c r="J203" s="87"/>
    </row>
    <row r="204" spans="3:10" ht="12.75">
      <c r="C204" s="88"/>
      <c r="D204" s="89"/>
      <c r="E204" s="89"/>
      <c r="F204" s="89"/>
      <c r="G204" s="90"/>
      <c r="H204" s="87"/>
      <c r="I204" s="87"/>
      <c r="J204" s="87"/>
    </row>
    <row r="205" spans="3:10" ht="12.75">
      <c r="C205" s="88"/>
      <c r="D205" s="89"/>
      <c r="E205" s="89"/>
      <c r="F205" s="89"/>
      <c r="G205" s="90"/>
      <c r="H205" s="87"/>
      <c r="I205" s="87"/>
      <c r="J205" s="87"/>
    </row>
    <row r="206" spans="3:10" ht="12.75">
      <c r="C206" s="88"/>
      <c r="D206" s="89"/>
      <c r="E206" s="89"/>
      <c r="F206" s="89"/>
      <c r="G206" s="90"/>
      <c r="H206" s="87"/>
      <c r="I206" s="87"/>
      <c r="J206" s="87"/>
    </row>
    <row r="207" spans="3:10" ht="12.75">
      <c r="C207" s="88"/>
      <c r="D207" s="89"/>
      <c r="E207" s="89"/>
      <c r="F207" s="89"/>
      <c r="G207" s="90"/>
      <c r="H207" s="87"/>
      <c r="I207" s="87"/>
      <c r="J207" s="87"/>
    </row>
    <row r="208" spans="3:10" ht="12.75">
      <c r="C208" s="88"/>
      <c r="D208" s="89"/>
      <c r="E208" s="89"/>
      <c r="F208" s="89"/>
      <c r="G208" s="90"/>
      <c r="H208" s="87"/>
      <c r="I208" s="87"/>
      <c r="J208" s="87"/>
    </row>
    <row r="209" spans="3:10" ht="12.75">
      <c r="C209" s="88"/>
      <c r="D209" s="89"/>
      <c r="E209" s="89"/>
      <c r="F209" s="89"/>
      <c r="G209" s="90"/>
      <c r="H209" s="87"/>
      <c r="I209" s="87"/>
      <c r="J209" s="87"/>
    </row>
    <row r="210" spans="3:10" ht="12.75">
      <c r="C210" s="88"/>
      <c r="D210" s="89"/>
      <c r="E210" s="89"/>
      <c r="F210" s="89"/>
      <c r="G210" s="90"/>
      <c r="H210" s="87"/>
      <c r="I210" s="87"/>
      <c r="J210" s="87"/>
    </row>
    <row r="211" spans="3:10" ht="12.75">
      <c r="C211" s="88"/>
      <c r="D211" s="89"/>
      <c r="E211" s="89"/>
      <c r="F211" s="89"/>
      <c r="G211" s="90"/>
      <c r="H211" s="87"/>
      <c r="I211" s="87"/>
      <c r="J211" s="87"/>
    </row>
    <row r="212" spans="3:10" ht="12.75">
      <c r="C212" s="88"/>
      <c r="D212" s="89"/>
      <c r="E212" s="89"/>
      <c r="F212" s="89"/>
      <c r="G212" s="90"/>
      <c r="H212" s="87"/>
      <c r="I212" s="87"/>
      <c r="J212" s="87"/>
    </row>
    <row r="213" spans="3:10" ht="12.75">
      <c r="C213" s="88"/>
      <c r="D213" s="89"/>
      <c r="E213" s="89"/>
      <c r="F213" s="89"/>
      <c r="G213" s="90"/>
      <c r="H213" s="87"/>
      <c r="I213" s="87"/>
      <c r="J213" s="87"/>
    </row>
    <row r="214" spans="3:10" ht="12.75">
      <c r="C214" s="88"/>
      <c r="D214" s="89"/>
      <c r="E214" s="89"/>
      <c r="F214" s="89"/>
      <c r="G214" s="90"/>
      <c r="H214" s="87"/>
      <c r="I214" s="87"/>
      <c r="J214" s="87"/>
    </row>
    <row r="215" spans="3:10" ht="12.75">
      <c r="C215" s="88"/>
      <c r="D215" s="89"/>
      <c r="E215" s="89"/>
      <c r="F215" s="89"/>
      <c r="G215" s="90"/>
      <c r="H215" s="87"/>
      <c r="I215" s="87"/>
      <c r="J215" s="87"/>
    </row>
    <row r="216" spans="3:10" ht="12.75">
      <c r="C216" s="88"/>
      <c r="D216" s="89"/>
      <c r="E216" s="89"/>
      <c r="F216" s="89"/>
      <c r="G216" s="90"/>
      <c r="H216" s="87"/>
      <c r="I216" s="87"/>
      <c r="J216" s="87"/>
    </row>
    <row r="217" spans="3:10" ht="12.75">
      <c r="C217" s="88"/>
      <c r="D217" s="89"/>
      <c r="E217" s="89"/>
      <c r="F217" s="89"/>
      <c r="G217" s="90"/>
      <c r="H217" s="87"/>
      <c r="I217" s="87"/>
      <c r="J217" s="87"/>
    </row>
    <row r="218" spans="3:10" ht="12.75">
      <c r="C218" s="88"/>
      <c r="D218" s="89"/>
      <c r="E218" s="89"/>
      <c r="F218" s="89"/>
      <c r="G218" s="90"/>
      <c r="H218" s="87"/>
      <c r="I218" s="87"/>
      <c r="J218" s="87"/>
    </row>
    <row r="219" spans="3:10" ht="12.75">
      <c r="C219" s="88"/>
      <c r="D219" s="89"/>
      <c r="E219" s="89"/>
      <c r="F219" s="89"/>
      <c r="G219" s="90"/>
      <c r="H219" s="87"/>
      <c r="I219" s="87"/>
      <c r="J219" s="87"/>
    </row>
    <row r="220" spans="3:10" ht="12.75">
      <c r="C220" s="88"/>
      <c r="D220" s="89"/>
      <c r="E220" s="89"/>
      <c r="F220" s="89"/>
      <c r="G220" s="90"/>
      <c r="H220" s="87"/>
      <c r="I220" s="87"/>
      <c r="J220" s="87"/>
    </row>
    <row r="221" spans="3:10" ht="12.75">
      <c r="C221" s="88"/>
      <c r="D221" s="89"/>
      <c r="E221" s="89"/>
      <c r="F221" s="89"/>
      <c r="G221" s="90"/>
      <c r="H221" s="87"/>
      <c r="I221" s="87"/>
      <c r="J221" s="87"/>
    </row>
    <row r="222" spans="3:10" ht="12.75">
      <c r="C222" s="88"/>
      <c r="D222" s="89"/>
      <c r="E222" s="89"/>
      <c r="F222" s="89"/>
      <c r="G222" s="90"/>
      <c r="H222" s="87"/>
      <c r="I222" s="87"/>
      <c r="J222" s="87"/>
    </row>
    <row r="223" spans="3:10" ht="12.75">
      <c r="C223" s="88"/>
      <c r="D223" s="89"/>
      <c r="E223" s="89"/>
      <c r="F223" s="89"/>
      <c r="G223" s="90"/>
      <c r="H223" s="87"/>
      <c r="I223" s="87"/>
      <c r="J223" s="87"/>
    </row>
    <row r="224" spans="3:10" ht="12.75">
      <c r="C224" s="88"/>
      <c r="D224" s="89"/>
      <c r="E224" s="89"/>
      <c r="F224" s="89"/>
      <c r="G224" s="90"/>
      <c r="H224" s="87"/>
      <c r="I224" s="87"/>
      <c r="J224" s="87"/>
    </row>
    <row r="225" spans="3:10" ht="12.75">
      <c r="C225" s="88"/>
      <c r="D225" s="89"/>
      <c r="E225" s="89"/>
      <c r="F225" s="89"/>
      <c r="G225" s="90"/>
      <c r="H225" s="87"/>
      <c r="I225" s="87"/>
      <c r="J225" s="87"/>
    </row>
    <row r="226" spans="3:10" ht="12.75">
      <c r="C226" s="88"/>
      <c r="D226" s="89"/>
      <c r="E226" s="89"/>
      <c r="F226" s="89"/>
      <c r="G226" s="90"/>
      <c r="H226" s="87"/>
      <c r="I226" s="87"/>
      <c r="J226" s="87"/>
    </row>
    <row r="227" spans="3:10" ht="12.75">
      <c r="C227" s="88"/>
      <c r="D227" s="89"/>
      <c r="E227" s="89"/>
      <c r="F227" s="89"/>
      <c r="G227" s="90"/>
      <c r="H227" s="87"/>
      <c r="I227" s="87"/>
      <c r="J227" s="87"/>
    </row>
    <row r="228" spans="3:10" ht="12.75">
      <c r="C228" s="88"/>
      <c r="D228" s="89"/>
      <c r="E228" s="89"/>
      <c r="F228" s="89"/>
      <c r="G228" s="90"/>
      <c r="H228" s="87"/>
      <c r="I228" s="87"/>
      <c r="J228" s="87"/>
    </row>
    <row r="229" spans="3:10" ht="12.75">
      <c r="C229" s="88"/>
      <c r="D229" s="89"/>
      <c r="E229" s="89"/>
      <c r="F229" s="89"/>
      <c r="G229" s="90"/>
      <c r="H229" s="87"/>
      <c r="I229" s="87"/>
      <c r="J229" s="87"/>
    </row>
    <row r="230" spans="3:10" ht="12.75">
      <c r="C230" s="88"/>
      <c r="D230" s="89"/>
      <c r="E230" s="89"/>
      <c r="F230" s="89"/>
      <c r="G230" s="90"/>
      <c r="H230" s="87"/>
      <c r="I230" s="87"/>
      <c r="J230" s="87"/>
    </row>
    <row r="231" spans="3:10" ht="12.75">
      <c r="C231" s="88"/>
      <c r="D231" s="89"/>
      <c r="E231" s="89"/>
      <c r="F231" s="89"/>
      <c r="G231" s="90"/>
      <c r="H231" s="87"/>
      <c r="I231" s="87"/>
      <c r="J231" s="87"/>
    </row>
    <row r="232" spans="3:10" ht="12.75">
      <c r="C232" s="88"/>
      <c r="D232" s="89"/>
      <c r="E232" s="89"/>
      <c r="F232" s="89"/>
      <c r="G232" s="90"/>
      <c r="H232" s="87"/>
      <c r="I232" s="87"/>
      <c r="J232" s="87"/>
    </row>
    <row r="233" spans="3:10" ht="12.75">
      <c r="C233" s="88"/>
      <c r="D233" s="89"/>
      <c r="E233" s="89"/>
      <c r="F233" s="89"/>
      <c r="G233" s="90"/>
      <c r="H233" s="87"/>
      <c r="I233" s="87"/>
      <c r="J233" s="87"/>
    </row>
    <row r="234" spans="3:10" ht="12.75">
      <c r="C234" s="88"/>
      <c r="D234" s="89"/>
      <c r="E234" s="89"/>
      <c r="F234" s="89"/>
      <c r="G234" s="90"/>
      <c r="H234" s="87"/>
      <c r="I234" s="87"/>
      <c r="J234" s="87"/>
    </row>
    <row r="235" spans="3:10" ht="12.75">
      <c r="C235" s="88"/>
      <c r="D235" s="89"/>
      <c r="E235" s="89"/>
      <c r="F235" s="89"/>
      <c r="G235" s="90"/>
      <c r="H235" s="87"/>
      <c r="I235" s="87"/>
      <c r="J235" s="87"/>
    </row>
    <row r="236" spans="3:10" ht="12.75">
      <c r="C236" s="88"/>
      <c r="D236" s="89"/>
      <c r="E236" s="89"/>
      <c r="F236" s="89"/>
      <c r="G236" s="90"/>
      <c r="H236" s="87"/>
      <c r="I236" s="87"/>
      <c r="J236" s="87"/>
    </row>
    <row r="237" spans="3:10" ht="12.75">
      <c r="C237" s="88"/>
      <c r="D237" s="89"/>
      <c r="E237" s="89"/>
      <c r="F237" s="89"/>
      <c r="G237" s="90"/>
      <c r="H237" s="87"/>
      <c r="I237" s="87"/>
      <c r="J237" s="87"/>
    </row>
  </sheetData>
  <printOptions/>
  <pageMargins left="0.3937007874015748" right="0.3937007874015748" top="0.6" bottom="0.6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6"/>
  <sheetViews>
    <sheetView showZeros="0" view="pageBreakPreview" zoomScaleSheetLayoutView="100" workbookViewId="0" topLeftCell="A1">
      <pane xSplit="4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5" sqref="F25:F29"/>
    </sheetView>
  </sheetViews>
  <sheetFormatPr defaultColWidth="9.140625" defaultRowHeight="12.75"/>
  <cols>
    <col min="1" max="1" width="4.7109375" style="0" customWidth="1"/>
    <col min="2" max="3" width="6.7109375" style="0" customWidth="1"/>
    <col min="4" max="4" width="26.140625" style="0" customWidth="1"/>
    <col min="5" max="5" width="21.28125" style="127" customWidth="1"/>
    <col min="6" max="6" width="8.421875" style="127" customWidth="1"/>
    <col min="7" max="7" width="13.421875" style="0" customWidth="1"/>
    <col min="8" max="8" width="16.00390625" style="0" customWidth="1"/>
    <col min="9" max="10" width="11.28125" style="0" hidden="1" customWidth="1"/>
    <col min="11" max="11" width="11.28125" style="0" customWidth="1"/>
    <col min="12" max="13" width="11.140625" style="0" bestFit="1" customWidth="1"/>
    <col min="14" max="14" width="10.140625" style="0" bestFit="1" customWidth="1"/>
    <col min="15" max="15" width="10.7109375" style="0" customWidth="1"/>
    <col min="16" max="17" width="7.140625" style="0" hidden="1" customWidth="1"/>
    <col min="18" max="18" width="0" style="0" hidden="1" customWidth="1"/>
    <col min="19" max="19" width="11.140625" style="0" hidden="1" customWidth="1"/>
    <col min="20" max="20" width="0" style="0" hidden="1" customWidth="1"/>
    <col min="21" max="21" width="10.57421875" style="0" customWidth="1"/>
    <col min="23" max="23" width="11.140625" style="0" bestFit="1" customWidth="1"/>
  </cols>
  <sheetData>
    <row r="1" spans="1:21" ht="12.75">
      <c r="A1" s="126"/>
      <c r="B1" s="126"/>
      <c r="C1" s="126"/>
      <c r="U1" s="422" t="s">
        <v>239</v>
      </c>
    </row>
    <row r="2" spans="1:21" ht="52.5" customHeight="1" thickBot="1">
      <c r="A2" s="358" t="s">
        <v>91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</row>
    <row r="3" spans="1:21" s="127" customFormat="1" ht="27.75" customHeight="1" thickBot="1">
      <c r="A3" s="359" t="s">
        <v>92</v>
      </c>
      <c r="B3" s="286" t="s">
        <v>93</v>
      </c>
      <c r="C3" s="286" t="s">
        <v>94</v>
      </c>
      <c r="D3" s="361" t="s">
        <v>95</v>
      </c>
      <c r="E3" s="361" t="s">
        <v>96</v>
      </c>
      <c r="F3" s="361" t="s">
        <v>97</v>
      </c>
      <c r="G3" s="361" t="s">
        <v>98</v>
      </c>
      <c r="H3" s="361" t="s">
        <v>99</v>
      </c>
      <c r="I3" s="325" t="s">
        <v>100</v>
      </c>
      <c r="K3" s="325" t="s">
        <v>101</v>
      </c>
      <c r="L3" s="363" t="s">
        <v>102</v>
      </c>
      <c r="M3" s="364"/>
      <c r="N3" s="364"/>
      <c r="O3" s="364"/>
      <c r="P3" s="364"/>
      <c r="Q3" s="364"/>
      <c r="R3" s="364"/>
      <c r="S3" s="364"/>
      <c r="T3" s="365"/>
      <c r="U3" s="361" t="s">
        <v>103</v>
      </c>
    </row>
    <row r="4" spans="1:21" s="127" customFormat="1" ht="13.5" thickBot="1">
      <c r="A4" s="360"/>
      <c r="B4" s="318"/>
      <c r="C4" s="318"/>
      <c r="D4" s="362"/>
      <c r="E4" s="360"/>
      <c r="F4" s="360"/>
      <c r="G4" s="360"/>
      <c r="H4" s="362"/>
      <c r="I4" s="357"/>
      <c r="J4" s="128">
        <v>2010</v>
      </c>
      <c r="K4" s="357"/>
      <c r="L4" s="129">
        <v>2011</v>
      </c>
      <c r="M4" s="130">
        <v>2012</v>
      </c>
      <c r="N4" s="130">
        <v>2013</v>
      </c>
      <c r="O4" s="130">
        <v>2014</v>
      </c>
      <c r="P4" s="130">
        <v>2015</v>
      </c>
      <c r="Q4" s="130">
        <v>2016</v>
      </c>
      <c r="R4" s="130">
        <v>2017</v>
      </c>
      <c r="S4" s="130">
        <v>2018</v>
      </c>
      <c r="T4" s="131">
        <v>2019</v>
      </c>
      <c r="U4" s="361"/>
    </row>
    <row r="5" spans="1:21" ht="12.75" customHeight="1">
      <c r="A5" s="284">
        <v>1</v>
      </c>
      <c r="B5" s="286">
        <v>150</v>
      </c>
      <c r="C5" s="286">
        <v>15013</v>
      </c>
      <c r="D5" s="323" t="s">
        <v>104</v>
      </c>
      <c r="E5" s="335" t="s">
        <v>105</v>
      </c>
      <c r="F5" s="321">
        <v>2010</v>
      </c>
      <c r="G5" s="132" t="s">
        <v>106</v>
      </c>
      <c r="H5" s="133" t="s">
        <v>107</v>
      </c>
      <c r="I5" s="134">
        <f>298805-298805</f>
        <v>0</v>
      </c>
      <c r="J5" s="135"/>
      <c r="K5" s="136">
        <f>SUM(I5:J5)</f>
        <v>0</v>
      </c>
      <c r="L5" s="136"/>
      <c r="M5" s="136"/>
      <c r="N5" s="136"/>
      <c r="O5" s="136"/>
      <c r="P5" s="136"/>
      <c r="Q5" s="136"/>
      <c r="R5" s="136"/>
      <c r="S5" s="136"/>
      <c r="T5" s="137"/>
      <c r="U5" s="322">
        <f>M13+N13+O13+P13+Q13+R13+S13+M14+N14+O14+P14+Q14+R14+T13+T14+S14</f>
        <v>0</v>
      </c>
    </row>
    <row r="6" spans="1:21" ht="12.75">
      <c r="A6" s="285"/>
      <c r="B6" s="287"/>
      <c r="C6" s="287"/>
      <c r="D6" s="319"/>
      <c r="E6" s="268"/>
      <c r="F6" s="267"/>
      <c r="G6" s="281">
        <f>SUM(K13:T13)</f>
        <v>2367985</v>
      </c>
      <c r="H6" s="139" t="s">
        <v>108</v>
      </c>
      <c r="I6" s="140"/>
      <c r="J6" s="141"/>
      <c r="K6" s="142">
        <f>SUM(I6:J6)</f>
        <v>0</v>
      </c>
      <c r="L6" s="142"/>
      <c r="M6" s="142"/>
      <c r="N6" s="142"/>
      <c r="O6" s="142"/>
      <c r="P6" s="142"/>
      <c r="Q6" s="142"/>
      <c r="R6" s="142"/>
      <c r="S6" s="142"/>
      <c r="T6" s="143"/>
      <c r="U6" s="264"/>
    </row>
    <row r="7" spans="1:21" ht="12.75">
      <c r="A7" s="285"/>
      <c r="B7" s="287"/>
      <c r="C7" s="287"/>
      <c r="D7" s="319"/>
      <c r="E7" s="268"/>
      <c r="F7" s="267"/>
      <c r="G7" s="317"/>
      <c r="H7" s="139" t="s">
        <v>109</v>
      </c>
      <c r="I7" s="140"/>
      <c r="J7" s="141">
        <f>298805-204</f>
        <v>298601</v>
      </c>
      <c r="K7" s="142">
        <f aca="true" t="shared" si="0" ref="K7:K13">J7</f>
        <v>298601</v>
      </c>
      <c r="L7" s="142">
        <v>56597</v>
      </c>
      <c r="M7" s="142"/>
      <c r="N7" s="142"/>
      <c r="O7" s="142"/>
      <c r="P7" s="142"/>
      <c r="Q7" s="142"/>
      <c r="R7" s="142"/>
      <c r="S7" s="142"/>
      <c r="T7" s="143"/>
      <c r="U7" s="264"/>
    </row>
    <row r="8" spans="1:21" ht="12.75">
      <c r="A8" s="285"/>
      <c r="B8" s="287"/>
      <c r="C8" s="287"/>
      <c r="D8" s="319"/>
      <c r="E8" s="268"/>
      <c r="F8" s="267"/>
      <c r="G8" s="145" t="s">
        <v>110</v>
      </c>
      <c r="H8" s="139" t="s">
        <v>111</v>
      </c>
      <c r="I8" s="140"/>
      <c r="J8" s="141"/>
      <c r="K8" s="142">
        <f t="shared" si="0"/>
        <v>0</v>
      </c>
      <c r="L8" s="142"/>
      <c r="M8" s="142"/>
      <c r="N8" s="142"/>
      <c r="O8" s="142"/>
      <c r="P8" s="142"/>
      <c r="Q8" s="142"/>
      <c r="R8" s="142"/>
      <c r="S8" s="142"/>
      <c r="T8" s="143"/>
      <c r="U8" s="264"/>
    </row>
    <row r="9" spans="1:21" ht="12.75">
      <c r="A9" s="285"/>
      <c r="B9" s="287"/>
      <c r="C9" s="287"/>
      <c r="D9" s="319"/>
      <c r="E9" s="268"/>
      <c r="F9" s="267"/>
      <c r="G9" s="281">
        <f>SUM(K14:T14)</f>
        <v>0</v>
      </c>
      <c r="H9" s="139" t="s">
        <v>112</v>
      </c>
      <c r="I9" s="140">
        <f>1693226-1693226</f>
        <v>0</v>
      </c>
      <c r="J9" s="141">
        <f>1693226-1155</f>
        <v>1692071</v>
      </c>
      <c r="K9" s="142">
        <f t="shared" si="0"/>
        <v>1692071</v>
      </c>
      <c r="L9" s="142">
        <v>320716</v>
      </c>
      <c r="M9" s="142"/>
      <c r="N9" s="142"/>
      <c r="O9" s="142"/>
      <c r="P9" s="142"/>
      <c r="Q9" s="142"/>
      <c r="R9" s="142"/>
      <c r="S9" s="142"/>
      <c r="T9" s="143"/>
      <c r="U9" s="264"/>
    </row>
    <row r="10" spans="1:21" ht="12.75">
      <c r="A10" s="285"/>
      <c r="B10" s="287"/>
      <c r="C10" s="287"/>
      <c r="D10" s="319"/>
      <c r="E10" s="268"/>
      <c r="F10" s="267">
        <v>2011</v>
      </c>
      <c r="G10" s="317"/>
      <c r="H10" s="139" t="s">
        <v>113</v>
      </c>
      <c r="I10" s="140"/>
      <c r="J10" s="141"/>
      <c r="K10" s="142">
        <f t="shared" si="0"/>
        <v>0</v>
      </c>
      <c r="L10" s="142"/>
      <c r="M10" s="142"/>
      <c r="N10" s="142"/>
      <c r="O10" s="142"/>
      <c r="P10" s="142"/>
      <c r="Q10" s="142"/>
      <c r="R10" s="142"/>
      <c r="S10" s="142"/>
      <c r="T10" s="143"/>
      <c r="U10" s="264"/>
    </row>
    <row r="11" spans="1:21" ht="12.75">
      <c r="A11" s="285"/>
      <c r="B11" s="287"/>
      <c r="C11" s="287"/>
      <c r="D11" s="319"/>
      <c r="E11" s="268"/>
      <c r="F11" s="267"/>
      <c r="G11" s="145" t="s">
        <v>114</v>
      </c>
      <c r="H11" s="139" t="s">
        <v>115</v>
      </c>
      <c r="I11" s="140"/>
      <c r="J11" s="141"/>
      <c r="K11" s="142">
        <f t="shared" si="0"/>
        <v>0</v>
      </c>
      <c r="L11" s="142"/>
      <c r="M11" s="142"/>
      <c r="N11" s="142"/>
      <c r="O11" s="142"/>
      <c r="P11" s="142"/>
      <c r="Q11" s="142"/>
      <c r="R11" s="142"/>
      <c r="S11" s="142"/>
      <c r="T11" s="143"/>
      <c r="U11" s="264"/>
    </row>
    <row r="12" spans="1:21" ht="12.75">
      <c r="A12" s="285"/>
      <c r="B12" s="287"/>
      <c r="C12" s="287"/>
      <c r="D12" s="319"/>
      <c r="E12" s="268"/>
      <c r="F12" s="267"/>
      <c r="G12" s="281">
        <f>G6+G9</f>
        <v>2367985</v>
      </c>
      <c r="H12" s="139" t="s">
        <v>116</v>
      </c>
      <c r="I12" s="140"/>
      <c r="J12" s="141"/>
      <c r="K12" s="142">
        <f t="shared" si="0"/>
        <v>0</v>
      </c>
      <c r="L12" s="142"/>
      <c r="M12" s="142"/>
      <c r="N12" s="142"/>
      <c r="O12" s="142"/>
      <c r="P12" s="142"/>
      <c r="Q12" s="142"/>
      <c r="R12" s="142"/>
      <c r="S12" s="142"/>
      <c r="T12" s="143"/>
      <c r="U12" s="264"/>
    </row>
    <row r="13" spans="1:21" ht="12.75">
      <c r="A13" s="285"/>
      <c r="B13" s="287"/>
      <c r="C13" s="287"/>
      <c r="D13" s="319"/>
      <c r="E13" s="268"/>
      <c r="F13" s="267"/>
      <c r="G13" s="282"/>
      <c r="H13" s="139" t="s">
        <v>117</v>
      </c>
      <c r="I13" s="146">
        <f>I5+I7+I9+I11</f>
        <v>0</v>
      </c>
      <c r="J13" s="147">
        <f>J5+J7+J9+J11</f>
        <v>1990672</v>
      </c>
      <c r="K13" s="142">
        <f t="shared" si="0"/>
        <v>1990672</v>
      </c>
      <c r="L13" s="148">
        <f aca="true" t="shared" si="1" ref="L13:T13">L5+L7+L9+L11</f>
        <v>377313</v>
      </c>
      <c r="M13" s="148">
        <f t="shared" si="1"/>
        <v>0</v>
      </c>
      <c r="N13" s="148">
        <f t="shared" si="1"/>
        <v>0</v>
      </c>
      <c r="O13" s="148">
        <f t="shared" si="1"/>
        <v>0</v>
      </c>
      <c r="P13" s="148">
        <f t="shared" si="1"/>
        <v>0</v>
      </c>
      <c r="Q13" s="148">
        <f t="shared" si="1"/>
        <v>0</v>
      </c>
      <c r="R13" s="148">
        <f t="shared" si="1"/>
        <v>0</v>
      </c>
      <c r="S13" s="148">
        <f t="shared" si="1"/>
        <v>0</v>
      </c>
      <c r="T13" s="149">
        <f t="shared" si="1"/>
        <v>0</v>
      </c>
      <c r="U13" s="264"/>
    </row>
    <row r="14" spans="1:21" ht="13.5" customHeight="1" thickBot="1">
      <c r="A14" s="313"/>
      <c r="B14" s="318"/>
      <c r="C14" s="318"/>
      <c r="D14" s="320"/>
      <c r="E14" s="265"/>
      <c r="F14" s="310"/>
      <c r="G14" s="283"/>
      <c r="H14" s="150" t="s">
        <v>118</v>
      </c>
      <c r="I14" s="151">
        <f>I6+I8+I10+I12</f>
        <v>0</v>
      </c>
      <c r="J14" s="152">
        <f>J6+J8+J10+J12</f>
        <v>0</v>
      </c>
      <c r="K14" s="153">
        <f>SUM(I14:J14)</f>
        <v>0</v>
      </c>
      <c r="L14" s="153">
        <f aca="true" t="shared" si="2" ref="L14:T14">L6+L8+L10+L12</f>
        <v>0</v>
      </c>
      <c r="M14" s="153">
        <f t="shared" si="2"/>
        <v>0</v>
      </c>
      <c r="N14" s="153">
        <f t="shared" si="2"/>
        <v>0</v>
      </c>
      <c r="O14" s="153">
        <f t="shared" si="2"/>
        <v>0</v>
      </c>
      <c r="P14" s="153">
        <f t="shared" si="2"/>
        <v>0</v>
      </c>
      <c r="Q14" s="153">
        <f t="shared" si="2"/>
        <v>0</v>
      </c>
      <c r="R14" s="153">
        <f t="shared" si="2"/>
        <v>0</v>
      </c>
      <c r="S14" s="153">
        <f t="shared" si="2"/>
        <v>0</v>
      </c>
      <c r="T14" s="154">
        <f t="shared" si="2"/>
        <v>0</v>
      </c>
      <c r="U14" s="307"/>
    </row>
    <row r="15" spans="1:21" ht="12.75" customHeight="1">
      <c r="A15" s="284">
        <f>A5+1</f>
        <v>2</v>
      </c>
      <c r="B15" s="287">
        <v>150</v>
      </c>
      <c r="C15" s="287">
        <v>15013</v>
      </c>
      <c r="D15" s="319" t="s">
        <v>119</v>
      </c>
      <c r="E15" s="269" t="s">
        <v>105</v>
      </c>
      <c r="F15" s="266">
        <v>2011</v>
      </c>
      <c r="G15" s="144" t="s">
        <v>106</v>
      </c>
      <c r="H15" s="155" t="s">
        <v>107</v>
      </c>
      <c r="I15" s="156">
        <f>298805-298805</f>
        <v>0</v>
      </c>
      <c r="J15" s="157"/>
      <c r="K15" s="158">
        <f>SUM(I15:J15)</f>
        <v>0</v>
      </c>
      <c r="L15" s="158"/>
      <c r="M15" s="158"/>
      <c r="N15" s="158"/>
      <c r="O15" s="158"/>
      <c r="P15" s="158"/>
      <c r="Q15" s="158"/>
      <c r="R15" s="158"/>
      <c r="S15" s="158"/>
      <c r="T15" s="159"/>
      <c r="U15" s="263">
        <f>M23+N23+O23+P23+Q23+R23+S23+M24+N24+O24+P24+Q24+R24+T23+T24+S24</f>
        <v>1923342</v>
      </c>
    </row>
    <row r="16" spans="1:21" ht="12.75" customHeight="1">
      <c r="A16" s="285"/>
      <c r="B16" s="287"/>
      <c r="C16" s="287"/>
      <c r="D16" s="319"/>
      <c r="E16" s="268"/>
      <c r="F16" s="267"/>
      <c r="G16" s="281">
        <f>SUM(K23:T23)</f>
        <v>1955698</v>
      </c>
      <c r="H16" s="139" t="s">
        <v>108</v>
      </c>
      <c r="I16" s="140"/>
      <c r="J16" s="141"/>
      <c r="K16" s="142">
        <f>SUM(I16:J16)</f>
        <v>0</v>
      </c>
      <c r="L16" s="142"/>
      <c r="M16" s="142"/>
      <c r="N16" s="142"/>
      <c r="O16" s="142"/>
      <c r="P16" s="142"/>
      <c r="Q16" s="142"/>
      <c r="R16" s="142"/>
      <c r="S16" s="142"/>
      <c r="T16" s="143"/>
      <c r="U16" s="264"/>
    </row>
    <row r="17" spans="1:21" ht="12.75" customHeight="1">
      <c r="A17" s="285"/>
      <c r="B17" s="287"/>
      <c r="C17" s="287"/>
      <c r="D17" s="319"/>
      <c r="E17" s="268"/>
      <c r="F17" s="267"/>
      <c r="G17" s="317"/>
      <c r="H17" s="139" t="s">
        <v>109</v>
      </c>
      <c r="I17" s="140"/>
      <c r="J17" s="141"/>
      <c r="K17" s="142"/>
      <c r="L17" s="142">
        <v>4853</v>
      </c>
      <c r="M17" s="142">
        <v>253335</v>
      </c>
      <c r="N17" s="142">
        <v>35167</v>
      </c>
      <c r="O17" s="142"/>
      <c r="P17" s="142"/>
      <c r="Q17" s="142"/>
      <c r="R17" s="142"/>
      <c r="S17" s="142"/>
      <c r="T17" s="143"/>
      <c r="U17" s="264"/>
    </row>
    <row r="18" spans="1:21" ht="12.75" customHeight="1">
      <c r="A18" s="285"/>
      <c r="B18" s="287"/>
      <c r="C18" s="287"/>
      <c r="D18" s="319"/>
      <c r="E18" s="268"/>
      <c r="F18" s="267"/>
      <c r="G18" s="145" t="s">
        <v>110</v>
      </c>
      <c r="H18" s="139" t="s">
        <v>111</v>
      </c>
      <c r="I18" s="140"/>
      <c r="J18" s="141"/>
      <c r="K18" s="142">
        <f>SUM(I18:J18)</f>
        <v>0</v>
      </c>
      <c r="L18" s="142"/>
      <c r="M18" s="142"/>
      <c r="N18" s="142"/>
      <c r="O18" s="142"/>
      <c r="P18" s="142"/>
      <c r="Q18" s="142"/>
      <c r="R18" s="142"/>
      <c r="S18" s="142"/>
      <c r="T18" s="143"/>
      <c r="U18" s="264"/>
    </row>
    <row r="19" spans="1:21" ht="12.75" customHeight="1">
      <c r="A19" s="285"/>
      <c r="B19" s="287"/>
      <c r="C19" s="287"/>
      <c r="D19" s="319"/>
      <c r="E19" s="268"/>
      <c r="F19" s="267"/>
      <c r="G19" s="281">
        <f>SUM(K24:T24)</f>
        <v>0</v>
      </c>
      <c r="H19" s="139" t="s">
        <v>112</v>
      </c>
      <c r="I19" s="140">
        <f>1693226-1693226</f>
        <v>0</v>
      </c>
      <c r="J19" s="141"/>
      <c r="K19" s="142"/>
      <c r="L19" s="142">
        <v>27503</v>
      </c>
      <c r="M19" s="142">
        <v>1435567</v>
      </c>
      <c r="N19" s="142">
        <v>199273</v>
      </c>
      <c r="O19" s="142"/>
      <c r="P19" s="142"/>
      <c r="Q19" s="142"/>
      <c r="R19" s="142"/>
      <c r="S19" s="142"/>
      <c r="T19" s="143"/>
      <c r="U19" s="264"/>
    </row>
    <row r="20" spans="1:21" ht="12.75" customHeight="1">
      <c r="A20" s="285"/>
      <c r="B20" s="287"/>
      <c r="C20" s="287"/>
      <c r="D20" s="319"/>
      <c r="E20" s="268"/>
      <c r="F20" s="267">
        <v>2013</v>
      </c>
      <c r="G20" s="317"/>
      <c r="H20" s="139" t="s">
        <v>113</v>
      </c>
      <c r="I20" s="140"/>
      <c r="J20" s="141"/>
      <c r="K20" s="142">
        <f>SUM(I20:J20)</f>
        <v>0</v>
      </c>
      <c r="L20" s="142"/>
      <c r="M20" s="142"/>
      <c r="N20" s="142"/>
      <c r="O20" s="142"/>
      <c r="P20" s="142"/>
      <c r="Q20" s="142"/>
      <c r="R20" s="142"/>
      <c r="S20" s="142"/>
      <c r="T20" s="143"/>
      <c r="U20" s="264"/>
    </row>
    <row r="21" spans="1:21" ht="12.75" customHeight="1">
      <c r="A21" s="285"/>
      <c r="B21" s="287"/>
      <c r="C21" s="287"/>
      <c r="D21" s="319"/>
      <c r="E21" s="268"/>
      <c r="F21" s="267"/>
      <c r="G21" s="145" t="s">
        <v>114</v>
      </c>
      <c r="H21" s="139" t="s">
        <v>115</v>
      </c>
      <c r="I21" s="140"/>
      <c r="J21" s="141"/>
      <c r="K21" s="142">
        <f>SUM(I21:J21)</f>
        <v>0</v>
      </c>
      <c r="L21" s="142"/>
      <c r="M21" s="142"/>
      <c r="N21" s="142"/>
      <c r="O21" s="142"/>
      <c r="P21" s="142"/>
      <c r="Q21" s="142"/>
      <c r="R21" s="142"/>
      <c r="S21" s="142"/>
      <c r="T21" s="143"/>
      <c r="U21" s="264"/>
    </row>
    <row r="22" spans="1:21" ht="12.75" customHeight="1">
      <c r="A22" s="285"/>
      <c r="B22" s="287"/>
      <c r="C22" s="287"/>
      <c r="D22" s="319"/>
      <c r="E22" s="268"/>
      <c r="F22" s="267"/>
      <c r="G22" s="281">
        <f>G16+G19</f>
        <v>1955698</v>
      </c>
      <c r="H22" s="139" t="s">
        <v>116</v>
      </c>
      <c r="I22" s="140"/>
      <c r="J22" s="141"/>
      <c r="K22" s="142">
        <f>SUM(I22:J22)</f>
        <v>0</v>
      </c>
      <c r="L22" s="142"/>
      <c r="M22" s="142"/>
      <c r="N22" s="142"/>
      <c r="O22" s="142"/>
      <c r="P22" s="142"/>
      <c r="Q22" s="142"/>
      <c r="R22" s="142"/>
      <c r="S22" s="142"/>
      <c r="T22" s="143"/>
      <c r="U22" s="264"/>
    </row>
    <row r="23" spans="1:21" ht="12.75" customHeight="1">
      <c r="A23" s="285"/>
      <c r="B23" s="287"/>
      <c r="C23" s="287"/>
      <c r="D23" s="319"/>
      <c r="E23" s="268"/>
      <c r="F23" s="267"/>
      <c r="G23" s="282"/>
      <c r="H23" s="139" t="s">
        <v>117</v>
      </c>
      <c r="I23" s="146">
        <f>I15+I17+I19+I21</f>
        <v>0</v>
      </c>
      <c r="J23" s="147">
        <f>J15+J17+J19+J21</f>
        <v>0</v>
      </c>
      <c r="K23" s="148"/>
      <c r="L23" s="148">
        <f aca="true" t="shared" si="3" ref="L23:T23">L15+L17+L19+L21</f>
        <v>32356</v>
      </c>
      <c r="M23" s="148">
        <f t="shared" si="3"/>
        <v>1688902</v>
      </c>
      <c r="N23" s="148">
        <f t="shared" si="3"/>
        <v>234440</v>
      </c>
      <c r="O23" s="148">
        <f t="shared" si="3"/>
        <v>0</v>
      </c>
      <c r="P23" s="148">
        <f t="shared" si="3"/>
        <v>0</v>
      </c>
      <c r="Q23" s="148">
        <f t="shared" si="3"/>
        <v>0</v>
      </c>
      <c r="R23" s="148">
        <f t="shared" si="3"/>
        <v>0</v>
      </c>
      <c r="S23" s="148">
        <f t="shared" si="3"/>
        <v>0</v>
      </c>
      <c r="T23" s="149">
        <f t="shared" si="3"/>
        <v>0</v>
      </c>
      <c r="U23" s="264"/>
    </row>
    <row r="24" spans="1:21" ht="12.75" customHeight="1" thickBot="1">
      <c r="A24" s="313"/>
      <c r="B24" s="318"/>
      <c r="C24" s="318"/>
      <c r="D24" s="320"/>
      <c r="E24" s="265"/>
      <c r="F24" s="310"/>
      <c r="G24" s="283"/>
      <c r="H24" s="150" t="s">
        <v>118</v>
      </c>
      <c r="I24" s="151">
        <f>I16+I18+I20+I22</f>
        <v>0</v>
      </c>
      <c r="J24" s="152">
        <f>J16+J18+J20+J22</f>
        <v>0</v>
      </c>
      <c r="K24" s="153">
        <f aca="true" t="shared" si="4" ref="K24:K44">SUM(I24:J24)</f>
        <v>0</v>
      </c>
      <c r="L24" s="153">
        <f aca="true" t="shared" si="5" ref="L24:T24">L16+L18+L20+L22</f>
        <v>0</v>
      </c>
      <c r="M24" s="153">
        <f t="shared" si="5"/>
        <v>0</v>
      </c>
      <c r="N24" s="153">
        <f t="shared" si="5"/>
        <v>0</v>
      </c>
      <c r="O24" s="153">
        <f t="shared" si="5"/>
        <v>0</v>
      </c>
      <c r="P24" s="153">
        <f t="shared" si="5"/>
        <v>0</v>
      </c>
      <c r="Q24" s="153">
        <f t="shared" si="5"/>
        <v>0</v>
      </c>
      <c r="R24" s="153">
        <f t="shared" si="5"/>
        <v>0</v>
      </c>
      <c r="S24" s="153">
        <f t="shared" si="5"/>
        <v>0</v>
      </c>
      <c r="T24" s="154">
        <f t="shared" si="5"/>
        <v>0</v>
      </c>
      <c r="U24" s="307"/>
    </row>
    <row r="25" spans="1:21" ht="12.75" customHeight="1">
      <c r="A25" s="284">
        <f>A15+1</f>
        <v>3</v>
      </c>
      <c r="B25" s="286">
        <v>600</v>
      </c>
      <c r="C25" s="286">
        <v>60004</v>
      </c>
      <c r="D25" s="323" t="s">
        <v>120</v>
      </c>
      <c r="E25" s="335" t="s">
        <v>121</v>
      </c>
      <c r="F25" s="321">
        <v>2010</v>
      </c>
      <c r="G25" s="132" t="s">
        <v>106</v>
      </c>
      <c r="H25" s="133" t="s">
        <v>107</v>
      </c>
      <c r="I25" s="134">
        <f>152307+88110-152307-88110</f>
        <v>0</v>
      </c>
      <c r="J25" s="135">
        <f>183866.96+-33383</f>
        <v>150483.96</v>
      </c>
      <c r="K25" s="136">
        <f t="shared" si="4"/>
        <v>150483.96</v>
      </c>
      <c r="L25" s="136">
        <f>42693+14300+33383</f>
        <v>90376</v>
      </c>
      <c r="M25" s="136"/>
      <c r="N25" s="136"/>
      <c r="O25" s="136"/>
      <c r="P25" s="136"/>
      <c r="Q25" s="136"/>
      <c r="R25" s="136"/>
      <c r="S25" s="136"/>
      <c r="T25" s="137"/>
      <c r="U25" s="322">
        <f>M33+N33+O33+P33+Q33+R33+S33+M34+N34+O34+P34+Q34+R34+T33+T34+S34</f>
        <v>0</v>
      </c>
    </row>
    <row r="26" spans="1:21" ht="12.75">
      <c r="A26" s="285"/>
      <c r="B26" s="287"/>
      <c r="C26" s="287"/>
      <c r="D26" s="319"/>
      <c r="E26" s="268"/>
      <c r="F26" s="267"/>
      <c r="G26" s="281">
        <f>SUM(K33:T33)</f>
        <v>692658.96</v>
      </c>
      <c r="H26" s="139" t="s">
        <v>108</v>
      </c>
      <c r="I26" s="140"/>
      <c r="J26" s="141"/>
      <c r="K26" s="142">
        <f t="shared" si="4"/>
        <v>0</v>
      </c>
      <c r="L26" s="142"/>
      <c r="M26" s="142"/>
      <c r="N26" s="142"/>
      <c r="O26" s="142"/>
      <c r="P26" s="142"/>
      <c r="Q26" s="142"/>
      <c r="R26" s="142"/>
      <c r="S26" s="142"/>
      <c r="T26" s="143"/>
      <c r="U26" s="264"/>
    </row>
    <row r="27" spans="1:21" ht="12.75">
      <c r="A27" s="285"/>
      <c r="B27" s="287"/>
      <c r="C27" s="287"/>
      <c r="D27" s="319"/>
      <c r="E27" s="268"/>
      <c r="F27" s="267"/>
      <c r="G27" s="317"/>
      <c r="H27" s="139" t="s">
        <v>109</v>
      </c>
      <c r="I27" s="140"/>
      <c r="J27" s="141"/>
      <c r="K27" s="142">
        <f t="shared" si="4"/>
        <v>0</v>
      </c>
      <c r="L27" s="142"/>
      <c r="M27" s="142"/>
      <c r="N27" s="142"/>
      <c r="O27" s="142"/>
      <c r="P27" s="142"/>
      <c r="Q27" s="142"/>
      <c r="R27" s="142"/>
      <c r="S27" s="142"/>
      <c r="T27" s="143"/>
      <c r="U27" s="264"/>
    </row>
    <row r="28" spans="1:21" ht="12.75">
      <c r="A28" s="285"/>
      <c r="B28" s="287"/>
      <c r="C28" s="287"/>
      <c r="D28" s="319"/>
      <c r="E28" s="268"/>
      <c r="F28" s="267"/>
      <c r="G28" s="145" t="s">
        <v>110</v>
      </c>
      <c r="H28" s="139" t="s">
        <v>111</v>
      </c>
      <c r="I28" s="140"/>
      <c r="J28" s="141"/>
      <c r="K28" s="142">
        <f t="shared" si="4"/>
        <v>0</v>
      </c>
      <c r="L28" s="142"/>
      <c r="M28" s="142"/>
      <c r="N28" s="142"/>
      <c r="O28" s="142"/>
      <c r="P28" s="142"/>
      <c r="Q28" s="142"/>
      <c r="R28" s="142"/>
      <c r="S28" s="142"/>
      <c r="T28" s="143"/>
      <c r="U28" s="264"/>
    </row>
    <row r="29" spans="1:21" ht="12.75">
      <c r="A29" s="285"/>
      <c r="B29" s="287"/>
      <c r="C29" s="287"/>
      <c r="D29" s="319"/>
      <c r="E29" s="268"/>
      <c r="F29" s="267"/>
      <c r="G29" s="281">
        <f>SUM(K34:T34)</f>
        <v>0</v>
      </c>
      <c r="H29" s="139" t="s">
        <v>112</v>
      </c>
      <c r="I29" s="140">
        <f>355383-355383</f>
        <v>0</v>
      </c>
      <c r="J29" s="141">
        <f>304768</f>
        <v>304768</v>
      </c>
      <c r="K29" s="142">
        <f t="shared" si="4"/>
        <v>304768</v>
      </c>
      <c r="L29" s="142">
        <f>99617+47414</f>
        <v>147031</v>
      </c>
      <c r="M29" s="142"/>
      <c r="N29" s="142"/>
      <c r="O29" s="142"/>
      <c r="P29" s="142"/>
      <c r="Q29" s="142"/>
      <c r="R29" s="142"/>
      <c r="S29" s="142"/>
      <c r="T29" s="143"/>
      <c r="U29" s="264"/>
    </row>
    <row r="30" spans="1:21" ht="12.75">
      <c r="A30" s="285"/>
      <c r="B30" s="287"/>
      <c r="C30" s="287"/>
      <c r="D30" s="319"/>
      <c r="E30" s="268"/>
      <c r="F30" s="267">
        <v>2011</v>
      </c>
      <c r="G30" s="317"/>
      <c r="H30" s="139" t="s">
        <v>113</v>
      </c>
      <c r="I30" s="140"/>
      <c r="J30" s="141"/>
      <c r="K30" s="142">
        <f t="shared" si="4"/>
        <v>0</v>
      </c>
      <c r="L30" s="142"/>
      <c r="M30" s="142"/>
      <c r="N30" s="142"/>
      <c r="O30" s="142"/>
      <c r="P30" s="142"/>
      <c r="Q30" s="142"/>
      <c r="R30" s="142"/>
      <c r="S30" s="142"/>
      <c r="T30" s="143"/>
      <c r="U30" s="264"/>
    </row>
    <row r="31" spans="1:21" ht="12.75">
      <c r="A31" s="285"/>
      <c r="B31" s="287"/>
      <c r="C31" s="287"/>
      <c r="D31" s="319"/>
      <c r="E31" s="268"/>
      <c r="F31" s="267"/>
      <c r="G31" s="145" t="s">
        <v>114</v>
      </c>
      <c r="H31" s="139" t="s">
        <v>115</v>
      </c>
      <c r="I31" s="140"/>
      <c r="J31" s="141"/>
      <c r="K31" s="142">
        <f t="shared" si="4"/>
        <v>0</v>
      </c>
      <c r="L31" s="142"/>
      <c r="M31" s="142"/>
      <c r="N31" s="142"/>
      <c r="O31" s="142"/>
      <c r="P31" s="142"/>
      <c r="Q31" s="142"/>
      <c r="R31" s="142"/>
      <c r="S31" s="142"/>
      <c r="T31" s="143"/>
      <c r="U31" s="264"/>
    </row>
    <row r="32" spans="1:21" ht="12.75">
      <c r="A32" s="285"/>
      <c r="B32" s="287"/>
      <c r="C32" s="287"/>
      <c r="D32" s="319"/>
      <c r="E32" s="268"/>
      <c r="F32" s="267"/>
      <c r="G32" s="281">
        <f>G26+G29</f>
        <v>692658.96</v>
      </c>
      <c r="H32" s="139" t="s">
        <v>116</v>
      </c>
      <c r="I32" s="140"/>
      <c r="J32" s="141"/>
      <c r="K32" s="142">
        <f t="shared" si="4"/>
        <v>0</v>
      </c>
      <c r="L32" s="142"/>
      <c r="M32" s="142"/>
      <c r="N32" s="142"/>
      <c r="O32" s="142"/>
      <c r="P32" s="142"/>
      <c r="Q32" s="142"/>
      <c r="R32" s="142"/>
      <c r="S32" s="142"/>
      <c r="T32" s="143"/>
      <c r="U32" s="264"/>
    </row>
    <row r="33" spans="1:21" ht="12.75">
      <c r="A33" s="285"/>
      <c r="B33" s="287"/>
      <c r="C33" s="287"/>
      <c r="D33" s="319"/>
      <c r="E33" s="268"/>
      <c r="F33" s="267"/>
      <c r="G33" s="282"/>
      <c r="H33" s="139" t="s">
        <v>117</v>
      </c>
      <c r="I33" s="146">
        <f>I25+I27+I29+I31</f>
        <v>0</v>
      </c>
      <c r="J33" s="147">
        <f>J25+J27+J29+J31</f>
        <v>455251.95999999996</v>
      </c>
      <c r="K33" s="148">
        <f t="shared" si="4"/>
        <v>455251.95999999996</v>
      </c>
      <c r="L33" s="148">
        <f aca="true" t="shared" si="6" ref="L33:T33">L25+L27+L29+L31</f>
        <v>237407</v>
      </c>
      <c r="M33" s="148">
        <f t="shared" si="6"/>
        <v>0</v>
      </c>
      <c r="N33" s="148">
        <f t="shared" si="6"/>
        <v>0</v>
      </c>
      <c r="O33" s="148">
        <f t="shared" si="6"/>
        <v>0</v>
      </c>
      <c r="P33" s="148">
        <f t="shared" si="6"/>
        <v>0</v>
      </c>
      <c r="Q33" s="148">
        <f t="shared" si="6"/>
        <v>0</v>
      </c>
      <c r="R33" s="148">
        <f t="shared" si="6"/>
        <v>0</v>
      </c>
      <c r="S33" s="148">
        <f t="shared" si="6"/>
        <v>0</v>
      </c>
      <c r="T33" s="149">
        <f t="shared" si="6"/>
        <v>0</v>
      </c>
      <c r="U33" s="264"/>
    </row>
    <row r="34" spans="1:21" ht="18.75" customHeight="1" thickBot="1">
      <c r="A34" s="313"/>
      <c r="B34" s="287"/>
      <c r="C34" s="287"/>
      <c r="D34" s="320"/>
      <c r="E34" s="265"/>
      <c r="F34" s="310"/>
      <c r="G34" s="283"/>
      <c r="H34" s="150" t="s">
        <v>118</v>
      </c>
      <c r="I34" s="151">
        <f>I26+I28+I30+I32</f>
        <v>0</v>
      </c>
      <c r="J34" s="152">
        <f>J26+J28+J30+J32</f>
        <v>0</v>
      </c>
      <c r="K34" s="153">
        <f t="shared" si="4"/>
        <v>0</v>
      </c>
      <c r="L34" s="153">
        <f aca="true" t="shared" si="7" ref="L34:T34">L26+L28+L30+L32</f>
        <v>0</v>
      </c>
      <c r="M34" s="153">
        <f t="shared" si="7"/>
        <v>0</v>
      </c>
      <c r="N34" s="153">
        <f t="shared" si="7"/>
        <v>0</v>
      </c>
      <c r="O34" s="153">
        <f t="shared" si="7"/>
        <v>0</v>
      </c>
      <c r="P34" s="153">
        <f t="shared" si="7"/>
        <v>0</v>
      </c>
      <c r="Q34" s="153">
        <f t="shared" si="7"/>
        <v>0</v>
      </c>
      <c r="R34" s="153">
        <f t="shared" si="7"/>
        <v>0</v>
      </c>
      <c r="S34" s="153">
        <f t="shared" si="7"/>
        <v>0</v>
      </c>
      <c r="T34" s="154">
        <f t="shared" si="7"/>
        <v>0</v>
      </c>
      <c r="U34" s="307"/>
    </row>
    <row r="35" spans="1:21" ht="12.75" customHeight="1" thickBot="1">
      <c r="A35" s="284">
        <f>A25+1</f>
        <v>4</v>
      </c>
      <c r="B35" s="286">
        <v>600</v>
      </c>
      <c r="C35" s="286">
        <v>60004</v>
      </c>
      <c r="D35" s="323" t="s">
        <v>122</v>
      </c>
      <c r="E35" s="324" t="s">
        <v>123</v>
      </c>
      <c r="F35" s="321">
        <v>2010</v>
      </c>
      <c r="G35" s="132" t="s">
        <v>106</v>
      </c>
      <c r="H35" s="133" t="s">
        <v>107</v>
      </c>
      <c r="I35" s="134">
        <f>11732-11732</f>
        <v>0</v>
      </c>
      <c r="J35" s="160">
        <v>11679</v>
      </c>
      <c r="K35" s="136">
        <f t="shared" si="4"/>
        <v>11679</v>
      </c>
      <c r="L35" s="136">
        <v>38269</v>
      </c>
      <c r="M35" s="136">
        <v>17907</v>
      </c>
      <c r="N35" s="136">
        <v>2252</v>
      </c>
      <c r="O35" s="136"/>
      <c r="P35" s="136"/>
      <c r="Q35" s="136"/>
      <c r="R35" s="136"/>
      <c r="S35" s="136"/>
      <c r="T35" s="137"/>
      <c r="U35" s="322">
        <f>M43+N43+O43+P43+Q43+R43+S43+M44+N44+O44+P44+Q44+R44+T43+T44+S44</f>
        <v>134398</v>
      </c>
    </row>
    <row r="36" spans="1:21" ht="13.5" thickBot="1">
      <c r="A36" s="285"/>
      <c r="B36" s="287"/>
      <c r="C36" s="287"/>
      <c r="D36" s="319"/>
      <c r="E36" s="324"/>
      <c r="F36" s="267"/>
      <c r="G36" s="281">
        <f>SUM(K43:T43)</f>
        <v>467394</v>
      </c>
      <c r="H36" s="139" t="s">
        <v>108</v>
      </c>
      <c r="I36" s="140"/>
      <c r="J36" s="161"/>
      <c r="K36" s="142">
        <f t="shared" si="4"/>
        <v>0</v>
      </c>
      <c r="L36" s="142"/>
      <c r="M36" s="142"/>
      <c r="N36" s="142"/>
      <c r="O36" s="142"/>
      <c r="P36" s="142"/>
      <c r="Q36" s="142"/>
      <c r="R36" s="142"/>
      <c r="S36" s="142"/>
      <c r="T36" s="143"/>
      <c r="U36" s="264"/>
    </row>
    <row r="37" spans="1:21" ht="13.5" thickBot="1">
      <c r="A37" s="285"/>
      <c r="B37" s="287"/>
      <c r="C37" s="287"/>
      <c r="D37" s="319"/>
      <c r="E37" s="324"/>
      <c r="F37" s="267"/>
      <c r="G37" s="317"/>
      <c r="H37" s="139" t="s">
        <v>109</v>
      </c>
      <c r="I37" s="140"/>
      <c r="J37" s="161"/>
      <c r="K37" s="142">
        <f t="shared" si="4"/>
        <v>0</v>
      </c>
      <c r="L37" s="142"/>
      <c r="M37" s="142"/>
      <c r="N37" s="142"/>
      <c r="O37" s="142"/>
      <c r="P37" s="142"/>
      <c r="Q37" s="142"/>
      <c r="R37" s="142"/>
      <c r="S37" s="142"/>
      <c r="T37" s="143"/>
      <c r="U37" s="264"/>
    </row>
    <row r="38" spans="1:21" ht="13.5" thickBot="1">
      <c r="A38" s="285"/>
      <c r="B38" s="287"/>
      <c r="C38" s="287"/>
      <c r="D38" s="319"/>
      <c r="E38" s="324"/>
      <c r="F38" s="267"/>
      <c r="G38" s="145" t="s">
        <v>110</v>
      </c>
      <c r="H38" s="139" t="s">
        <v>111</v>
      </c>
      <c r="I38" s="140"/>
      <c r="J38" s="161"/>
      <c r="K38" s="142">
        <f t="shared" si="4"/>
        <v>0</v>
      </c>
      <c r="L38" s="142"/>
      <c r="M38" s="142"/>
      <c r="N38" s="142"/>
      <c r="O38" s="142"/>
      <c r="P38" s="142"/>
      <c r="Q38" s="142"/>
      <c r="R38" s="142"/>
      <c r="S38" s="142"/>
      <c r="T38" s="143"/>
      <c r="U38" s="264"/>
    </row>
    <row r="39" spans="1:21" ht="13.5" thickBot="1">
      <c r="A39" s="285"/>
      <c r="B39" s="287"/>
      <c r="C39" s="287"/>
      <c r="D39" s="319"/>
      <c r="E39" s="324"/>
      <c r="F39" s="267"/>
      <c r="G39" s="281">
        <f>SUM(K44:T44)</f>
        <v>0</v>
      </c>
      <c r="H39" s="139" t="s">
        <v>112</v>
      </c>
      <c r="I39" s="140">
        <f>66468-66468</f>
        <v>0</v>
      </c>
      <c r="J39" s="161">
        <v>66180</v>
      </c>
      <c r="K39" s="142">
        <f t="shared" si="4"/>
        <v>66180</v>
      </c>
      <c r="L39" s="142">
        <v>216868</v>
      </c>
      <c r="M39" s="142">
        <v>101476</v>
      </c>
      <c r="N39" s="142">
        <v>12763</v>
      </c>
      <c r="O39" s="142"/>
      <c r="P39" s="142"/>
      <c r="Q39" s="142"/>
      <c r="R39" s="142"/>
      <c r="S39" s="142"/>
      <c r="T39" s="143"/>
      <c r="U39" s="264"/>
    </row>
    <row r="40" spans="1:21" ht="13.5" thickBot="1">
      <c r="A40" s="285"/>
      <c r="B40" s="287"/>
      <c r="C40" s="287"/>
      <c r="D40" s="319"/>
      <c r="E40" s="324"/>
      <c r="F40" s="267">
        <v>2013</v>
      </c>
      <c r="G40" s="317"/>
      <c r="H40" s="139" t="s">
        <v>113</v>
      </c>
      <c r="I40" s="140"/>
      <c r="J40" s="161"/>
      <c r="K40" s="142">
        <f t="shared" si="4"/>
        <v>0</v>
      </c>
      <c r="L40" s="142"/>
      <c r="M40" s="142"/>
      <c r="N40" s="142"/>
      <c r="O40" s="142"/>
      <c r="P40" s="142"/>
      <c r="Q40" s="142"/>
      <c r="R40" s="142"/>
      <c r="S40" s="142"/>
      <c r="T40" s="143"/>
      <c r="U40" s="264"/>
    </row>
    <row r="41" spans="1:21" ht="13.5" thickBot="1">
      <c r="A41" s="285"/>
      <c r="B41" s="287"/>
      <c r="C41" s="287"/>
      <c r="D41" s="319"/>
      <c r="E41" s="324"/>
      <c r="F41" s="267"/>
      <c r="G41" s="145" t="s">
        <v>114</v>
      </c>
      <c r="H41" s="139" t="s">
        <v>115</v>
      </c>
      <c r="I41" s="140"/>
      <c r="J41" s="161"/>
      <c r="K41" s="142">
        <f t="shared" si="4"/>
        <v>0</v>
      </c>
      <c r="L41" s="142"/>
      <c r="M41" s="142"/>
      <c r="N41" s="142"/>
      <c r="O41" s="142"/>
      <c r="P41" s="142"/>
      <c r="Q41" s="142"/>
      <c r="R41" s="142"/>
      <c r="S41" s="142"/>
      <c r="T41" s="143"/>
      <c r="U41" s="264"/>
    </row>
    <row r="42" spans="1:21" ht="13.5" thickBot="1">
      <c r="A42" s="285"/>
      <c r="B42" s="287"/>
      <c r="C42" s="287"/>
      <c r="D42" s="319"/>
      <c r="E42" s="324"/>
      <c r="F42" s="267"/>
      <c r="G42" s="281">
        <f>G36+G39</f>
        <v>467394</v>
      </c>
      <c r="H42" s="139" t="s">
        <v>116</v>
      </c>
      <c r="I42" s="140"/>
      <c r="J42" s="161"/>
      <c r="K42" s="142">
        <f t="shared" si="4"/>
        <v>0</v>
      </c>
      <c r="L42" s="142"/>
      <c r="M42" s="142"/>
      <c r="N42" s="142"/>
      <c r="O42" s="142"/>
      <c r="P42" s="142"/>
      <c r="Q42" s="142"/>
      <c r="R42" s="142"/>
      <c r="S42" s="142"/>
      <c r="T42" s="143"/>
      <c r="U42" s="264"/>
    </row>
    <row r="43" spans="1:21" ht="13.5" thickBot="1">
      <c r="A43" s="285"/>
      <c r="B43" s="287"/>
      <c r="C43" s="287"/>
      <c r="D43" s="319"/>
      <c r="E43" s="324"/>
      <c r="F43" s="267"/>
      <c r="G43" s="282"/>
      <c r="H43" s="139" t="s">
        <v>117</v>
      </c>
      <c r="I43" s="146">
        <f>I35+I37+I39+I41</f>
        <v>0</v>
      </c>
      <c r="J43" s="162">
        <f>J35+J37+J39+J41</f>
        <v>77859</v>
      </c>
      <c r="K43" s="148">
        <f t="shared" si="4"/>
        <v>77859</v>
      </c>
      <c r="L43" s="148">
        <f aca="true" t="shared" si="8" ref="L43:T43">L35+L37+L39+L41</f>
        <v>255137</v>
      </c>
      <c r="M43" s="148">
        <f t="shared" si="8"/>
        <v>119383</v>
      </c>
      <c r="N43" s="148">
        <f t="shared" si="8"/>
        <v>15015</v>
      </c>
      <c r="O43" s="148">
        <f t="shared" si="8"/>
        <v>0</v>
      </c>
      <c r="P43" s="148">
        <f t="shared" si="8"/>
        <v>0</v>
      </c>
      <c r="Q43" s="148">
        <f t="shared" si="8"/>
        <v>0</v>
      </c>
      <c r="R43" s="148">
        <f t="shared" si="8"/>
        <v>0</v>
      </c>
      <c r="S43" s="148">
        <f t="shared" si="8"/>
        <v>0</v>
      </c>
      <c r="T43" s="149">
        <f t="shared" si="8"/>
        <v>0</v>
      </c>
      <c r="U43" s="264"/>
    </row>
    <row r="44" spans="1:21" ht="14.25" customHeight="1" thickBot="1">
      <c r="A44" s="313"/>
      <c r="B44" s="318"/>
      <c r="C44" s="318"/>
      <c r="D44" s="320"/>
      <c r="E44" s="324"/>
      <c r="F44" s="310"/>
      <c r="G44" s="283"/>
      <c r="H44" s="150" t="s">
        <v>118</v>
      </c>
      <c r="I44" s="151">
        <f>I36+I38+I40+I42</f>
        <v>0</v>
      </c>
      <c r="J44" s="163">
        <f>J36+J38+J40+J42</f>
        <v>0</v>
      </c>
      <c r="K44" s="153">
        <f t="shared" si="4"/>
        <v>0</v>
      </c>
      <c r="L44" s="153">
        <f aca="true" t="shared" si="9" ref="L44:T44">L36+L38+L40+L42</f>
        <v>0</v>
      </c>
      <c r="M44" s="153">
        <f t="shared" si="9"/>
        <v>0</v>
      </c>
      <c r="N44" s="153">
        <f t="shared" si="9"/>
        <v>0</v>
      </c>
      <c r="O44" s="153">
        <f t="shared" si="9"/>
        <v>0</v>
      </c>
      <c r="P44" s="153">
        <f t="shared" si="9"/>
        <v>0</v>
      </c>
      <c r="Q44" s="153">
        <f t="shared" si="9"/>
        <v>0</v>
      </c>
      <c r="R44" s="153">
        <f t="shared" si="9"/>
        <v>0</v>
      </c>
      <c r="S44" s="153">
        <f t="shared" si="9"/>
        <v>0</v>
      </c>
      <c r="T44" s="154">
        <f t="shared" si="9"/>
        <v>0</v>
      </c>
      <c r="U44" s="307"/>
    </row>
    <row r="45" spans="1:21" ht="12.75" customHeight="1" thickBot="1">
      <c r="A45" s="312">
        <f>A35+1</f>
        <v>5</v>
      </c>
      <c r="B45" s="287">
        <v>600</v>
      </c>
      <c r="C45" s="287">
        <v>60015</v>
      </c>
      <c r="D45" s="319" t="s">
        <v>124</v>
      </c>
      <c r="E45" s="334" t="s">
        <v>123</v>
      </c>
      <c r="F45" s="266">
        <v>2009</v>
      </c>
      <c r="G45" s="144" t="s">
        <v>106</v>
      </c>
      <c r="H45" s="155" t="s">
        <v>107</v>
      </c>
      <c r="I45" s="156"/>
      <c r="J45" s="157"/>
      <c r="K45" s="158"/>
      <c r="L45" s="158"/>
      <c r="M45" s="158"/>
      <c r="N45" s="158"/>
      <c r="O45" s="158"/>
      <c r="P45" s="158"/>
      <c r="Q45" s="158"/>
      <c r="R45" s="158"/>
      <c r="S45" s="158"/>
      <c r="T45" s="159"/>
      <c r="U45" s="263">
        <f>M53+N53+O53+P53+Q53+R53+S53+M54+N54+O54+P54+Q54+R54+T53+T54+S54</f>
        <v>0</v>
      </c>
    </row>
    <row r="46" spans="1:21" ht="13.5" thickBot="1">
      <c r="A46" s="285"/>
      <c r="B46" s="287"/>
      <c r="C46" s="287"/>
      <c r="D46" s="319"/>
      <c r="E46" s="324"/>
      <c r="F46" s="267"/>
      <c r="G46" s="281">
        <f>SUM(K53:T53)</f>
        <v>0</v>
      </c>
      <c r="H46" s="139" t="s">
        <v>108</v>
      </c>
      <c r="I46" s="140"/>
      <c r="J46" s="141">
        <f>26048146+970718</f>
        <v>27018864</v>
      </c>
      <c r="K46" s="142">
        <f aca="true" t="shared" si="10" ref="K46:K77">SUM(I46:J46)</f>
        <v>27018864</v>
      </c>
      <c r="L46" s="142">
        <f>(2991441+23599)+(1088163-47197-150000)</f>
        <v>3906006</v>
      </c>
      <c r="M46" s="142"/>
      <c r="N46" s="142"/>
      <c r="O46" s="142"/>
      <c r="P46" s="142"/>
      <c r="Q46" s="142"/>
      <c r="R46" s="142"/>
      <c r="S46" s="142"/>
      <c r="T46" s="143"/>
      <c r="U46" s="264"/>
    </row>
    <row r="47" spans="1:21" ht="13.5" thickBot="1">
      <c r="A47" s="285"/>
      <c r="B47" s="287"/>
      <c r="C47" s="287"/>
      <c r="D47" s="319"/>
      <c r="E47" s="324"/>
      <c r="F47" s="267"/>
      <c r="G47" s="317"/>
      <c r="H47" s="139" t="s">
        <v>109</v>
      </c>
      <c r="I47" s="140"/>
      <c r="J47" s="141"/>
      <c r="K47" s="142">
        <f t="shared" si="10"/>
        <v>0</v>
      </c>
      <c r="L47" s="142"/>
      <c r="M47" s="142"/>
      <c r="N47" s="142"/>
      <c r="O47" s="142"/>
      <c r="P47" s="142"/>
      <c r="Q47" s="142"/>
      <c r="R47" s="142"/>
      <c r="S47" s="142"/>
      <c r="T47" s="143"/>
      <c r="U47" s="264"/>
    </row>
    <row r="48" spans="1:21" ht="13.5" thickBot="1">
      <c r="A48" s="285"/>
      <c r="B48" s="287"/>
      <c r="C48" s="287"/>
      <c r="D48" s="319"/>
      <c r="E48" s="324"/>
      <c r="F48" s="267"/>
      <c r="G48" s="145" t="s">
        <v>110</v>
      </c>
      <c r="H48" s="139" t="s">
        <v>111</v>
      </c>
      <c r="I48" s="140"/>
      <c r="J48" s="141"/>
      <c r="K48" s="142">
        <f t="shared" si="10"/>
        <v>0</v>
      </c>
      <c r="L48" s="142"/>
      <c r="M48" s="142"/>
      <c r="N48" s="142"/>
      <c r="O48" s="142"/>
      <c r="P48" s="142"/>
      <c r="Q48" s="142"/>
      <c r="R48" s="142"/>
      <c r="S48" s="142"/>
      <c r="T48" s="143"/>
      <c r="U48" s="264"/>
    </row>
    <row r="49" spans="1:21" ht="13.5" thickBot="1">
      <c r="A49" s="285"/>
      <c r="B49" s="287"/>
      <c r="C49" s="287"/>
      <c r="D49" s="319"/>
      <c r="E49" s="324"/>
      <c r="F49" s="267"/>
      <c r="G49" s="281">
        <f>SUM(K54:T54)</f>
        <v>59988052</v>
      </c>
      <c r="H49" s="139" t="s">
        <v>112</v>
      </c>
      <c r="I49" s="140"/>
      <c r="J49" s="141"/>
      <c r="K49" s="142">
        <f t="shared" si="10"/>
        <v>0</v>
      </c>
      <c r="L49" s="142"/>
      <c r="M49" s="142"/>
      <c r="N49" s="142"/>
      <c r="O49" s="142"/>
      <c r="P49" s="142"/>
      <c r="Q49" s="142"/>
      <c r="R49" s="142"/>
      <c r="S49" s="142"/>
      <c r="T49" s="143"/>
      <c r="U49" s="264"/>
    </row>
    <row r="50" spans="1:21" ht="13.5" thickBot="1">
      <c r="A50" s="285"/>
      <c r="B50" s="287"/>
      <c r="C50" s="287"/>
      <c r="D50" s="319"/>
      <c r="E50" s="324"/>
      <c r="F50" s="267">
        <v>2011</v>
      </c>
      <c r="G50" s="317"/>
      <c r="H50" s="139" t="s">
        <v>113</v>
      </c>
      <c r="I50" s="140"/>
      <c r="J50" s="141">
        <v>26048143</v>
      </c>
      <c r="K50" s="142">
        <f t="shared" si="10"/>
        <v>26048143</v>
      </c>
      <c r="L50" s="142">
        <f>2991441+23598</f>
        <v>3015039</v>
      </c>
      <c r="M50" s="142"/>
      <c r="N50" s="142"/>
      <c r="O50" s="142"/>
      <c r="P50" s="142"/>
      <c r="Q50" s="142"/>
      <c r="R50" s="142"/>
      <c r="S50" s="142"/>
      <c r="T50" s="143"/>
      <c r="U50" s="264"/>
    </row>
    <row r="51" spans="1:21" ht="13.5" thickBot="1">
      <c r="A51" s="285"/>
      <c r="B51" s="287"/>
      <c r="C51" s="287"/>
      <c r="D51" s="319"/>
      <c r="E51" s="324"/>
      <c r="F51" s="267"/>
      <c r="G51" s="145" t="s">
        <v>114</v>
      </c>
      <c r="H51" s="139" t="s">
        <v>115</v>
      </c>
      <c r="I51" s="140"/>
      <c r="J51" s="141"/>
      <c r="K51" s="142">
        <f t="shared" si="10"/>
        <v>0</v>
      </c>
      <c r="L51" s="142"/>
      <c r="M51" s="142"/>
      <c r="N51" s="142"/>
      <c r="O51" s="142"/>
      <c r="P51" s="142"/>
      <c r="Q51" s="142"/>
      <c r="R51" s="142"/>
      <c r="S51" s="142"/>
      <c r="T51" s="143"/>
      <c r="U51" s="264"/>
    </row>
    <row r="52" spans="1:21" ht="13.5" thickBot="1">
      <c r="A52" s="285"/>
      <c r="B52" s="287"/>
      <c r="C52" s="287"/>
      <c r="D52" s="319"/>
      <c r="E52" s="324"/>
      <c r="F52" s="267"/>
      <c r="G52" s="281">
        <f>G46+G49</f>
        <v>59988052</v>
      </c>
      <c r="H52" s="139" t="s">
        <v>116</v>
      </c>
      <c r="I52" s="140"/>
      <c r="J52" s="141"/>
      <c r="K52" s="142">
        <f t="shared" si="10"/>
        <v>0</v>
      </c>
      <c r="L52" s="142"/>
      <c r="M52" s="142"/>
      <c r="N52" s="142"/>
      <c r="O52" s="142"/>
      <c r="P52" s="142"/>
      <c r="Q52" s="142"/>
      <c r="R52" s="142"/>
      <c r="S52" s="142"/>
      <c r="T52" s="143"/>
      <c r="U52" s="264"/>
    </row>
    <row r="53" spans="1:21" ht="13.5" thickBot="1">
      <c r="A53" s="285"/>
      <c r="B53" s="287"/>
      <c r="C53" s="287"/>
      <c r="D53" s="319"/>
      <c r="E53" s="324"/>
      <c r="F53" s="267"/>
      <c r="G53" s="282"/>
      <c r="H53" s="139" t="s">
        <v>117</v>
      </c>
      <c r="I53" s="146">
        <f>I45+I47+I49+I51</f>
        <v>0</v>
      </c>
      <c r="J53" s="147">
        <f>J45+J47+J49+J51</f>
        <v>0</v>
      </c>
      <c r="K53" s="148">
        <f t="shared" si="10"/>
        <v>0</v>
      </c>
      <c r="L53" s="148">
        <f aca="true" t="shared" si="11" ref="L53:T53">L45+L47+L49+L51</f>
        <v>0</v>
      </c>
      <c r="M53" s="148">
        <f t="shared" si="11"/>
        <v>0</v>
      </c>
      <c r="N53" s="148">
        <f t="shared" si="11"/>
        <v>0</v>
      </c>
      <c r="O53" s="148">
        <f t="shared" si="11"/>
        <v>0</v>
      </c>
      <c r="P53" s="148">
        <f t="shared" si="11"/>
        <v>0</v>
      </c>
      <c r="Q53" s="148">
        <f t="shared" si="11"/>
        <v>0</v>
      </c>
      <c r="R53" s="148">
        <f t="shared" si="11"/>
        <v>0</v>
      </c>
      <c r="S53" s="148">
        <f t="shared" si="11"/>
        <v>0</v>
      </c>
      <c r="T53" s="149">
        <f t="shared" si="11"/>
        <v>0</v>
      </c>
      <c r="U53" s="264"/>
    </row>
    <row r="54" spans="1:21" ht="13.5" thickBot="1">
      <c r="A54" s="313"/>
      <c r="B54" s="287"/>
      <c r="C54" s="287"/>
      <c r="D54" s="320"/>
      <c r="E54" s="324"/>
      <c r="F54" s="336"/>
      <c r="G54" s="283"/>
      <c r="H54" s="164" t="s">
        <v>118</v>
      </c>
      <c r="I54" s="165">
        <f>I46+I48+I50+I52</f>
        <v>0</v>
      </c>
      <c r="J54" s="152">
        <f>J46+J48+J50+J52</f>
        <v>53067007</v>
      </c>
      <c r="K54" s="153">
        <f t="shared" si="10"/>
        <v>53067007</v>
      </c>
      <c r="L54" s="153">
        <f aca="true" t="shared" si="12" ref="L54:T54">L46+L48+L50+L52</f>
        <v>6921045</v>
      </c>
      <c r="M54" s="166">
        <f t="shared" si="12"/>
        <v>0</v>
      </c>
      <c r="N54" s="166">
        <f t="shared" si="12"/>
        <v>0</v>
      </c>
      <c r="O54" s="166">
        <f t="shared" si="12"/>
        <v>0</v>
      </c>
      <c r="P54" s="166">
        <f t="shared" si="12"/>
        <v>0</v>
      </c>
      <c r="Q54" s="166">
        <f t="shared" si="12"/>
        <v>0</v>
      </c>
      <c r="R54" s="166">
        <f t="shared" si="12"/>
        <v>0</v>
      </c>
      <c r="S54" s="166">
        <f t="shared" si="12"/>
        <v>0</v>
      </c>
      <c r="T54" s="167">
        <f t="shared" si="12"/>
        <v>0</v>
      </c>
      <c r="U54" s="307"/>
    </row>
    <row r="55" spans="1:21" ht="12.75" customHeight="1" thickBot="1">
      <c r="A55" s="284">
        <f>A45+1</f>
        <v>6</v>
      </c>
      <c r="B55" s="286">
        <v>600</v>
      </c>
      <c r="C55" s="286">
        <v>60015</v>
      </c>
      <c r="D55" s="328" t="s">
        <v>125</v>
      </c>
      <c r="E55" s="324" t="s">
        <v>123</v>
      </c>
      <c r="F55" s="321">
        <v>2008</v>
      </c>
      <c r="G55" s="132" t="s">
        <v>106</v>
      </c>
      <c r="H55" s="133" t="s">
        <v>107</v>
      </c>
      <c r="I55" s="134"/>
      <c r="J55" s="135"/>
      <c r="K55" s="158">
        <f t="shared" si="10"/>
        <v>0</v>
      </c>
      <c r="L55" s="158"/>
      <c r="M55" s="136"/>
      <c r="N55" s="136"/>
      <c r="O55" s="136"/>
      <c r="P55" s="136"/>
      <c r="Q55" s="136"/>
      <c r="R55" s="136"/>
      <c r="S55" s="136"/>
      <c r="T55" s="137"/>
      <c r="U55" s="263">
        <f>M63+N63+O63+P63+Q63+R63+S63+M64+N64+O64+P64+Q64+R64+T63+T64+S64</f>
        <v>20997074</v>
      </c>
    </row>
    <row r="56" spans="1:21" ht="13.5" thickBot="1">
      <c r="A56" s="285"/>
      <c r="B56" s="287"/>
      <c r="C56" s="287"/>
      <c r="D56" s="315"/>
      <c r="E56" s="324"/>
      <c r="F56" s="267"/>
      <c r="G56" s="281">
        <f>SUM(I63:T63)</f>
        <v>0</v>
      </c>
      <c r="H56" s="139" t="s">
        <v>108</v>
      </c>
      <c r="I56" s="140">
        <f>1443+432556-432556</f>
        <v>1443</v>
      </c>
      <c r="J56" s="141">
        <v>432556</v>
      </c>
      <c r="K56" s="142">
        <f t="shared" si="10"/>
        <v>433999</v>
      </c>
      <c r="L56" s="142">
        <f>3501338+203110-3171338+450000</f>
        <v>983110</v>
      </c>
      <c r="M56" s="142">
        <f>4920000+148080</f>
        <v>5068080</v>
      </c>
      <c r="N56" s="142">
        <f>1267618+223600</f>
        <v>1491218</v>
      </c>
      <c r="O56" s="142"/>
      <c r="P56" s="142"/>
      <c r="Q56" s="142"/>
      <c r="R56" s="142"/>
      <c r="S56" s="142"/>
      <c r="T56" s="143"/>
      <c r="U56" s="264"/>
    </row>
    <row r="57" spans="1:21" ht="13.5" thickBot="1">
      <c r="A57" s="285"/>
      <c r="B57" s="287"/>
      <c r="C57" s="287"/>
      <c r="D57" s="315"/>
      <c r="E57" s="324"/>
      <c r="F57" s="267"/>
      <c r="G57" s="317"/>
      <c r="H57" s="139" t="s">
        <v>109</v>
      </c>
      <c r="I57" s="140"/>
      <c r="J57" s="141"/>
      <c r="K57" s="142">
        <f t="shared" si="10"/>
        <v>0</v>
      </c>
      <c r="L57" s="142"/>
      <c r="M57" s="142"/>
      <c r="N57" s="142"/>
      <c r="O57" s="142"/>
      <c r="P57" s="142"/>
      <c r="Q57" s="142"/>
      <c r="R57" s="142"/>
      <c r="S57" s="142"/>
      <c r="T57" s="143"/>
      <c r="U57" s="264"/>
    </row>
    <row r="58" spans="1:21" ht="13.5" thickBot="1">
      <c r="A58" s="285"/>
      <c r="B58" s="287"/>
      <c r="C58" s="287"/>
      <c r="D58" s="315"/>
      <c r="E58" s="324"/>
      <c r="F58" s="267"/>
      <c r="G58" s="145" t="s">
        <v>110</v>
      </c>
      <c r="H58" s="139" t="s">
        <v>111</v>
      </c>
      <c r="I58" s="140"/>
      <c r="J58" s="141"/>
      <c r="K58" s="142">
        <f t="shared" si="10"/>
        <v>0</v>
      </c>
      <c r="L58" s="142"/>
      <c r="M58" s="142"/>
      <c r="N58" s="142"/>
      <c r="O58" s="142"/>
      <c r="P58" s="142"/>
      <c r="Q58" s="142"/>
      <c r="R58" s="142"/>
      <c r="S58" s="142"/>
      <c r="T58" s="143"/>
      <c r="U58" s="264"/>
    </row>
    <row r="59" spans="1:21" ht="13.5" thickBot="1">
      <c r="A59" s="285"/>
      <c r="B59" s="287"/>
      <c r="C59" s="287"/>
      <c r="D59" s="315"/>
      <c r="E59" s="324"/>
      <c r="F59" s="267"/>
      <c r="G59" s="281">
        <f>SUM(K64:T64)</f>
        <v>23184183</v>
      </c>
      <c r="H59" s="139" t="s">
        <v>112</v>
      </c>
      <c r="I59" s="140"/>
      <c r="J59" s="141"/>
      <c r="K59" s="142">
        <f t="shared" si="10"/>
        <v>0</v>
      </c>
      <c r="L59" s="142"/>
      <c r="M59" s="142"/>
      <c r="N59" s="142"/>
      <c r="O59" s="142"/>
      <c r="P59" s="142"/>
      <c r="Q59" s="142"/>
      <c r="R59" s="142"/>
      <c r="S59" s="142"/>
      <c r="T59" s="143"/>
      <c r="U59" s="264"/>
    </row>
    <row r="60" spans="1:21" ht="13.5" thickBot="1">
      <c r="A60" s="285"/>
      <c r="B60" s="287"/>
      <c r="C60" s="287"/>
      <c r="D60" s="315"/>
      <c r="E60" s="324"/>
      <c r="F60" s="267">
        <v>2013</v>
      </c>
      <c r="G60" s="317"/>
      <c r="H60" s="139" t="s">
        <v>113</v>
      </c>
      <c r="I60" s="140"/>
      <c r="J60" s="141"/>
      <c r="K60" s="142">
        <f t="shared" si="10"/>
        <v>0</v>
      </c>
      <c r="L60" s="142">
        <f>8169789-7399789</f>
        <v>770000</v>
      </c>
      <c r="M60" s="142">
        <v>11480000</v>
      </c>
      <c r="N60" s="142">
        <v>2957776</v>
      </c>
      <c r="O60" s="142"/>
      <c r="P60" s="142"/>
      <c r="Q60" s="142"/>
      <c r="R60" s="142"/>
      <c r="S60" s="142"/>
      <c r="T60" s="143"/>
      <c r="U60" s="264"/>
    </row>
    <row r="61" spans="1:21" ht="13.5" thickBot="1">
      <c r="A61" s="285"/>
      <c r="B61" s="287"/>
      <c r="C61" s="287"/>
      <c r="D61" s="315"/>
      <c r="E61" s="324"/>
      <c r="F61" s="267"/>
      <c r="G61" s="145" t="s">
        <v>114</v>
      </c>
      <c r="H61" s="139" t="s">
        <v>115</v>
      </c>
      <c r="I61" s="140"/>
      <c r="J61" s="141"/>
      <c r="K61" s="142">
        <f t="shared" si="10"/>
        <v>0</v>
      </c>
      <c r="L61" s="142"/>
      <c r="M61" s="142"/>
      <c r="N61" s="142"/>
      <c r="O61" s="142"/>
      <c r="P61" s="142"/>
      <c r="Q61" s="142"/>
      <c r="R61" s="142"/>
      <c r="S61" s="142"/>
      <c r="T61" s="143"/>
      <c r="U61" s="264"/>
    </row>
    <row r="62" spans="1:21" ht="13.5" thickBot="1">
      <c r="A62" s="285"/>
      <c r="B62" s="287"/>
      <c r="C62" s="287"/>
      <c r="D62" s="315"/>
      <c r="E62" s="324"/>
      <c r="F62" s="267"/>
      <c r="G62" s="281">
        <f>G56+G59</f>
        <v>23184183</v>
      </c>
      <c r="H62" s="139" t="s">
        <v>116</v>
      </c>
      <c r="I62" s="140"/>
      <c r="J62" s="141"/>
      <c r="K62" s="142">
        <f t="shared" si="10"/>
        <v>0</v>
      </c>
      <c r="L62" s="142"/>
      <c r="M62" s="142"/>
      <c r="N62" s="142"/>
      <c r="O62" s="142"/>
      <c r="P62" s="142"/>
      <c r="Q62" s="142"/>
      <c r="R62" s="142"/>
      <c r="S62" s="142"/>
      <c r="T62" s="143"/>
      <c r="U62" s="264"/>
    </row>
    <row r="63" spans="1:21" ht="13.5" thickBot="1">
      <c r="A63" s="285"/>
      <c r="B63" s="287"/>
      <c r="C63" s="287"/>
      <c r="D63" s="315"/>
      <c r="E63" s="324"/>
      <c r="F63" s="267"/>
      <c r="G63" s="282"/>
      <c r="H63" s="139" t="s">
        <v>117</v>
      </c>
      <c r="I63" s="146">
        <f>I55+I57+I59+I61</f>
        <v>0</v>
      </c>
      <c r="J63" s="147">
        <f>J55+J57+J59+J61</f>
        <v>0</v>
      </c>
      <c r="K63" s="148">
        <f t="shared" si="10"/>
        <v>0</v>
      </c>
      <c r="L63" s="148">
        <f aca="true" t="shared" si="13" ref="L63:T63">L55+L57+L59+L61</f>
        <v>0</v>
      </c>
      <c r="M63" s="148">
        <f t="shared" si="13"/>
        <v>0</v>
      </c>
      <c r="N63" s="148">
        <f t="shared" si="13"/>
        <v>0</v>
      </c>
      <c r="O63" s="148">
        <f t="shared" si="13"/>
        <v>0</v>
      </c>
      <c r="P63" s="148">
        <f t="shared" si="13"/>
        <v>0</v>
      </c>
      <c r="Q63" s="148">
        <f t="shared" si="13"/>
        <v>0</v>
      </c>
      <c r="R63" s="148">
        <f t="shared" si="13"/>
        <v>0</v>
      </c>
      <c r="S63" s="148">
        <f t="shared" si="13"/>
        <v>0</v>
      </c>
      <c r="T63" s="149">
        <f t="shared" si="13"/>
        <v>0</v>
      </c>
      <c r="U63" s="264"/>
    </row>
    <row r="64" spans="1:21" ht="13.5" thickBot="1">
      <c r="A64" s="313"/>
      <c r="B64" s="318"/>
      <c r="C64" s="287"/>
      <c r="D64" s="316"/>
      <c r="E64" s="324"/>
      <c r="F64" s="310"/>
      <c r="G64" s="283"/>
      <c r="H64" s="150" t="s">
        <v>118</v>
      </c>
      <c r="I64" s="151">
        <f>I56+I58+I60+I62</f>
        <v>1443</v>
      </c>
      <c r="J64" s="152">
        <f>J56+J58+J60+J62</f>
        <v>432556</v>
      </c>
      <c r="K64" s="153">
        <f t="shared" si="10"/>
        <v>433999</v>
      </c>
      <c r="L64" s="153">
        <f aca="true" t="shared" si="14" ref="L64:T64">L56+L58+L60+L62</f>
        <v>1753110</v>
      </c>
      <c r="M64" s="153">
        <f t="shared" si="14"/>
        <v>16548080</v>
      </c>
      <c r="N64" s="153">
        <f t="shared" si="14"/>
        <v>4448994</v>
      </c>
      <c r="O64" s="153">
        <f t="shared" si="14"/>
        <v>0</v>
      </c>
      <c r="P64" s="153">
        <f t="shared" si="14"/>
        <v>0</v>
      </c>
      <c r="Q64" s="153">
        <f t="shared" si="14"/>
        <v>0</v>
      </c>
      <c r="R64" s="153">
        <f t="shared" si="14"/>
        <v>0</v>
      </c>
      <c r="S64" s="153">
        <f t="shared" si="14"/>
        <v>0</v>
      </c>
      <c r="T64" s="154">
        <f t="shared" si="14"/>
        <v>0</v>
      </c>
      <c r="U64" s="345"/>
    </row>
    <row r="65" spans="1:21" ht="12.75" customHeight="1" thickBot="1">
      <c r="A65" s="284">
        <f>A55+1</f>
        <v>7</v>
      </c>
      <c r="B65" s="286">
        <v>600</v>
      </c>
      <c r="C65" s="286">
        <v>60015</v>
      </c>
      <c r="D65" s="328" t="s">
        <v>126</v>
      </c>
      <c r="E65" s="324" t="s">
        <v>123</v>
      </c>
      <c r="F65" s="321">
        <v>2009</v>
      </c>
      <c r="G65" s="132" t="s">
        <v>106</v>
      </c>
      <c r="H65" s="133" t="s">
        <v>107</v>
      </c>
      <c r="I65" s="134"/>
      <c r="J65" s="135"/>
      <c r="K65" s="136">
        <f t="shared" si="10"/>
        <v>0</v>
      </c>
      <c r="L65" s="136"/>
      <c r="M65" s="136"/>
      <c r="N65" s="136"/>
      <c r="O65" s="136"/>
      <c r="P65" s="136"/>
      <c r="Q65" s="136"/>
      <c r="R65" s="136"/>
      <c r="S65" s="136"/>
      <c r="T65" s="137"/>
      <c r="U65" s="322">
        <f>M73+N73+O73+P73+Q73+R73+S73+M74+N74+O74+P74+Q74+R74+T73+T74+S74</f>
        <v>69287416</v>
      </c>
    </row>
    <row r="66" spans="1:21" ht="13.5" thickBot="1">
      <c r="A66" s="285"/>
      <c r="B66" s="287"/>
      <c r="C66" s="287"/>
      <c r="D66" s="315"/>
      <c r="E66" s="324"/>
      <c r="F66" s="267"/>
      <c r="G66" s="281">
        <f>SUM(K73:T73)</f>
        <v>0</v>
      </c>
      <c r="H66" s="139" t="s">
        <v>108</v>
      </c>
      <c r="I66" s="140">
        <v>330813</v>
      </c>
      <c r="J66" s="141"/>
      <c r="K66" s="142">
        <f t="shared" si="10"/>
        <v>330813</v>
      </c>
      <c r="L66" s="142">
        <f>3975120+800000-4017720-637400</f>
        <v>120000</v>
      </c>
      <c r="M66" s="142">
        <f>4347297-830409</f>
        <v>3516888</v>
      </c>
      <c r="N66" s="142">
        <v>4241139</v>
      </c>
      <c r="O66" s="142">
        <f>10011+2625075</f>
        <v>2635086</v>
      </c>
      <c r="P66" s="142"/>
      <c r="Q66" s="142"/>
      <c r="R66" s="142"/>
      <c r="S66" s="142"/>
      <c r="T66" s="143"/>
      <c r="U66" s="264"/>
    </row>
    <row r="67" spans="1:21" ht="13.5" thickBot="1">
      <c r="A67" s="285"/>
      <c r="B67" s="287"/>
      <c r="C67" s="287"/>
      <c r="D67" s="315"/>
      <c r="E67" s="324"/>
      <c r="F67" s="267"/>
      <c r="G67" s="317"/>
      <c r="H67" s="139" t="s">
        <v>109</v>
      </c>
      <c r="I67" s="140"/>
      <c r="J67" s="141"/>
      <c r="K67" s="142">
        <f t="shared" si="10"/>
        <v>0</v>
      </c>
      <c r="L67" s="142"/>
      <c r="M67" s="142"/>
      <c r="N67" s="142"/>
      <c r="O67" s="142"/>
      <c r="P67" s="142"/>
      <c r="Q67" s="142"/>
      <c r="R67" s="142"/>
      <c r="S67" s="142"/>
      <c r="T67" s="143"/>
      <c r="U67" s="264"/>
    </row>
    <row r="68" spans="1:21" ht="13.5" thickBot="1">
      <c r="A68" s="285"/>
      <c r="B68" s="287"/>
      <c r="C68" s="287"/>
      <c r="D68" s="315"/>
      <c r="E68" s="324"/>
      <c r="F68" s="267"/>
      <c r="G68" s="145" t="s">
        <v>110</v>
      </c>
      <c r="H68" s="139" t="s">
        <v>111</v>
      </c>
      <c r="I68" s="140"/>
      <c r="J68" s="141"/>
      <c r="K68" s="142">
        <f t="shared" si="10"/>
        <v>0</v>
      </c>
      <c r="L68" s="142"/>
      <c r="M68" s="142"/>
      <c r="N68" s="142"/>
      <c r="O68" s="142"/>
      <c r="P68" s="142"/>
      <c r="Q68" s="142"/>
      <c r="R68" s="142"/>
      <c r="S68" s="142"/>
      <c r="T68" s="143"/>
      <c r="U68" s="264"/>
    </row>
    <row r="69" spans="1:21" ht="13.5" thickBot="1">
      <c r="A69" s="285"/>
      <c r="B69" s="287"/>
      <c r="C69" s="287"/>
      <c r="D69" s="315"/>
      <c r="E69" s="324"/>
      <c r="F69" s="267"/>
      <c r="G69" s="281">
        <f>SUM(K74:T74)</f>
        <v>71450129</v>
      </c>
      <c r="H69" s="139" t="s">
        <v>112</v>
      </c>
      <c r="I69" s="140"/>
      <c r="J69" s="141"/>
      <c r="K69" s="142">
        <f t="shared" si="10"/>
        <v>0</v>
      </c>
      <c r="L69" s="142"/>
      <c r="M69" s="142"/>
      <c r="N69" s="142"/>
      <c r="O69" s="142"/>
      <c r="P69" s="142"/>
      <c r="Q69" s="142"/>
      <c r="R69" s="142"/>
      <c r="S69" s="142"/>
      <c r="T69" s="143"/>
      <c r="U69" s="264"/>
    </row>
    <row r="70" spans="1:21" ht="13.5" thickBot="1">
      <c r="A70" s="285"/>
      <c r="B70" s="287"/>
      <c r="C70" s="287"/>
      <c r="D70" s="315"/>
      <c r="E70" s="324"/>
      <c r="F70" s="267">
        <v>2014</v>
      </c>
      <c r="G70" s="317"/>
      <c r="H70" s="139" t="s">
        <v>113</v>
      </c>
      <c r="I70" s="140">
        <v>1031900</v>
      </c>
      <c r="J70" s="141"/>
      <c r="K70" s="142">
        <f t="shared" si="10"/>
        <v>1031900</v>
      </c>
      <c r="L70" s="142">
        <f>4291932-3611932</f>
        <v>680000</v>
      </c>
      <c r="M70" s="142">
        <v>19929031</v>
      </c>
      <c r="N70" s="142">
        <v>24033119</v>
      </c>
      <c r="O70" s="142">
        <v>14932153</v>
      </c>
      <c r="P70" s="142"/>
      <c r="Q70" s="142"/>
      <c r="R70" s="142"/>
      <c r="S70" s="142"/>
      <c r="T70" s="143"/>
      <c r="U70" s="264"/>
    </row>
    <row r="71" spans="1:21" ht="13.5" thickBot="1">
      <c r="A71" s="285"/>
      <c r="B71" s="287"/>
      <c r="C71" s="287"/>
      <c r="D71" s="315"/>
      <c r="E71" s="324"/>
      <c r="F71" s="267"/>
      <c r="G71" s="145" t="s">
        <v>114</v>
      </c>
      <c r="H71" s="139" t="s">
        <v>115</v>
      </c>
      <c r="I71" s="140"/>
      <c r="J71" s="141"/>
      <c r="K71" s="142">
        <f t="shared" si="10"/>
        <v>0</v>
      </c>
      <c r="L71" s="142"/>
      <c r="M71" s="142"/>
      <c r="N71" s="142"/>
      <c r="O71" s="142"/>
      <c r="P71" s="142"/>
      <c r="Q71" s="142"/>
      <c r="R71" s="142"/>
      <c r="S71" s="142"/>
      <c r="T71" s="143"/>
      <c r="U71" s="264"/>
    </row>
    <row r="72" spans="1:21" ht="13.5" thickBot="1">
      <c r="A72" s="285"/>
      <c r="B72" s="287"/>
      <c r="C72" s="287"/>
      <c r="D72" s="315"/>
      <c r="E72" s="324"/>
      <c r="F72" s="267"/>
      <c r="G72" s="281">
        <f>G66+G69</f>
        <v>71450129</v>
      </c>
      <c r="H72" s="139" t="s">
        <v>116</v>
      </c>
      <c r="I72" s="140"/>
      <c r="J72" s="141"/>
      <c r="K72" s="142">
        <f t="shared" si="10"/>
        <v>0</v>
      </c>
      <c r="L72" s="142"/>
      <c r="M72" s="142"/>
      <c r="N72" s="142"/>
      <c r="O72" s="142"/>
      <c r="P72" s="142"/>
      <c r="Q72" s="142"/>
      <c r="R72" s="142"/>
      <c r="S72" s="142"/>
      <c r="T72" s="143"/>
      <c r="U72" s="264"/>
    </row>
    <row r="73" spans="1:21" ht="13.5" thickBot="1">
      <c r="A73" s="285"/>
      <c r="B73" s="287"/>
      <c r="C73" s="287"/>
      <c r="D73" s="315"/>
      <c r="E73" s="324"/>
      <c r="F73" s="267"/>
      <c r="G73" s="282"/>
      <c r="H73" s="139" t="s">
        <v>117</v>
      </c>
      <c r="I73" s="146">
        <f>I65+I67+I69+I71</f>
        <v>0</v>
      </c>
      <c r="J73" s="147">
        <f>J65+J67+J69+J71</f>
        <v>0</v>
      </c>
      <c r="K73" s="148">
        <f t="shared" si="10"/>
        <v>0</v>
      </c>
      <c r="L73" s="148">
        <f aca="true" t="shared" si="15" ref="L73:T73">L65+L67+L69+L71</f>
        <v>0</v>
      </c>
      <c r="M73" s="148">
        <f t="shared" si="15"/>
        <v>0</v>
      </c>
      <c r="N73" s="148">
        <f t="shared" si="15"/>
        <v>0</v>
      </c>
      <c r="O73" s="148">
        <f t="shared" si="15"/>
        <v>0</v>
      </c>
      <c r="P73" s="148">
        <f t="shared" si="15"/>
        <v>0</v>
      </c>
      <c r="Q73" s="148">
        <f t="shared" si="15"/>
        <v>0</v>
      </c>
      <c r="R73" s="148">
        <f t="shared" si="15"/>
        <v>0</v>
      </c>
      <c r="S73" s="148">
        <f t="shared" si="15"/>
        <v>0</v>
      </c>
      <c r="T73" s="149">
        <f t="shared" si="15"/>
        <v>0</v>
      </c>
      <c r="U73" s="264"/>
    </row>
    <row r="74" spans="1:21" ht="13.5" thickBot="1">
      <c r="A74" s="313"/>
      <c r="B74" s="318"/>
      <c r="C74" s="287"/>
      <c r="D74" s="316"/>
      <c r="E74" s="324"/>
      <c r="F74" s="310"/>
      <c r="G74" s="283"/>
      <c r="H74" s="150" t="s">
        <v>118</v>
      </c>
      <c r="I74" s="151">
        <f>I66+I68+I70+I72</f>
        <v>1362713</v>
      </c>
      <c r="J74" s="152">
        <f>J66+J68+J70+J72</f>
        <v>0</v>
      </c>
      <c r="K74" s="153">
        <f t="shared" si="10"/>
        <v>1362713</v>
      </c>
      <c r="L74" s="153">
        <f aca="true" t="shared" si="16" ref="L74:T74">L66+L68+L70+L72</f>
        <v>800000</v>
      </c>
      <c r="M74" s="153">
        <f t="shared" si="16"/>
        <v>23445919</v>
      </c>
      <c r="N74" s="153">
        <f t="shared" si="16"/>
        <v>28274258</v>
      </c>
      <c r="O74" s="153">
        <f t="shared" si="16"/>
        <v>17567239</v>
      </c>
      <c r="P74" s="153">
        <f t="shared" si="16"/>
        <v>0</v>
      </c>
      <c r="Q74" s="153">
        <f t="shared" si="16"/>
        <v>0</v>
      </c>
      <c r="R74" s="153">
        <f t="shared" si="16"/>
        <v>0</v>
      </c>
      <c r="S74" s="153">
        <f t="shared" si="16"/>
        <v>0</v>
      </c>
      <c r="T74" s="154">
        <f t="shared" si="16"/>
        <v>0</v>
      </c>
      <c r="U74" s="307"/>
    </row>
    <row r="75" spans="1:21" ht="12.75" customHeight="1">
      <c r="A75" s="284">
        <f>A65+1</f>
        <v>8</v>
      </c>
      <c r="B75" s="287">
        <v>600</v>
      </c>
      <c r="C75" s="286">
        <v>60095</v>
      </c>
      <c r="D75" s="337" t="s">
        <v>127</v>
      </c>
      <c r="E75" s="335" t="s">
        <v>128</v>
      </c>
      <c r="F75" s="321">
        <v>2009</v>
      </c>
      <c r="G75" s="132" t="s">
        <v>106</v>
      </c>
      <c r="H75" s="133" t="s">
        <v>107</v>
      </c>
      <c r="I75" s="168">
        <f>22500-22500</f>
        <v>0</v>
      </c>
      <c r="J75" s="160">
        <v>4315</v>
      </c>
      <c r="K75" s="169">
        <f t="shared" si="10"/>
        <v>4315</v>
      </c>
      <c r="L75" s="169">
        <v>54630</v>
      </c>
      <c r="M75" s="170">
        <v>19800</v>
      </c>
      <c r="N75" s="170"/>
      <c r="O75" s="170"/>
      <c r="P75" s="170"/>
      <c r="Q75" s="170"/>
      <c r="R75" s="170"/>
      <c r="S75" s="170"/>
      <c r="T75" s="171"/>
      <c r="U75" s="340">
        <f>M83+N83+O83+P83+Q83+R83+S83+M84+N84+O84+P84+Q84+R84+T83+T84+S84</f>
        <v>132000</v>
      </c>
    </row>
    <row r="76" spans="1:21" ht="12.75">
      <c r="A76" s="285"/>
      <c r="B76" s="287"/>
      <c r="C76" s="287"/>
      <c r="D76" s="338"/>
      <c r="E76" s="268"/>
      <c r="F76" s="267"/>
      <c r="G76" s="281">
        <f>SUM(K83:T83)</f>
        <v>524947</v>
      </c>
      <c r="H76" s="139" t="s">
        <v>108</v>
      </c>
      <c r="I76" s="172"/>
      <c r="J76" s="161"/>
      <c r="K76" s="173">
        <f t="shared" si="10"/>
        <v>0</v>
      </c>
      <c r="L76" s="173">
        <v>11250</v>
      </c>
      <c r="M76" s="173"/>
      <c r="N76" s="173"/>
      <c r="O76" s="173"/>
      <c r="P76" s="173"/>
      <c r="Q76" s="173"/>
      <c r="R76" s="173"/>
      <c r="S76" s="173"/>
      <c r="T76" s="174"/>
      <c r="U76" s="297"/>
    </row>
    <row r="77" spans="1:21" ht="12.75">
      <c r="A77" s="285"/>
      <c r="B77" s="287"/>
      <c r="C77" s="287"/>
      <c r="D77" s="338"/>
      <c r="E77" s="268"/>
      <c r="F77" s="267"/>
      <c r="G77" s="317"/>
      <c r="H77" s="139" t="s">
        <v>109</v>
      </c>
      <c r="I77" s="172"/>
      <c r="J77" s="161"/>
      <c r="K77" s="173">
        <f t="shared" si="10"/>
        <v>0</v>
      </c>
      <c r="L77" s="173"/>
      <c r="M77" s="173"/>
      <c r="N77" s="173"/>
      <c r="O77" s="173"/>
      <c r="P77" s="173"/>
      <c r="Q77" s="173"/>
      <c r="R77" s="173"/>
      <c r="S77" s="173"/>
      <c r="T77" s="174"/>
      <c r="U77" s="297"/>
    </row>
    <row r="78" spans="1:21" ht="12.75">
      <c r="A78" s="285"/>
      <c r="B78" s="287"/>
      <c r="C78" s="287"/>
      <c r="D78" s="338"/>
      <c r="E78" s="268"/>
      <c r="F78" s="267"/>
      <c r="G78" s="145" t="s">
        <v>110</v>
      </c>
      <c r="H78" s="139" t="s">
        <v>111</v>
      </c>
      <c r="I78" s="172"/>
      <c r="J78" s="161"/>
      <c r="K78" s="173">
        <f aca="true" t="shared" si="17" ref="K78:K104">SUM(I78:J78)</f>
        <v>0</v>
      </c>
      <c r="L78" s="173"/>
      <c r="M78" s="173"/>
      <c r="N78" s="173"/>
      <c r="O78" s="173"/>
      <c r="P78" s="173"/>
      <c r="Q78" s="173"/>
      <c r="R78" s="173"/>
      <c r="S78" s="173"/>
      <c r="T78" s="174"/>
      <c r="U78" s="297"/>
    </row>
    <row r="79" spans="1:21" ht="12.75">
      <c r="A79" s="285"/>
      <c r="B79" s="287"/>
      <c r="C79" s="287"/>
      <c r="D79" s="338"/>
      <c r="E79" s="268"/>
      <c r="F79" s="267"/>
      <c r="G79" s="281">
        <f>SUM(K84:T84)</f>
        <v>75000</v>
      </c>
      <c r="H79" s="139" t="s">
        <v>112</v>
      </c>
      <c r="I79" s="172">
        <f>127500-127500</f>
        <v>0</v>
      </c>
      <c r="J79" s="161">
        <v>24432</v>
      </c>
      <c r="K79" s="173">
        <f t="shared" si="17"/>
        <v>24432</v>
      </c>
      <c r="L79" s="173">
        <v>309570</v>
      </c>
      <c r="M79" s="173">
        <v>112200</v>
      </c>
      <c r="N79" s="173"/>
      <c r="O79" s="173"/>
      <c r="P79" s="173"/>
      <c r="Q79" s="173"/>
      <c r="R79" s="173"/>
      <c r="S79" s="173"/>
      <c r="T79" s="174"/>
      <c r="U79" s="297"/>
    </row>
    <row r="80" spans="1:21" ht="12.75">
      <c r="A80" s="285"/>
      <c r="B80" s="287"/>
      <c r="C80" s="287"/>
      <c r="D80" s="338"/>
      <c r="E80" s="268"/>
      <c r="F80" s="267">
        <v>2012</v>
      </c>
      <c r="G80" s="317"/>
      <c r="H80" s="139" t="s">
        <v>113</v>
      </c>
      <c r="I80" s="172"/>
      <c r="J80" s="161"/>
      <c r="K80" s="173">
        <f t="shared" si="17"/>
        <v>0</v>
      </c>
      <c r="L80" s="173">
        <v>63750</v>
      </c>
      <c r="M80" s="173"/>
      <c r="N80" s="173"/>
      <c r="O80" s="173"/>
      <c r="P80" s="173"/>
      <c r="Q80" s="173"/>
      <c r="R80" s="173"/>
      <c r="S80" s="173"/>
      <c r="T80" s="174"/>
      <c r="U80" s="297"/>
    </row>
    <row r="81" spans="1:21" ht="12.75">
      <c r="A81" s="285"/>
      <c r="B81" s="287"/>
      <c r="C81" s="287"/>
      <c r="D81" s="338"/>
      <c r="E81" s="268"/>
      <c r="F81" s="267"/>
      <c r="G81" s="145" t="s">
        <v>114</v>
      </c>
      <c r="H81" s="139" t="s">
        <v>115</v>
      </c>
      <c r="I81" s="172"/>
      <c r="J81" s="161"/>
      <c r="K81" s="173">
        <f t="shared" si="17"/>
        <v>0</v>
      </c>
      <c r="L81" s="173"/>
      <c r="M81" s="173"/>
      <c r="N81" s="173"/>
      <c r="O81" s="173"/>
      <c r="P81" s="173"/>
      <c r="Q81" s="173"/>
      <c r="R81" s="173"/>
      <c r="S81" s="173"/>
      <c r="T81" s="174"/>
      <c r="U81" s="297"/>
    </row>
    <row r="82" spans="1:21" ht="12.75">
      <c r="A82" s="285"/>
      <c r="B82" s="287"/>
      <c r="C82" s="287"/>
      <c r="D82" s="338"/>
      <c r="E82" s="268"/>
      <c r="F82" s="267"/>
      <c r="G82" s="281">
        <f>G76+G79</f>
        <v>599947</v>
      </c>
      <c r="H82" s="139" t="s">
        <v>116</v>
      </c>
      <c r="I82" s="172"/>
      <c r="J82" s="161"/>
      <c r="K82" s="173">
        <f t="shared" si="17"/>
        <v>0</v>
      </c>
      <c r="L82" s="173"/>
      <c r="M82" s="173"/>
      <c r="N82" s="173"/>
      <c r="O82" s="173"/>
      <c r="P82" s="173"/>
      <c r="Q82" s="173"/>
      <c r="R82" s="173"/>
      <c r="S82" s="173"/>
      <c r="T82" s="174"/>
      <c r="U82" s="297"/>
    </row>
    <row r="83" spans="1:21" ht="12.75">
      <c r="A83" s="285"/>
      <c r="B83" s="287"/>
      <c r="C83" s="287"/>
      <c r="D83" s="338"/>
      <c r="E83" s="268"/>
      <c r="F83" s="267"/>
      <c r="G83" s="282"/>
      <c r="H83" s="139" t="s">
        <v>117</v>
      </c>
      <c r="I83" s="175">
        <f>I75+I77+I79+I81</f>
        <v>0</v>
      </c>
      <c r="J83" s="162">
        <f>J75+J77+J79+J81</f>
        <v>28747</v>
      </c>
      <c r="K83" s="176">
        <f t="shared" si="17"/>
        <v>28747</v>
      </c>
      <c r="L83" s="176">
        <f aca="true" t="shared" si="18" ref="L83:T83">L75+L77+L79+L81</f>
        <v>364200</v>
      </c>
      <c r="M83" s="176">
        <f t="shared" si="18"/>
        <v>132000</v>
      </c>
      <c r="N83" s="176">
        <f t="shared" si="18"/>
        <v>0</v>
      </c>
      <c r="O83" s="176">
        <f t="shared" si="18"/>
        <v>0</v>
      </c>
      <c r="P83" s="176">
        <f t="shared" si="18"/>
        <v>0</v>
      </c>
      <c r="Q83" s="176">
        <f t="shared" si="18"/>
        <v>0</v>
      </c>
      <c r="R83" s="176">
        <f t="shared" si="18"/>
        <v>0</v>
      </c>
      <c r="S83" s="176">
        <f t="shared" si="18"/>
        <v>0</v>
      </c>
      <c r="T83" s="177">
        <f t="shared" si="18"/>
        <v>0</v>
      </c>
      <c r="U83" s="297"/>
    </row>
    <row r="84" spans="1:21" ht="13.5" thickBot="1">
      <c r="A84" s="313"/>
      <c r="B84" s="287"/>
      <c r="C84" s="287"/>
      <c r="D84" s="339"/>
      <c r="E84" s="265"/>
      <c r="F84" s="310"/>
      <c r="G84" s="283"/>
      <c r="H84" s="150" t="s">
        <v>118</v>
      </c>
      <c r="I84" s="178">
        <f>I76+I78+I80+I82</f>
        <v>0</v>
      </c>
      <c r="J84" s="163">
        <f>J76+J78+J80+J82</f>
        <v>0</v>
      </c>
      <c r="K84" s="179">
        <f t="shared" si="17"/>
        <v>0</v>
      </c>
      <c r="L84" s="179">
        <f aca="true" t="shared" si="19" ref="L84:T84">L76+L78+L80+L82</f>
        <v>75000</v>
      </c>
      <c r="M84" s="179">
        <f t="shared" si="19"/>
        <v>0</v>
      </c>
      <c r="N84" s="179">
        <f t="shared" si="19"/>
        <v>0</v>
      </c>
      <c r="O84" s="179">
        <f t="shared" si="19"/>
        <v>0</v>
      </c>
      <c r="P84" s="179">
        <f t="shared" si="19"/>
        <v>0</v>
      </c>
      <c r="Q84" s="179">
        <f t="shared" si="19"/>
        <v>0</v>
      </c>
      <c r="R84" s="179">
        <f t="shared" si="19"/>
        <v>0</v>
      </c>
      <c r="S84" s="179">
        <f t="shared" si="19"/>
        <v>0</v>
      </c>
      <c r="T84" s="180">
        <f t="shared" si="19"/>
        <v>0</v>
      </c>
      <c r="U84" s="298"/>
    </row>
    <row r="85" spans="1:21" ht="12.75">
      <c r="A85" s="284">
        <f>A75+1</f>
        <v>9</v>
      </c>
      <c r="B85" s="286">
        <v>600</v>
      </c>
      <c r="C85" s="286">
        <v>60095</v>
      </c>
      <c r="D85" s="350" t="s">
        <v>129</v>
      </c>
      <c r="E85" s="335" t="s">
        <v>128</v>
      </c>
      <c r="F85" s="321">
        <v>2008</v>
      </c>
      <c r="G85" s="132" t="s">
        <v>106</v>
      </c>
      <c r="H85" s="133" t="s">
        <v>107</v>
      </c>
      <c r="I85" s="134">
        <f>30000-30000</f>
        <v>0</v>
      </c>
      <c r="J85" s="135">
        <v>30000</v>
      </c>
      <c r="K85" s="158">
        <f t="shared" si="17"/>
        <v>30000</v>
      </c>
      <c r="L85" s="158">
        <v>30000</v>
      </c>
      <c r="M85" s="158">
        <v>9000</v>
      </c>
      <c r="N85" s="136"/>
      <c r="O85" s="136"/>
      <c r="P85" s="136"/>
      <c r="Q85" s="136"/>
      <c r="R85" s="136"/>
      <c r="S85" s="136"/>
      <c r="T85" s="137"/>
      <c r="U85" s="322">
        <f>M93+N93+O93+P93+Q93+R93+S93+M94+N94+O94+P94+Q94+R94+T93+T94+S94</f>
        <v>60000</v>
      </c>
    </row>
    <row r="86" spans="1:21" ht="12.75">
      <c r="A86" s="285"/>
      <c r="B86" s="287"/>
      <c r="C86" s="287"/>
      <c r="D86" s="351"/>
      <c r="E86" s="268"/>
      <c r="F86" s="267"/>
      <c r="G86" s="281">
        <f>SUM(K93:T93)</f>
        <v>460000</v>
      </c>
      <c r="H86" s="139" t="s">
        <v>108</v>
      </c>
      <c r="I86" s="140"/>
      <c r="J86" s="141"/>
      <c r="K86" s="142">
        <f t="shared" si="17"/>
        <v>0</v>
      </c>
      <c r="L86" s="142"/>
      <c r="M86" s="142"/>
      <c r="N86" s="142"/>
      <c r="O86" s="142"/>
      <c r="P86" s="142"/>
      <c r="Q86" s="142"/>
      <c r="R86" s="142"/>
      <c r="S86" s="142"/>
      <c r="T86" s="143"/>
      <c r="U86" s="264"/>
    </row>
    <row r="87" spans="1:21" ht="12.75">
      <c r="A87" s="285"/>
      <c r="B87" s="287"/>
      <c r="C87" s="287"/>
      <c r="D87" s="351"/>
      <c r="E87" s="268"/>
      <c r="F87" s="267"/>
      <c r="G87" s="317"/>
      <c r="H87" s="139" t="s">
        <v>109</v>
      </c>
      <c r="I87" s="140"/>
      <c r="J87" s="141"/>
      <c r="K87" s="142">
        <f t="shared" si="17"/>
        <v>0</v>
      </c>
      <c r="L87" s="142"/>
      <c r="M87" s="142"/>
      <c r="N87" s="142"/>
      <c r="O87" s="142"/>
      <c r="P87" s="142"/>
      <c r="Q87" s="142"/>
      <c r="R87" s="142"/>
      <c r="S87" s="142"/>
      <c r="T87" s="143"/>
      <c r="U87" s="264"/>
    </row>
    <row r="88" spans="1:21" ht="12.75">
      <c r="A88" s="285"/>
      <c r="B88" s="287"/>
      <c r="C88" s="287"/>
      <c r="D88" s="351"/>
      <c r="E88" s="268"/>
      <c r="F88" s="267"/>
      <c r="G88" s="145" t="s">
        <v>110</v>
      </c>
      <c r="H88" s="139" t="s">
        <v>111</v>
      </c>
      <c r="I88" s="140"/>
      <c r="J88" s="141"/>
      <c r="K88" s="142">
        <f t="shared" si="17"/>
        <v>0</v>
      </c>
      <c r="L88" s="142"/>
      <c r="M88" s="142"/>
      <c r="N88" s="142"/>
      <c r="O88" s="142"/>
      <c r="P88" s="142"/>
      <c r="Q88" s="142"/>
      <c r="R88" s="142"/>
      <c r="S88" s="142"/>
      <c r="T88" s="143"/>
      <c r="U88" s="264"/>
    </row>
    <row r="89" spans="1:21" ht="12.75">
      <c r="A89" s="285"/>
      <c r="B89" s="287"/>
      <c r="C89" s="287"/>
      <c r="D89" s="351"/>
      <c r="E89" s="268"/>
      <c r="F89" s="267"/>
      <c r="G89" s="281">
        <f>SUM(K94:T94)</f>
        <v>0</v>
      </c>
      <c r="H89" s="139" t="s">
        <v>112</v>
      </c>
      <c r="I89" s="140">
        <f>170000-170000</f>
        <v>0</v>
      </c>
      <c r="J89" s="141">
        <v>170000</v>
      </c>
      <c r="K89" s="142">
        <f t="shared" si="17"/>
        <v>170000</v>
      </c>
      <c r="L89" s="142">
        <v>170000</v>
      </c>
      <c r="M89" s="142">
        <v>51000</v>
      </c>
      <c r="N89" s="142"/>
      <c r="O89" s="142"/>
      <c r="P89" s="142"/>
      <c r="Q89" s="142"/>
      <c r="R89" s="142"/>
      <c r="S89" s="142"/>
      <c r="T89" s="143"/>
      <c r="U89" s="264"/>
    </row>
    <row r="90" spans="1:21" ht="12.75">
      <c r="A90" s="285"/>
      <c r="B90" s="287"/>
      <c r="C90" s="287"/>
      <c r="D90" s="351"/>
      <c r="E90" s="268"/>
      <c r="F90" s="267">
        <v>2012</v>
      </c>
      <c r="G90" s="317"/>
      <c r="H90" s="139" t="s">
        <v>113</v>
      </c>
      <c r="I90" s="140"/>
      <c r="J90" s="141"/>
      <c r="K90" s="142">
        <f t="shared" si="17"/>
        <v>0</v>
      </c>
      <c r="L90" s="142"/>
      <c r="M90" s="142"/>
      <c r="N90" s="142"/>
      <c r="O90" s="142"/>
      <c r="P90" s="142"/>
      <c r="Q90" s="142"/>
      <c r="R90" s="142"/>
      <c r="S90" s="142"/>
      <c r="T90" s="143"/>
      <c r="U90" s="264"/>
    </row>
    <row r="91" spans="1:21" ht="12.75">
      <c r="A91" s="285"/>
      <c r="B91" s="287"/>
      <c r="C91" s="287"/>
      <c r="D91" s="351"/>
      <c r="E91" s="268"/>
      <c r="F91" s="267"/>
      <c r="G91" s="145" t="s">
        <v>114</v>
      </c>
      <c r="H91" s="139" t="s">
        <v>115</v>
      </c>
      <c r="I91" s="140"/>
      <c r="J91" s="141"/>
      <c r="K91" s="142">
        <f t="shared" si="17"/>
        <v>0</v>
      </c>
      <c r="L91" s="142"/>
      <c r="M91" s="142"/>
      <c r="N91" s="142"/>
      <c r="O91" s="142"/>
      <c r="P91" s="142"/>
      <c r="Q91" s="142"/>
      <c r="R91" s="142"/>
      <c r="S91" s="142"/>
      <c r="T91" s="143"/>
      <c r="U91" s="264"/>
    </row>
    <row r="92" spans="1:21" ht="12.75">
      <c r="A92" s="285"/>
      <c r="B92" s="287"/>
      <c r="C92" s="287"/>
      <c r="D92" s="351"/>
      <c r="E92" s="268"/>
      <c r="F92" s="267"/>
      <c r="G92" s="281">
        <f>G86+G89</f>
        <v>460000</v>
      </c>
      <c r="H92" s="139" t="s">
        <v>116</v>
      </c>
      <c r="I92" s="140"/>
      <c r="J92" s="141"/>
      <c r="K92" s="142">
        <f t="shared" si="17"/>
        <v>0</v>
      </c>
      <c r="L92" s="142"/>
      <c r="M92" s="142"/>
      <c r="N92" s="142"/>
      <c r="O92" s="142"/>
      <c r="P92" s="142"/>
      <c r="Q92" s="142"/>
      <c r="R92" s="142"/>
      <c r="S92" s="142"/>
      <c r="T92" s="143"/>
      <c r="U92" s="264"/>
    </row>
    <row r="93" spans="1:21" ht="12.75">
      <c r="A93" s="285"/>
      <c r="B93" s="287"/>
      <c r="C93" s="287"/>
      <c r="D93" s="351"/>
      <c r="E93" s="268"/>
      <c r="F93" s="267"/>
      <c r="G93" s="282"/>
      <c r="H93" s="139" t="s">
        <v>117</v>
      </c>
      <c r="I93" s="146">
        <f>I85+I87+I89+I91</f>
        <v>0</v>
      </c>
      <c r="J93" s="147">
        <f>J85+J87+J89+J91</f>
        <v>200000</v>
      </c>
      <c r="K93" s="148">
        <f t="shared" si="17"/>
        <v>200000</v>
      </c>
      <c r="L93" s="148">
        <f aca="true" t="shared" si="20" ref="L93:T93">L85+L87+L89+L91</f>
        <v>200000</v>
      </c>
      <c r="M93" s="148">
        <f t="shared" si="20"/>
        <v>60000</v>
      </c>
      <c r="N93" s="148">
        <f t="shared" si="20"/>
        <v>0</v>
      </c>
      <c r="O93" s="148">
        <f t="shared" si="20"/>
        <v>0</v>
      </c>
      <c r="P93" s="148">
        <f t="shared" si="20"/>
        <v>0</v>
      </c>
      <c r="Q93" s="148">
        <f t="shared" si="20"/>
        <v>0</v>
      </c>
      <c r="R93" s="148">
        <f t="shared" si="20"/>
        <v>0</v>
      </c>
      <c r="S93" s="148">
        <f t="shared" si="20"/>
        <v>0</v>
      </c>
      <c r="T93" s="149">
        <f t="shared" si="20"/>
        <v>0</v>
      </c>
      <c r="U93" s="264"/>
    </row>
    <row r="94" spans="1:21" ht="13.5" thickBot="1">
      <c r="A94" s="313"/>
      <c r="B94" s="318"/>
      <c r="C94" s="318"/>
      <c r="D94" s="352"/>
      <c r="E94" s="265"/>
      <c r="F94" s="310"/>
      <c r="G94" s="283"/>
      <c r="H94" s="150" t="s">
        <v>118</v>
      </c>
      <c r="I94" s="151">
        <f>I86+I88+I90+I92</f>
        <v>0</v>
      </c>
      <c r="J94" s="152">
        <f>J86+J88+J90+J92</f>
        <v>0</v>
      </c>
      <c r="K94" s="153">
        <f t="shared" si="17"/>
        <v>0</v>
      </c>
      <c r="L94" s="153">
        <f aca="true" t="shared" si="21" ref="L94:T94">L86+L88+L90+L92</f>
        <v>0</v>
      </c>
      <c r="M94" s="153">
        <f t="shared" si="21"/>
        <v>0</v>
      </c>
      <c r="N94" s="153">
        <f t="shared" si="21"/>
        <v>0</v>
      </c>
      <c r="O94" s="153">
        <f t="shared" si="21"/>
        <v>0</v>
      </c>
      <c r="P94" s="153">
        <f t="shared" si="21"/>
        <v>0</v>
      </c>
      <c r="Q94" s="153">
        <f t="shared" si="21"/>
        <v>0</v>
      </c>
      <c r="R94" s="153">
        <f t="shared" si="21"/>
        <v>0</v>
      </c>
      <c r="S94" s="153">
        <f t="shared" si="21"/>
        <v>0</v>
      </c>
      <c r="T94" s="154">
        <f t="shared" si="21"/>
        <v>0</v>
      </c>
      <c r="U94" s="307"/>
    </row>
    <row r="95" spans="1:21" ht="12.75">
      <c r="A95" s="284">
        <f>A85+1</f>
        <v>10</v>
      </c>
      <c r="B95" s="287">
        <v>600</v>
      </c>
      <c r="C95" s="287">
        <v>60095</v>
      </c>
      <c r="D95" s="350" t="s">
        <v>130</v>
      </c>
      <c r="E95" s="269" t="s">
        <v>131</v>
      </c>
      <c r="F95" s="266">
        <v>2010</v>
      </c>
      <c r="G95" s="144" t="s">
        <v>106</v>
      </c>
      <c r="H95" s="155" t="s">
        <v>107</v>
      </c>
      <c r="I95" s="156">
        <f>32312-32312</f>
        <v>0</v>
      </c>
      <c r="J95" s="157">
        <f>32312-25474</f>
        <v>6838</v>
      </c>
      <c r="K95" s="158">
        <f t="shared" si="17"/>
        <v>6838</v>
      </c>
      <c r="L95" s="158">
        <f>41686+25474</f>
        <v>67160</v>
      </c>
      <c r="M95" s="158">
        <v>86816</v>
      </c>
      <c r="N95" s="158">
        <v>22066</v>
      </c>
      <c r="O95" s="158"/>
      <c r="P95" s="158"/>
      <c r="Q95" s="158"/>
      <c r="R95" s="158"/>
      <c r="S95" s="158"/>
      <c r="T95" s="159"/>
      <c r="U95" s="322">
        <f>M103+N103+O103+P103+Q103+R103+S103+M104+N104+O104+P104+Q104+R104+T103+T104+S104</f>
        <v>384335</v>
      </c>
    </row>
    <row r="96" spans="1:21" ht="12.75">
      <c r="A96" s="285"/>
      <c r="B96" s="287"/>
      <c r="C96" s="287"/>
      <c r="D96" s="351"/>
      <c r="E96" s="268"/>
      <c r="F96" s="267"/>
      <c r="G96" s="281">
        <f>SUM(K103:T103)</f>
        <v>645536</v>
      </c>
      <c r="H96" s="139" t="s">
        <v>108</v>
      </c>
      <c r="I96" s="140"/>
      <c r="J96" s="141"/>
      <c r="K96" s="142">
        <f t="shared" si="17"/>
        <v>0</v>
      </c>
      <c r="L96" s="142"/>
      <c r="M96" s="142"/>
      <c r="N96" s="142"/>
      <c r="O96" s="142"/>
      <c r="P96" s="142"/>
      <c r="Q96" s="142"/>
      <c r="R96" s="142"/>
      <c r="S96" s="142"/>
      <c r="T96" s="143"/>
      <c r="U96" s="264"/>
    </row>
    <row r="97" spans="1:21" ht="12.75">
      <c r="A97" s="285"/>
      <c r="B97" s="287"/>
      <c r="C97" s="287"/>
      <c r="D97" s="351"/>
      <c r="E97" s="268"/>
      <c r="F97" s="267"/>
      <c r="G97" s="317"/>
      <c r="H97" s="139" t="s">
        <v>109</v>
      </c>
      <c r="I97" s="140"/>
      <c r="J97" s="141"/>
      <c r="K97" s="142">
        <f t="shared" si="17"/>
        <v>0</v>
      </c>
      <c r="L97" s="142"/>
      <c r="M97" s="142"/>
      <c r="N97" s="142"/>
      <c r="O97" s="142"/>
      <c r="P97" s="142"/>
      <c r="Q97" s="142"/>
      <c r="R97" s="142"/>
      <c r="S97" s="142"/>
      <c r="T97" s="143"/>
      <c r="U97" s="264"/>
    </row>
    <row r="98" spans="1:21" ht="12.75">
      <c r="A98" s="285"/>
      <c r="B98" s="287"/>
      <c r="C98" s="287"/>
      <c r="D98" s="351"/>
      <c r="E98" s="268"/>
      <c r="F98" s="267"/>
      <c r="G98" s="145" t="s">
        <v>110</v>
      </c>
      <c r="H98" s="139" t="s">
        <v>111</v>
      </c>
      <c r="I98" s="140"/>
      <c r="J98" s="141"/>
      <c r="K98" s="142">
        <f t="shared" si="17"/>
        <v>0</v>
      </c>
      <c r="L98" s="142"/>
      <c r="M98" s="142"/>
      <c r="N98" s="142"/>
      <c r="O98" s="142"/>
      <c r="P98" s="142"/>
      <c r="Q98" s="142"/>
      <c r="R98" s="142"/>
      <c r="S98" s="142"/>
      <c r="T98" s="143"/>
      <c r="U98" s="264"/>
    </row>
    <row r="99" spans="1:21" ht="12.75">
      <c r="A99" s="285"/>
      <c r="B99" s="287"/>
      <c r="C99" s="287"/>
      <c r="D99" s="351"/>
      <c r="E99" s="268"/>
      <c r="F99" s="267"/>
      <c r="G99" s="281">
        <f>SUM(K104:T104)</f>
        <v>0</v>
      </c>
      <c r="H99" s="139" t="s">
        <v>112</v>
      </c>
      <c r="I99" s="140">
        <f>81744-81744</f>
        <v>0</v>
      </c>
      <c r="J99" s="141">
        <f>81744-64448</f>
        <v>17296</v>
      </c>
      <c r="K99" s="142">
        <f t="shared" si="17"/>
        <v>17296</v>
      </c>
      <c r="L99" s="142">
        <f>105459+64448</f>
        <v>169907</v>
      </c>
      <c r="M99" s="142">
        <v>219629</v>
      </c>
      <c r="N99" s="142">
        <v>55824</v>
      </c>
      <c r="O99" s="142"/>
      <c r="P99" s="142"/>
      <c r="Q99" s="142"/>
      <c r="R99" s="142"/>
      <c r="S99" s="142"/>
      <c r="T99" s="143"/>
      <c r="U99" s="264"/>
    </row>
    <row r="100" spans="1:21" ht="12.75">
      <c r="A100" s="285"/>
      <c r="B100" s="287"/>
      <c r="C100" s="287"/>
      <c r="D100" s="351"/>
      <c r="E100" s="268"/>
      <c r="F100" s="267">
        <v>2013</v>
      </c>
      <c r="G100" s="317"/>
      <c r="H100" s="139" t="s">
        <v>113</v>
      </c>
      <c r="I100" s="140"/>
      <c r="J100" s="141"/>
      <c r="K100" s="142">
        <f t="shared" si="17"/>
        <v>0</v>
      </c>
      <c r="L100" s="142"/>
      <c r="M100" s="142"/>
      <c r="N100" s="142"/>
      <c r="O100" s="142"/>
      <c r="P100" s="142"/>
      <c r="Q100" s="142"/>
      <c r="R100" s="142"/>
      <c r="S100" s="142"/>
      <c r="T100" s="143"/>
      <c r="U100" s="264"/>
    </row>
    <row r="101" spans="1:21" ht="12.75">
      <c r="A101" s="285"/>
      <c r="B101" s="287"/>
      <c r="C101" s="287"/>
      <c r="D101" s="351"/>
      <c r="E101" s="268"/>
      <c r="F101" s="267"/>
      <c r="G101" s="145" t="s">
        <v>114</v>
      </c>
      <c r="H101" s="139" t="s">
        <v>115</v>
      </c>
      <c r="I101" s="140"/>
      <c r="J101" s="141"/>
      <c r="K101" s="142">
        <f t="shared" si="17"/>
        <v>0</v>
      </c>
      <c r="L101" s="142"/>
      <c r="M101" s="142"/>
      <c r="N101" s="142"/>
      <c r="O101" s="142"/>
      <c r="P101" s="142"/>
      <c r="Q101" s="142"/>
      <c r="R101" s="142"/>
      <c r="S101" s="142"/>
      <c r="T101" s="143"/>
      <c r="U101" s="264"/>
    </row>
    <row r="102" spans="1:21" ht="12.75">
      <c r="A102" s="285"/>
      <c r="B102" s="287"/>
      <c r="C102" s="287"/>
      <c r="D102" s="351"/>
      <c r="E102" s="268"/>
      <c r="F102" s="267"/>
      <c r="G102" s="281">
        <f>G96+G99</f>
        <v>645536</v>
      </c>
      <c r="H102" s="139" t="s">
        <v>116</v>
      </c>
      <c r="I102" s="140"/>
      <c r="J102" s="141"/>
      <c r="K102" s="142">
        <f t="shared" si="17"/>
        <v>0</v>
      </c>
      <c r="L102" s="142"/>
      <c r="M102" s="142"/>
      <c r="N102" s="142"/>
      <c r="O102" s="142"/>
      <c r="P102" s="142"/>
      <c r="Q102" s="142"/>
      <c r="R102" s="142"/>
      <c r="S102" s="142"/>
      <c r="T102" s="143"/>
      <c r="U102" s="264"/>
    </row>
    <row r="103" spans="1:21" ht="12.75">
      <c r="A103" s="285"/>
      <c r="B103" s="287"/>
      <c r="C103" s="287"/>
      <c r="D103" s="351"/>
      <c r="E103" s="268"/>
      <c r="F103" s="267"/>
      <c r="G103" s="282"/>
      <c r="H103" s="139" t="s">
        <v>117</v>
      </c>
      <c r="I103" s="146">
        <f>I95+I97+I99+I101</f>
        <v>0</v>
      </c>
      <c r="J103" s="147">
        <f>J95+J97+J99+J101</f>
        <v>24134</v>
      </c>
      <c r="K103" s="148">
        <f t="shared" si="17"/>
        <v>24134</v>
      </c>
      <c r="L103" s="148">
        <f aca="true" t="shared" si="22" ref="L103:T103">L95+L97+L99+L101</f>
        <v>237067</v>
      </c>
      <c r="M103" s="148">
        <f t="shared" si="22"/>
        <v>306445</v>
      </c>
      <c r="N103" s="148">
        <f t="shared" si="22"/>
        <v>77890</v>
      </c>
      <c r="O103" s="148">
        <f t="shared" si="22"/>
        <v>0</v>
      </c>
      <c r="P103" s="148">
        <f t="shared" si="22"/>
        <v>0</v>
      </c>
      <c r="Q103" s="148">
        <f t="shared" si="22"/>
        <v>0</v>
      </c>
      <c r="R103" s="148">
        <f t="shared" si="22"/>
        <v>0</v>
      </c>
      <c r="S103" s="148">
        <f t="shared" si="22"/>
        <v>0</v>
      </c>
      <c r="T103" s="149">
        <f t="shared" si="22"/>
        <v>0</v>
      </c>
      <c r="U103" s="264"/>
    </row>
    <row r="104" spans="1:21" ht="13.5" thickBot="1">
      <c r="A104" s="313"/>
      <c r="B104" s="287"/>
      <c r="C104" s="287"/>
      <c r="D104" s="352"/>
      <c r="E104" s="349"/>
      <c r="F104" s="336"/>
      <c r="G104" s="283"/>
      <c r="H104" s="164" t="s">
        <v>118</v>
      </c>
      <c r="I104" s="165">
        <f>I96+I98+I100+I102</f>
        <v>0</v>
      </c>
      <c r="J104" s="152">
        <f>J96+J98+J100+J102</f>
        <v>0</v>
      </c>
      <c r="K104" s="153">
        <f t="shared" si="17"/>
        <v>0</v>
      </c>
      <c r="L104" s="153">
        <f aca="true" t="shared" si="23" ref="L104:T104">L96+L98+L100+L102</f>
        <v>0</v>
      </c>
      <c r="M104" s="166">
        <f t="shared" si="23"/>
        <v>0</v>
      </c>
      <c r="N104" s="166">
        <f t="shared" si="23"/>
        <v>0</v>
      </c>
      <c r="O104" s="166">
        <f t="shared" si="23"/>
        <v>0</v>
      </c>
      <c r="P104" s="166">
        <f t="shared" si="23"/>
        <v>0</v>
      </c>
      <c r="Q104" s="166">
        <f t="shared" si="23"/>
        <v>0</v>
      </c>
      <c r="R104" s="166">
        <f t="shared" si="23"/>
        <v>0</v>
      </c>
      <c r="S104" s="166">
        <f t="shared" si="23"/>
        <v>0</v>
      </c>
      <c r="T104" s="167">
        <f t="shared" si="23"/>
        <v>0</v>
      </c>
      <c r="U104" s="307"/>
    </row>
    <row r="105" spans="1:21" ht="12.75" customHeight="1" thickBot="1">
      <c r="A105" s="284">
        <f>A95+1</f>
        <v>11</v>
      </c>
      <c r="B105" s="286">
        <v>710</v>
      </c>
      <c r="C105" s="286">
        <v>71095</v>
      </c>
      <c r="D105" s="323" t="s">
        <v>132</v>
      </c>
      <c r="E105" s="324" t="s">
        <v>133</v>
      </c>
      <c r="F105" s="356">
        <v>2008</v>
      </c>
      <c r="G105" s="132" t="s">
        <v>106</v>
      </c>
      <c r="H105" s="133" t="s">
        <v>107</v>
      </c>
      <c r="I105" s="134"/>
      <c r="J105" s="135"/>
      <c r="K105" s="136">
        <f>10000+12215+2427068</f>
        <v>2449283</v>
      </c>
      <c r="L105" s="136">
        <v>7492234</v>
      </c>
      <c r="M105" s="136">
        <v>12285831</v>
      </c>
      <c r="N105" s="136"/>
      <c r="O105" s="136"/>
      <c r="P105" s="136"/>
      <c r="Q105" s="136"/>
      <c r="R105" s="136"/>
      <c r="S105" s="136"/>
      <c r="T105" s="137"/>
      <c r="U105" s="322">
        <f>M113+N113+O113+P113+Q113+R113+S113+M114+N114+O114+P114+Q114+R114+T113+T114+S114</f>
        <v>67350164</v>
      </c>
    </row>
    <row r="106" spans="1:21" ht="13.5" thickBot="1">
      <c r="A106" s="285"/>
      <c r="B106" s="287"/>
      <c r="C106" s="287"/>
      <c r="D106" s="319"/>
      <c r="E106" s="324"/>
      <c r="F106" s="354"/>
      <c r="G106" s="281">
        <f>SUM(K113:T113)</f>
        <v>22227348</v>
      </c>
      <c r="H106" s="139" t="s">
        <v>108</v>
      </c>
      <c r="I106" s="140"/>
      <c r="J106" s="141"/>
      <c r="K106" s="142">
        <f>860000+94862</f>
        <v>954862</v>
      </c>
      <c r="L106" s="142">
        <v>1000000</v>
      </c>
      <c r="M106" s="142">
        <v>15150000</v>
      </c>
      <c r="N106" s="142"/>
      <c r="O106" s="142"/>
      <c r="P106" s="142"/>
      <c r="Q106" s="142"/>
      <c r="R106" s="142"/>
      <c r="S106" s="142"/>
      <c r="T106" s="143"/>
      <c r="U106" s="264"/>
    </row>
    <row r="107" spans="1:21" ht="13.5" thickBot="1">
      <c r="A107" s="285"/>
      <c r="B107" s="287"/>
      <c r="C107" s="287"/>
      <c r="D107" s="319"/>
      <c r="E107" s="324"/>
      <c r="F107" s="354"/>
      <c r="G107" s="317"/>
      <c r="H107" s="139" t="s">
        <v>109</v>
      </c>
      <c r="I107" s="140"/>
      <c r="J107" s="141"/>
      <c r="K107" s="142">
        <f>SUM(I107:J107)</f>
        <v>0</v>
      </c>
      <c r="L107" s="142"/>
      <c r="M107" s="142"/>
      <c r="N107" s="142"/>
      <c r="O107" s="142"/>
      <c r="P107" s="142"/>
      <c r="Q107" s="142"/>
      <c r="R107" s="142"/>
      <c r="S107" s="142"/>
      <c r="T107" s="143"/>
      <c r="U107" s="264"/>
    </row>
    <row r="108" spans="1:21" ht="13.5" thickBot="1">
      <c r="A108" s="285"/>
      <c r="B108" s="287"/>
      <c r="C108" s="287"/>
      <c r="D108" s="319"/>
      <c r="E108" s="324"/>
      <c r="F108" s="354"/>
      <c r="G108" s="145" t="s">
        <v>110</v>
      </c>
      <c r="H108" s="139" t="s">
        <v>111</v>
      </c>
      <c r="I108" s="140"/>
      <c r="J108" s="141"/>
      <c r="K108" s="142">
        <f>302383+88674+1507456</f>
        <v>1898513</v>
      </c>
      <c r="L108" s="142">
        <v>4991837</v>
      </c>
      <c r="M108" s="142">
        <v>5987150</v>
      </c>
      <c r="N108" s="142"/>
      <c r="O108" s="142"/>
      <c r="P108" s="142"/>
      <c r="Q108" s="142"/>
      <c r="R108" s="142"/>
      <c r="S108" s="142"/>
      <c r="T108" s="143"/>
      <c r="U108" s="264"/>
    </row>
    <row r="109" spans="1:21" ht="13.5" thickBot="1">
      <c r="A109" s="285"/>
      <c r="B109" s="287"/>
      <c r="C109" s="287"/>
      <c r="D109" s="319"/>
      <c r="E109" s="324"/>
      <c r="F109" s="266"/>
      <c r="G109" s="281">
        <f>SUM(K114:T114)</f>
        <v>102954862</v>
      </c>
      <c r="H109" s="139" t="s">
        <v>112</v>
      </c>
      <c r="I109" s="140"/>
      <c r="J109" s="141"/>
      <c r="K109" s="142">
        <f>SUM(I109:J109)</f>
        <v>0</v>
      </c>
      <c r="L109" s="142"/>
      <c r="M109" s="142"/>
      <c r="N109" s="142"/>
      <c r="O109" s="142"/>
      <c r="P109" s="142"/>
      <c r="Q109" s="142"/>
      <c r="R109" s="142"/>
      <c r="S109" s="142"/>
      <c r="T109" s="143"/>
      <c r="U109" s="264"/>
    </row>
    <row r="110" spans="1:21" ht="13.5" thickBot="1">
      <c r="A110" s="285"/>
      <c r="B110" s="287"/>
      <c r="C110" s="287"/>
      <c r="D110" s="319"/>
      <c r="E110" s="324"/>
      <c r="F110" s="336">
        <v>2012</v>
      </c>
      <c r="G110" s="317"/>
      <c r="H110" s="139" t="s">
        <v>113</v>
      </c>
      <c r="I110" s="140"/>
      <c r="J110" s="141"/>
      <c r="K110" s="142">
        <f>1713503+502487+8542253</f>
        <v>10758243</v>
      </c>
      <c r="L110" s="142">
        <v>28287074</v>
      </c>
      <c r="M110" s="142">
        <v>33927183</v>
      </c>
      <c r="N110" s="142"/>
      <c r="O110" s="142"/>
      <c r="P110" s="142"/>
      <c r="Q110" s="142"/>
      <c r="R110" s="142"/>
      <c r="S110" s="142"/>
      <c r="T110" s="143"/>
      <c r="U110" s="264"/>
    </row>
    <row r="111" spans="1:21" ht="13.5" thickBot="1">
      <c r="A111" s="285"/>
      <c r="B111" s="287"/>
      <c r="C111" s="287"/>
      <c r="D111" s="319"/>
      <c r="E111" s="324"/>
      <c r="F111" s="354"/>
      <c r="G111" s="145" t="s">
        <v>114</v>
      </c>
      <c r="H111" s="139" t="s">
        <v>115</v>
      </c>
      <c r="I111" s="140"/>
      <c r="J111" s="141"/>
      <c r="K111" s="142">
        <f>SUM(I111:J111)</f>
        <v>0</v>
      </c>
      <c r="L111" s="142"/>
      <c r="M111" s="142"/>
      <c r="N111" s="142"/>
      <c r="O111" s="142"/>
      <c r="P111" s="142"/>
      <c r="Q111" s="142"/>
      <c r="R111" s="142"/>
      <c r="S111" s="142"/>
      <c r="T111" s="143"/>
      <c r="U111" s="264"/>
    </row>
    <row r="112" spans="1:21" ht="13.5" thickBot="1">
      <c r="A112" s="285"/>
      <c r="B112" s="287"/>
      <c r="C112" s="287"/>
      <c r="D112" s="319"/>
      <c r="E112" s="324"/>
      <c r="F112" s="354"/>
      <c r="G112" s="281">
        <f>G106+G109</f>
        <v>125182210</v>
      </c>
      <c r="H112" s="139" t="s">
        <v>116</v>
      </c>
      <c r="I112" s="140"/>
      <c r="J112" s="141"/>
      <c r="K112" s="142">
        <f>SUM(I112:J112)</f>
        <v>0</v>
      </c>
      <c r="L112" s="142"/>
      <c r="M112" s="142"/>
      <c r="N112" s="142"/>
      <c r="O112" s="142"/>
      <c r="P112" s="142"/>
      <c r="Q112" s="142"/>
      <c r="R112" s="142"/>
      <c r="S112" s="142"/>
      <c r="T112" s="143"/>
      <c r="U112" s="264"/>
    </row>
    <row r="113" spans="1:23" ht="13.5" thickBot="1">
      <c r="A113" s="285"/>
      <c r="B113" s="287"/>
      <c r="C113" s="287"/>
      <c r="D113" s="319"/>
      <c r="E113" s="324"/>
      <c r="F113" s="354"/>
      <c r="G113" s="282"/>
      <c r="H113" s="139" t="s">
        <v>117</v>
      </c>
      <c r="I113" s="146">
        <f aca="true" t="shared" si="24" ref="I113:T113">I105+I107+I109+I111</f>
        <v>0</v>
      </c>
      <c r="J113" s="147">
        <f t="shared" si="24"/>
        <v>0</v>
      </c>
      <c r="K113" s="148">
        <f t="shared" si="24"/>
        <v>2449283</v>
      </c>
      <c r="L113" s="148">
        <f t="shared" si="24"/>
        <v>7492234</v>
      </c>
      <c r="M113" s="148">
        <f t="shared" si="24"/>
        <v>12285831</v>
      </c>
      <c r="N113" s="148">
        <f t="shared" si="24"/>
        <v>0</v>
      </c>
      <c r="O113" s="148">
        <f t="shared" si="24"/>
        <v>0</v>
      </c>
      <c r="P113" s="148">
        <f t="shared" si="24"/>
        <v>0</v>
      </c>
      <c r="Q113" s="148">
        <f t="shared" si="24"/>
        <v>0</v>
      </c>
      <c r="R113" s="148">
        <f t="shared" si="24"/>
        <v>0</v>
      </c>
      <c r="S113" s="148">
        <f t="shared" si="24"/>
        <v>0</v>
      </c>
      <c r="T113" s="149">
        <f t="shared" si="24"/>
        <v>0</v>
      </c>
      <c r="U113" s="264"/>
      <c r="W113" s="181"/>
    </row>
    <row r="114" spans="1:21" ht="13.5" thickBot="1">
      <c r="A114" s="313"/>
      <c r="B114" s="287"/>
      <c r="C114" s="287"/>
      <c r="D114" s="320"/>
      <c r="E114" s="324"/>
      <c r="F114" s="355"/>
      <c r="G114" s="283"/>
      <c r="H114" s="150" t="s">
        <v>118</v>
      </c>
      <c r="I114" s="151">
        <f aca="true" t="shared" si="25" ref="I114:T114">I106+I108+I110+I112</f>
        <v>0</v>
      </c>
      <c r="J114" s="152">
        <f t="shared" si="25"/>
        <v>0</v>
      </c>
      <c r="K114" s="153">
        <f t="shared" si="25"/>
        <v>13611618</v>
      </c>
      <c r="L114" s="153">
        <f t="shared" si="25"/>
        <v>34278911</v>
      </c>
      <c r="M114" s="153">
        <f t="shared" si="25"/>
        <v>55064333</v>
      </c>
      <c r="N114" s="153">
        <f t="shared" si="25"/>
        <v>0</v>
      </c>
      <c r="O114" s="153">
        <f t="shared" si="25"/>
        <v>0</v>
      </c>
      <c r="P114" s="153">
        <f t="shared" si="25"/>
        <v>0</v>
      </c>
      <c r="Q114" s="153">
        <f t="shared" si="25"/>
        <v>0</v>
      </c>
      <c r="R114" s="153">
        <f t="shared" si="25"/>
        <v>0</v>
      </c>
      <c r="S114" s="153">
        <f t="shared" si="25"/>
        <v>0</v>
      </c>
      <c r="T114" s="154">
        <f t="shared" si="25"/>
        <v>0</v>
      </c>
      <c r="U114" s="307"/>
    </row>
    <row r="115" spans="1:21" ht="12.75">
      <c r="A115" s="284">
        <f>A105+1</f>
        <v>12</v>
      </c>
      <c r="B115" s="286">
        <v>710</v>
      </c>
      <c r="C115" s="286">
        <v>71095</v>
      </c>
      <c r="D115" s="314" t="s">
        <v>134</v>
      </c>
      <c r="E115" s="269" t="s">
        <v>133</v>
      </c>
      <c r="F115" s="266">
        <v>2008</v>
      </c>
      <c r="G115" s="144" t="s">
        <v>106</v>
      </c>
      <c r="H115" s="155" t="s">
        <v>107</v>
      </c>
      <c r="I115" s="156"/>
      <c r="J115" s="157"/>
      <c r="K115" s="158">
        <f>10000+1040883+12215</f>
        <v>1063098</v>
      </c>
      <c r="L115" s="158">
        <v>6203768</v>
      </c>
      <c r="M115" s="158">
        <v>7851278</v>
      </c>
      <c r="N115" s="158"/>
      <c r="O115" s="158"/>
      <c r="P115" s="158"/>
      <c r="Q115" s="158"/>
      <c r="R115" s="158"/>
      <c r="S115" s="158"/>
      <c r="T115" s="159"/>
      <c r="U115" s="263">
        <f>M123+N123+O123+P123+Q123+R123+S123+M124+N124+O124+P124+Q124+R124+T123+T124+S124</f>
        <v>43802590</v>
      </c>
    </row>
    <row r="116" spans="1:21" ht="12.75">
      <c r="A116" s="285"/>
      <c r="B116" s="287"/>
      <c r="C116" s="287"/>
      <c r="D116" s="315"/>
      <c r="E116" s="268"/>
      <c r="F116" s="267"/>
      <c r="G116" s="281">
        <f>SUM(K123:T123)</f>
        <v>15118144</v>
      </c>
      <c r="H116" s="139" t="s">
        <v>108</v>
      </c>
      <c r="I116" s="140"/>
      <c r="J116" s="141"/>
      <c r="K116" s="142">
        <f>228528+79306+927317+94921+860000</f>
        <v>2190072</v>
      </c>
      <c r="L116" s="142">
        <f>6864158+1000000+350000</f>
        <v>8214158</v>
      </c>
      <c r="M116" s="142">
        <f>8737828+1000000</f>
        <v>9737828</v>
      </c>
      <c r="N116" s="142"/>
      <c r="O116" s="142"/>
      <c r="P116" s="142"/>
      <c r="Q116" s="142"/>
      <c r="R116" s="142"/>
      <c r="S116" s="142"/>
      <c r="T116" s="143"/>
      <c r="U116" s="264"/>
    </row>
    <row r="117" spans="1:21" ht="12.75">
      <c r="A117" s="285"/>
      <c r="B117" s="287"/>
      <c r="C117" s="287"/>
      <c r="D117" s="315"/>
      <c r="E117" s="268"/>
      <c r="F117" s="267"/>
      <c r="G117" s="317"/>
      <c r="H117" s="139" t="s">
        <v>109</v>
      </c>
      <c r="I117" s="140"/>
      <c r="J117" s="141"/>
      <c r="K117" s="142">
        <f>SUM(I117:J117)</f>
        <v>0</v>
      </c>
      <c r="L117" s="142"/>
      <c r="M117" s="142"/>
      <c r="N117" s="142"/>
      <c r="O117" s="142"/>
      <c r="P117" s="142"/>
      <c r="Q117" s="142"/>
      <c r="R117" s="142"/>
      <c r="S117" s="142"/>
      <c r="T117" s="143"/>
      <c r="U117" s="264"/>
    </row>
    <row r="118" spans="1:21" ht="12.75">
      <c r="A118" s="285"/>
      <c r="B118" s="287"/>
      <c r="C118" s="287"/>
      <c r="D118" s="315"/>
      <c r="E118" s="268"/>
      <c r="F118" s="267"/>
      <c r="G118" s="145" t="s">
        <v>110</v>
      </c>
      <c r="H118" s="139" t="s">
        <v>111</v>
      </c>
      <c r="I118" s="140"/>
      <c r="J118" s="141"/>
      <c r="K118" s="142">
        <f>SUM(I118:J118)</f>
        <v>0</v>
      </c>
      <c r="L118" s="142"/>
      <c r="M118" s="142"/>
      <c r="N118" s="142"/>
      <c r="O118" s="142"/>
      <c r="P118" s="142"/>
      <c r="Q118" s="142"/>
      <c r="R118" s="142"/>
      <c r="S118" s="142"/>
      <c r="T118" s="143"/>
      <c r="U118" s="264"/>
    </row>
    <row r="119" spans="1:23" ht="12.75">
      <c r="A119" s="285"/>
      <c r="B119" s="287"/>
      <c r="C119" s="287"/>
      <c r="D119" s="315"/>
      <c r="E119" s="268"/>
      <c r="F119" s="267"/>
      <c r="G119" s="281">
        <f>SUM(K124:T124)</f>
        <v>70653469</v>
      </c>
      <c r="H119" s="139" t="s">
        <v>112</v>
      </c>
      <c r="I119" s="140"/>
      <c r="J119" s="141"/>
      <c r="K119" s="142">
        <f>SUM(I119:J119)</f>
        <v>0</v>
      </c>
      <c r="L119" s="142"/>
      <c r="M119" s="142"/>
      <c r="N119" s="142"/>
      <c r="O119" s="142"/>
      <c r="P119" s="142"/>
      <c r="Q119" s="142"/>
      <c r="R119" s="142"/>
      <c r="S119" s="142"/>
      <c r="T119" s="143"/>
      <c r="U119" s="264"/>
      <c r="W119" s="181"/>
    </row>
    <row r="120" spans="1:21" ht="12.75">
      <c r="A120" s="285"/>
      <c r="B120" s="287"/>
      <c r="C120" s="287"/>
      <c r="D120" s="315"/>
      <c r="E120" s="268"/>
      <c r="F120" s="267">
        <v>2012</v>
      </c>
      <c r="G120" s="317"/>
      <c r="H120" s="139" t="s">
        <v>113</v>
      </c>
      <c r="I120" s="140"/>
      <c r="J120" s="141"/>
      <c r="K120" s="142">
        <f>685585+237918+2781951</f>
        <v>3705454</v>
      </c>
      <c r="L120" s="142">
        <v>20592473</v>
      </c>
      <c r="M120" s="142">
        <v>26213484</v>
      </c>
      <c r="N120" s="142"/>
      <c r="O120" s="142"/>
      <c r="P120" s="142"/>
      <c r="Q120" s="142"/>
      <c r="R120" s="142"/>
      <c r="S120" s="142"/>
      <c r="T120" s="143"/>
      <c r="U120" s="264"/>
    </row>
    <row r="121" spans="1:21" ht="12.75">
      <c r="A121" s="285"/>
      <c r="B121" s="287"/>
      <c r="C121" s="287"/>
      <c r="D121" s="315"/>
      <c r="E121" s="268"/>
      <c r="F121" s="267"/>
      <c r="G121" s="145" t="s">
        <v>114</v>
      </c>
      <c r="H121" s="139" t="s">
        <v>115</v>
      </c>
      <c r="I121" s="140"/>
      <c r="J121" s="141"/>
      <c r="K121" s="142">
        <f>SUM(I121:J121)</f>
        <v>0</v>
      </c>
      <c r="L121" s="142"/>
      <c r="M121" s="142"/>
      <c r="N121" s="142"/>
      <c r="O121" s="142"/>
      <c r="P121" s="142"/>
      <c r="Q121" s="142"/>
      <c r="R121" s="142"/>
      <c r="S121" s="142"/>
      <c r="T121" s="143"/>
      <c r="U121" s="264"/>
    </row>
    <row r="122" spans="1:21" ht="12.75">
      <c r="A122" s="285"/>
      <c r="B122" s="287"/>
      <c r="C122" s="287"/>
      <c r="D122" s="315"/>
      <c r="E122" s="268"/>
      <c r="F122" s="267"/>
      <c r="G122" s="281">
        <f>G116+G119</f>
        <v>85771613</v>
      </c>
      <c r="H122" s="139" t="s">
        <v>116</v>
      </c>
      <c r="I122" s="140"/>
      <c r="J122" s="141"/>
      <c r="K122" s="142">
        <f>SUM(I122:J122)</f>
        <v>0</v>
      </c>
      <c r="L122" s="142"/>
      <c r="M122" s="142"/>
      <c r="N122" s="142"/>
      <c r="O122" s="142"/>
      <c r="P122" s="142"/>
      <c r="Q122" s="142"/>
      <c r="R122" s="142"/>
      <c r="S122" s="142"/>
      <c r="T122" s="143"/>
      <c r="U122" s="264"/>
    </row>
    <row r="123" spans="1:23" ht="12.75">
      <c r="A123" s="285"/>
      <c r="B123" s="287"/>
      <c r="C123" s="287"/>
      <c r="D123" s="315"/>
      <c r="E123" s="268"/>
      <c r="F123" s="267"/>
      <c r="G123" s="282"/>
      <c r="H123" s="139" t="s">
        <v>117</v>
      </c>
      <c r="I123" s="146">
        <f aca="true" t="shared" si="26" ref="I123:T123">I115+I117+I119+I121</f>
        <v>0</v>
      </c>
      <c r="J123" s="147">
        <f t="shared" si="26"/>
        <v>0</v>
      </c>
      <c r="K123" s="148">
        <f t="shared" si="26"/>
        <v>1063098</v>
      </c>
      <c r="L123" s="148">
        <f t="shared" si="26"/>
        <v>6203768</v>
      </c>
      <c r="M123" s="148">
        <f t="shared" si="26"/>
        <v>7851278</v>
      </c>
      <c r="N123" s="148">
        <f t="shared" si="26"/>
        <v>0</v>
      </c>
      <c r="O123" s="148">
        <f t="shared" si="26"/>
        <v>0</v>
      </c>
      <c r="P123" s="148">
        <f t="shared" si="26"/>
        <v>0</v>
      </c>
      <c r="Q123" s="148">
        <f t="shared" si="26"/>
        <v>0</v>
      </c>
      <c r="R123" s="148">
        <f t="shared" si="26"/>
        <v>0</v>
      </c>
      <c r="S123" s="148">
        <f t="shared" si="26"/>
        <v>0</v>
      </c>
      <c r="T123" s="149">
        <f t="shared" si="26"/>
        <v>0</v>
      </c>
      <c r="U123" s="264"/>
      <c r="W123" s="181"/>
    </row>
    <row r="124" spans="1:23" ht="13.5" thickBot="1">
      <c r="A124" s="313"/>
      <c r="B124" s="287"/>
      <c r="C124" s="287"/>
      <c r="D124" s="316"/>
      <c r="E124" s="349"/>
      <c r="F124" s="310"/>
      <c r="G124" s="283"/>
      <c r="H124" s="150" t="s">
        <v>118</v>
      </c>
      <c r="I124" s="151">
        <f aca="true" t="shared" si="27" ref="I124:T124">I116+I118+I120+I122</f>
        <v>0</v>
      </c>
      <c r="J124" s="152">
        <f t="shared" si="27"/>
        <v>0</v>
      </c>
      <c r="K124" s="153">
        <f t="shared" si="27"/>
        <v>5895526</v>
      </c>
      <c r="L124" s="153">
        <f t="shared" si="27"/>
        <v>28806631</v>
      </c>
      <c r="M124" s="153">
        <f t="shared" si="27"/>
        <v>35951312</v>
      </c>
      <c r="N124" s="153">
        <f t="shared" si="27"/>
        <v>0</v>
      </c>
      <c r="O124" s="153">
        <f t="shared" si="27"/>
        <v>0</v>
      </c>
      <c r="P124" s="153">
        <f t="shared" si="27"/>
        <v>0</v>
      </c>
      <c r="Q124" s="153">
        <f t="shared" si="27"/>
        <v>0</v>
      </c>
      <c r="R124" s="153">
        <f t="shared" si="27"/>
        <v>0</v>
      </c>
      <c r="S124" s="153">
        <f t="shared" si="27"/>
        <v>0</v>
      </c>
      <c r="T124" s="154">
        <f t="shared" si="27"/>
        <v>0</v>
      </c>
      <c r="U124" s="307"/>
      <c r="W124" s="181"/>
    </row>
    <row r="125" spans="1:21" ht="12.75">
      <c r="A125" s="284">
        <f>A115+1</f>
        <v>13</v>
      </c>
      <c r="B125" s="286">
        <v>710</v>
      </c>
      <c r="C125" s="286">
        <v>71095</v>
      </c>
      <c r="D125" s="353" t="s">
        <v>135</v>
      </c>
      <c r="E125" s="269" t="s">
        <v>133</v>
      </c>
      <c r="F125" s="266">
        <v>2009</v>
      </c>
      <c r="G125" s="144" t="s">
        <v>106</v>
      </c>
      <c r="H125" s="155" t="s">
        <v>107</v>
      </c>
      <c r="I125" s="156">
        <f>11870+35618+355+6150-35618-6150</f>
        <v>12225</v>
      </c>
      <c r="J125" s="157">
        <f>35618+6150-5712</f>
        <v>36056</v>
      </c>
      <c r="K125" s="158">
        <f aca="true" t="shared" si="28" ref="K125:K156">SUM(I125:J125)</f>
        <v>48281</v>
      </c>
      <c r="L125" s="158">
        <f>24873+3245+5712</f>
        <v>33830</v>
      </c>
      <c r="M125" s="158"/>
      <c r="N125" s="158"/>
      <c r="O125" s="158"/>
      <c r="P125" s="158"/>
      <c r="Q125" s="158"/>
      <c r="R125" s="158"/>
      <c r="S125" s="158"/>
      <c r="T125" s="159"/>
      <c r="U125" s="263">
        <f>M133+N133+O133+P133+Q133+R133+S133+M134+N134+O134+P134+Q134+R134+T133+T134+S134</f>
        <v>0</v>
      </c>
    </row>
    <row r="126" spans="1:21" ht="12.75">
      <c r="A126" s="285"/>
      <c r="B126" s="287"/>
      <c r="C126" s="287"/>
      <c r="D126" s="347"/>
      <c r="E126" s="268"/>
      <c r="F126" s="267"/>
      <c r="G126" s="281">
        <f>SUM(K133:T133)</f>
        <v>299194</v>
      </c>
      <c r="H126" s="139" t="s">
        <v>108</v>
      </c>
      <c r="I126" s="140"/>
      <c r="J126" s="141"/>
      <c r="K126" s="142">
        <f t="shared" si="28"/>
        <v>0</v>
      </c>
      <c r="L126" s="142"/>
      <c r="M126" s="142"/>
      <c r="N126" s="142"/>
      <c r="O126" s="142"/>
      <c r="P126" s="142"/>
      <c r="Q126" s="142"/>
      <c r="R126" s="142"/>
      <c r="S126" s="142"/>
      <c r="T126" s="143"/>
      <c r="U126" s="264"/>
    </row>
    <row r="127" spans="1:21" ht="12.75">
      <c r="A127" s="285"/>
      <c r="B127" s="287"/>
      <c r="C127" s="287"/>
      <c r="D127" s="347"/>
      <c r="E127" s="268"/>
      <c r="F127" s="267"/>
      <c r="G127" s="317"/>
      <c r="H127" s="139" t="s">
        <v>109</v>
      </c>
      <c r="I127" s="140"/>
      <c r="J127" s="141"/>
      <c r="K127" s="142">
        <f t="shared" si="28"/>
        <v>0</v>
      </c>
      <c r="L127" s="142"/>
      <c r="M127" s="142"/>
      <c r="N127" s="142"/>
      <c r="O127" s="142"/>
      <c r="P127" s="142"/>
      <c r="Q127" s="142"/>
      <c r="R127" s="142"/>
      <c r="S127" s="142"/>
      <c r="T127" s="143"/>
      <c r="U127" s="264"/>
    </row>
    <row r="128" spans="1:21" ht="12.75">
      <c r="A128" s="285"/>
      <c r="B128" s="287"/>
      <c r="C128" s="287"/>
      <c r="D128" s="347"/>
      <c r="E128" s="268"/>
      <c r="F128" s="267"/>
      <c r="G128" s="145" t="s">
        <v>110</v>
      </c>
      <c r="H128" s="139" t="s">
        <v>111</v>
      </c>
      <c r="I128" s="140"/>
      <c r="J128" s="141"/>
      <c r="K128" s="142">
        <f t="shared" si="28"/>
        <v>0</v>
      </c>
      <c r="L128" s="142"/>
      <c r="M128" s="142"/>
      <c r="N128" s="142"/>
      <c r="O128" s="142"/>
      <c r="P128" s="142"/>
      <c r="Q128" s="142"/>
      <c r="R128" s="142"/>
      <c r="S128" s="142"/>
      <c r="T128" s="143"/>
      <c r="U128" s="264"/>
    </row>
    <row r="129" spans="1:21" ht="12.75">
      <c r="A129" s="285"/>
      <c r="B129" s="287"/>
      <c r="C129" s="287"/>
      <c r="D129" s="347"/>
      <c r="E129" s="268"/>
      <c r="F129" s="267"/>
      <c r="G129" s="281">
        <f>SUM(K134:T134)</f>
        <v>0</v>
      </c>
      <c r="H129" s="139" t="s">
        <v>112</v>
      </c>
      <c r="I129" s="140">
        <f>36099+106854-106854</f>
        <v>36099</v>
      </c>
      <c r="J129" s="141">
        <f>106854-11942</f>
        <v>94912</v>
      </c>
      <c r="K129" s="142">
        <f t="shared" si="28"/>
        <v>131011</v>
      </c>
      <c r="L129" s="142">
        <f>74130+11942</f>
        <v>86072</v>
      </c>
      <c r="M129" s="142"/>
      <c r="N129" s="142"/>
      <c r="O129" s="142"/>
      <c r="P129" s="142"/>
      <c r="Q129" s="142"/>
      <c r="R129" s="142"/>
      <c r="S129" s="142"/>
      <c r="T129" s="143"/>
      <c r="U129" s="264"/>
    </row>
    <row r="130" spans="1:21" ht="12.75">
      <c r="A130" s="285"/>
      <c r="B130" s="287"/>
      <c r="C130" s="287"/>
      <c r="D130" s="347"/>
      <c r="E130" s="268"/>
      <c r="F130" s="267">
        <v>2011</v>
      </c>
      <c r="G130" s="317"/>
      <c r="H130" s="139" t="s">
        <v>113</v>
      </c>
      <c r="I130" s="140"/>
      <c r="J130" s="141"/>
      <c r="K130" s="142">
        <f t="shared" si="28"/>
        <v>0</v>
      </c>
      <c r="L130" s="142"/>
      <c r="M130" s="142"/>
      <c r="N130" s="142"/>
      <c r="O130" s="142"/>
      <c r="P130" s="142"/>
      <c r="Q130" s="142"/>
      <c r="R130" s="142"/>
      <c r="S130" s="142"/>
      <c r="T130" s="143"/>
      <c r="U130" s="264"/>
    </row>
    <row r="131" spans="1:21" ht="12.75">
      <c r="A131" s="285"/>
      <c r="B131" s="287"/>
      <c r="C131" s="287"/>
      <c r="D131" s="347"/>
      <c r="E131" s="268"/>
      <c r="F131" s="267"/>
      <c r="G131" s="145" t="s">
        <v>114</v>
      </c>
      <c r="H131" s="139" t="s">
        <v>115</v>
      </c>
      <c r="I131" s="140"/>
      <c r="J131" s="141"/>
      <c r="K131" s="142">
        <f t="shared" si="28"/>
        <v>0</v>
      </c>
      <c r="L131" s="142"/>
      <c r="M131" s="142"/>
      <c r="N131" s="142"/>
      <c r="O131" s="142"/>
      <c r="P131" s="142"/>
      <c r="Q131" s="142"/>
      <c r="R131" s="142"/>
      <c r="S131" s="142"/>
      <c r="T131" s="143"/>
      <c r="U131" s="264"/>
    </row>
    <row r="132" spans="1:21" ht="12.75">
      <c r="A132" s="285"/>
      <c r="B132" s="287"/>
      <c r="C132" s="287"/>
      <c r="D132" s="347"/>
      <c r="E132" s="268"/>
      <c r="F132" s="267"/>
      <c r="G132" s="281">
        <f>G126+G129</f>
        <v>299194</v>
      </c>
      <c r="H132" s="139" t="s">
        <v>116</v>
      </c>
      <c r="I132" s="140"/>
      <c r="J132" s="141"/>
      <c r="K132" s="142">
        <f t="shared" si="28"/>
        <v>0</v>
      </c>
      <c r="L132" s="142"/>
      <c r="M132" s="142"/>
      <c r="N132" s="142"/>
      <c r="O132" s="142"/>
      <c r="P132" s="142"/>
      <c r="Q132" s="142"/>
      <c r="R132" s="142"/>
      <c r="S132" s="142"/>
      <c r="T132" s="143"/>
      <c r="U132" s="264"/>
    </row>
    <row r="133" spans="1:21" ht="12.75">
      <c r="A133" s="285"/>
      <c r="B133" s="287"/>
      <c r="C133" s="287"/>
      <c r="D133" s="347"/>
      <c r="E133" s="268"/>
      <c r="F133" s="267"/>
      <c r="G133" s="282"/>
      <c r="H133" s="139" t="s">
        <v>117</v>
      </c>
      <c r="I133" s="146">
        <f>I125+I127+I129+I131</f>
        <v>48324</v>
      </c>
      <c r="J133" s="147">
        <f>J125+J127+J129+J131</f>
        <v>130968</v>
      </c>
      <c r="K133" s="148">
        <f t="shared" si="28"/>
        <v>179292</v>
      </c>
      <c r="L133" s="148">
        <f aca="true" t="shared" si="29" ref="L133:T133">L125+L127+L129+L131</f>
        <v>119902</v>
      </c>
      <c r="M133" s="148">
        <f t="shared" si="29"/>
        <v>0</v>
      </c>
      <c r="N133" s="148">
        <f t="shared" si="29"/>
        <v>0</v>
      </c>
      <c r="O133" s="148">
        <f t="shared" si="29"/>
        <v>0</v>
      </c>
      <c r="P133" s="148">
        <f t="shared" si="29"/>
        <v>0</v>
      </c>
      <c r="Q133" s="148">
        <f t="shared" si="29"/>
        <v>0</v>
      </c>
      <c r="R133" s="148">
        <f t="shared" si="29"/>
        <v>0</v>
      </c>
      <c r="S133" s="148">
        <f t="shared" si="29"/>
        <v>0</v>
      </c>
      <c r="T133" s="149">
        <f t="shared" si="29"/>
        <v>0</v>
      </c>
      <c r="U133" s="264"/>
    </row>
    <row r="134" spans="1:21" ht="13.5" thickBot="1">
      <c r="A134" s="313"/>
      <c r="B134" s="287"/>
      <c r="C134" s="287"/>
      <c r="D134" s="348"/>
      <c r="E134" s="349"/>
      <c r="F134" s="336"/>
      <c r="G134" s="283"/>
      <c r="H134" s="164" t="s">
        <v>118</v>
      </c>
      <c r="I134" s="165">
        <f>I126+I128+I130+I132</f>
        <v>0</v>
      </c>
      <c r="J134" s="152">
        <f>J126+J128+J130+J132</f>
        <v>0</v>
      </c>
      <c r="K134" s="153">
        <f t="shared" si="28"/>
        <v>0</v>
      </c>
      <c r="L134" s="153">
        <f aca="true" t="shared" si="30" ref="L134:T134">L126+L128+L130+L132</f>
        <v>0</v>
      </c>
      <c r="M134" s="166">
        <f t="shared" si="30"/>
        <v>0</v>
      </c>
      <c r="N134" s="166">
        <f t="shared" si="30"/>
        <v>0</v>
      </c>
      <c r="O134" s="166">
        <f t="shared" si="30"/>
        <v>0</v>
      </c>
      <c r="P134" s="166">
        <f t="shared" si="30"/>
        <v>0</v>
      </c>
      <c r="Q134" s="166">
        <f t="shared" si="30"/>
        <v>0</v>
      </c>
      <c r="R134" s="166">
        <f t="shared" si="30"/>
        <v>0</v>
      </c>
      <c r="S134" s="166">
        <f t="shared" si="30"/>
        <v>0</v>
      </c>
      <c r="T134" s="167">
        <f t="shared" si="30"/>
        <v>0</v>
      </c>
      <c r="U134" s="307"/>
    </row>
    <row r="135" spans="1:21" ht="12.75" customHeight="1">
      <c r="A135" s="284">
        <f>A125+1</f>
        <v>14</v>
      </c>
      <c r="B135" s="286">
        <v>710</v>
      </c>
      <c r="C135" s="286">
        <v>71095</v>
      </c>
      <c r="D135" s="346" t="s">
        <v>136</v>
      </c>
      <c r="E135" s="335" t="s">
        <v>133</v>
      </c>
      <c r="F135" s="321">
        <v>2009</v>
      </c>
      <c r="G135" s="132" t="s">
        <v>106</v>
      </c>
      <c r="H135" s="133" t="s">
        <v>107</v>
      </c>
      <c r="I135" s="134">
        <f>7797+645</f>
        <v>8442</v>
      </c>
      <c r="J135" s="135">
        <f>94704-69655</f>
        <v>25049</v>
      </c>
      <c r="K135" s="136">
        <f t="shared" si="28"/>
        <v>33491</v>
      </c>
      <c r="L135" s="136">
        <f>40046+36869+69655</f>
        <v>146570</v>
      </c>
      <c r="M135" s="136"/>
      <c r="N135" s="136"/>
      <c r="O135" s="136"/>
      <c r="P135" s="136"/>
      <c r="Q135" s="136"/>
      <c r="R135" s="136"/>
      <c r="S135" s="136"/>
      <c r="T135" s="137"/>
      <c r="U135" s="322">
        <f>M143+N143+O143+P143+Q143+R143+S143+M144+N144+O144+P144+Q144+R144+T143+T144+S144</f>
        <v>0</v>
      </c>
    </row>
    <row r="136" spans="1:21" ht="12.75">
      <c r="A136" s="285"/>
      <c r="B136" s="287"/>
      <c r="C136" s="287"/>
      <c r="D136" s="347"/>
      <c r="E136" s="268"/>
      <c r="F136" s="267"/>
      <c r="G136" s="281">
        <f>SUM(K143:T143)</f>
        <v>711736</v>
      </c>
      <c r="H136" s="139" t="s">
        <v>108</v>
      </c>
      <c r="I136" s="140"/>
      <c r="J136" s="141"/>
      <c r="K136" s="142">
        <f t="shared" si="28"/>
        <v>0</v>
      </c>
      <c r="L136" s="142"/>
      <c r="M136" s="142"/>
      <c r="N136" s="142"/>
      <c r="O136" s="142"/>
      <c r="P136" s="142"/>
      <c r="Q136" s="142"/>
      <c r="R136" s="142"/>
      <c r="S136" s="142"/>
      <c r="T136" s="143"/>
      <c r="U136" s="264"/>
    </row>
    <row r="137" spans="1:21" ht="12.75">
      <c r="A137" s="285"/>
      <c r="B137" s="287"/>
      <c r="C137" s="287"/>
      <c r="D137" s="347"/>
      <c r="E137" s="268"/>
      <c r="F137" s="267"/>
      <c r="G137" s="317"/>
      <c r="H137" s="139" t="s">
        <v>109</v>
      </c>
      <c r="I137" s="140"/>
      <c r="J137" s="141"/>
      <c r="K137" s="142">
        <f t="shared" si="28"/>
        <v>0</v>
      </c>
      <c r="L137" s="142"/>
      <c r="M137" s="142"/>
      <c r="N137" s="142"/>
      <c r="O137" s="142"/>
      <c r="P137" s="142"/>
      <c r="Q137" s="142"/>
      <c r="R137" s="142"/>
      <c r="S137" s="142"/>
      <c r="T137" s="143"/>
      <c r="U137" s="264"/>
    </row>
    <row r="138" spans="1:21" ht="12.75">
      <c r="A138" s="285"/>
      <c r="B138" s="287"/>
      <c r="C138" s="287"/>
      <c r="D138" s="347"/>
      <c r="E138" s="268"/>
      <c r="F138" s="267"/>
      <c r="G138" s="145" t="s">
        <v>110</v>
      </c>
      <c r="H138" s="139" t="s">
        <v>111</v>
      </c>
      <c r="I138" s="140"/>
      <c r="J138" s="141"/>
      <c r="K138" s="142">
        <f t="shared" si="28"/>
        <v>0</v>
      </c>
      <c r="L138" s="142"/>
      <c r="M138" s="142"/>
      <c r="N138" s="142"/>
      <c r="O138" s="142"/>
      <c r="P138" s="142"/>
      <c r="Q138" s="142"/>
      <c r="R138" s="142"/>
      <c r="S138" s="142"/>
      <c r="T138" s="143"/>
      <c r="U138" s="264"/>
    </row>
    <row r="139" spans="1:21" ht="12.75">
      <c r="A139" s="285"/>
      <c r="B139" s="287"/>
      <c r="C139" s="287"/>
      <c r="D139" s="347"/>
      <c r="E139" s="268"/>
      <c r="F139" s="267"/>
      <c r="G139" s="281">
        <f>SUM(K144:T144)</f>
        <v>0</v>
      </c>
      <c r="H139" s="139" t="s">
        <v>112</v>
      </c>
      <c r="I139" s="140">
        <v>44164</v>
      </c>
      <c r="J139" s="141">
        <f>260575-145487</f>
        <v>115088</v>
      </c>
      <c r="K139" s="142">
        <f t="shared" si="28"/>
        <v>159252</v>
      </c>
      <c r="L139" s="142">
        <f>226936+145487</f>
        <v>372423</v>
      </c>
      <c r="M139" s="142"/>
      <c r="N139" s="142"/>
      <c r="O139" s="142"/>
      <c r="P139" s="142"/>
      <c r="Q139" s="142"/>
      <c r="R139" s="142"/>
      <c r="S139" s="142"/>
      <c r="T139" s="143"/>
      <c r="U139" s="264"/>
    </row>
    <row r="140" spans="1:21" ht="12.75">
      <c r="A140" s="285"/>
      <c r="B140" s="287"/>
      <c r="C140" s="287"/>
      <c r="D140" s="347"/>
      <c r="E140" s="268"/>
      <c r="F140" s="267">
        <v>2011</v>
      </c>
      <c r="G140" s="317"/>
      <c r="H140" s="139" t="s">
        <v>113</v>
      </c>
      <c r="I140" s="140"/>
      <c r="J140" s="141"/>
      <c r="K140" s="142">
        <f t="shared" si="28"/>
        <v>0</v>
      </c>
      <c r="L140" s="142"/>
      <c r="M140" s="142"/>
      <c r="N140" s="142"/>
      <c r="O140" s="142"/>
      <c r="P140" s="142"/>
      <c r="Q140" s="142"/>
      <c r="R140" s="142"/>
      <c r="S140" s="142"/>
      <c r="T140" s="143"/>
      <c r="U140" s="264"/>
    </row>
    <row r="141" spans="1:21" ht="12.75">
      <c r="A141" s="285"/>
      <c r="B141" s="287"/>
      <c r="C141" s="287"/>
      <c r="D141" s="347"/>
      <c r="E141" s="268"/>
      <c r="F141" s="267"/>
      <c r="G141" s="145" t="s">
        <v>114</v>
      </c>
      <c r="H141" s="139" t="s">
        <v>115</v>
      </c>
      <c r="I141" s="140"/>
      <c r="J141" s="141"/>
      <c r="K141" s="142">
        <f t="shared" si="28"/>
        <v>0</v>
      </c>
      <c r="L141" s="142"/>
      <c r="M141" s="142"/>
      <c r="N141" s="142"/>
      <c r="O141" s="142"/>
      <c r="P141" s="142"/>
      <c r="Q141" s="142"/>
      <c r="R141" s="142"/>
      <c r="S141" s="142"/>
      <c r="T141" s="143"/>
      <c r="U141" s="264"/>
    </row>
    <row r="142" spans="1:21" ht="12.75">
      <c r="A142" s="285"/>
      <c r="B142" s="287"/>
      <c r="C142" s="287"/>
      <c r="D142" s="347"/>
      <c r="E142" s="268"/>
      <c r="F142" s="267"/>
      <c r="G142" s="281">
        <f>G136+G139</f>
        <v>711736</v>
      </c>
      <c r="H142" s="139" t="s">
        <v>116</v>
      </c>
      <c r="I142" s="140"/>
      <c r="J142" s="141"/>
      <c r="K142" s="142">
        <f t="shared" si="28"/>
        <v>0</v>
      </c>
      <c r="L142" s="142"/>
      <c r="M142" s="142"/>
      <c r="N142" s="142"/>
      <c r="O142" s="142"/>
      <c r="P142" s="142"/>
      <c r="Q142" s="142"/>
      <c r="R142" s="142"/>
      <c r="S142" s="142"/>
      <c r="T142" s="143"/>
      <c r="U142" s="264"/>
    </row>
    <row r="143" spans="1:21" ht="12.75">
      <c r="A143" s="285"/>
      <c r="B143" s="287"/>
      <c r="C143" s="287"/>
      <c r="D143" s="347"/>
      <c r="E143" s="268"/>
      <c r="F143" s="267"/>
      <c r="G143" s="282"/>
      <c r="H143" s="139" t="s">
        <v>117</v>
      </c>
      <c r="I143" s="146">
        <f>I135+I137+I139+I141</f>
        <v>52606</v>
      </c>
      <c r="J143" s="147">
        <f>J135+J137+J139+J141</f>
        <v>140137</v>
      </c>
      <c r="K143" s="148">
        <f t="shared" si="28"/>
        <v>192743</v>
      </c>
      <c r="L143" s="148">
        <f aca="true" t="shared" si="31" ref="L143:T143">L135+L137+L139+L141</f>
        <v>518993</v>
      </c>
      <c r="M143" s="148">
        <f t="shared" si="31"/>
        <v>0</v>
      </c>
      <c r="N143" s="148">
        <f t="shared" si="31"/>
        <v>0</v>
      </c>
      <c r="O143" s="148">
        <f t="shared" si="31"/>
        <v>0</v>
      </c>
      <c r="P143" s="148">
        <f t="shared" si="31"/>
        <v>0</v>
      </c>
      <c r="Q143" s="148">
        <f t="shared" si="31"/>
        <v>0</v>
      </c>
      <c r="R143" s="148">
        <f t="shared" si="31"/>
        <v>0</v>
      </c>
      <c r="S143" s="148">
        <f t="shared" si="31"/>
        <v>0</v>
      </c>
      <c r="T143" s="149">
        <f t="shared" si="31"/>
        <v>0</v>
      </c>
      <c r="U143" s="264"/>
    </row>
    <row r="144" spans="1:21" ht="13.5" thickBot="1">
      <c r="A144" s="313"/>
      <c r="B144" s="287"/>
      <c r="C144" s="287"/>
      <c r="D144" s="348"/>
      <c r="E144" s="265"/>
      <c r="F144" s="310"/>
      <c r="G144" s="283"/>
      <c r="H144" s="150" t="s">
        <v>118</v>
      </c>
      <c r="I144" s="151">
        <f>I136+I138+I140+I142</f>
        <v>0</v>
      </c>
      <c r="J144" s="152">
        <f>J136+J138+J140+J142</f>
        <v>0</v>
      </c>
      <c r="K144" s="153">
        <f t="shared" si="28"/>
        <v>0</v>
      </c>
      <c r="L144" s="153">
        <f aca="true" t="shared" si="32" ref="L144:T144">L136+L138+L140+L142</f>
        <v>0</v>
      </c>
      <c r="M144" s="153">
        <f t="shared" si="32"/>
        <v>0</v>
      </c>
      <c r="N144" s="153">
        <f t="shared" si="32"/>
        <v>0</v>
      </c>
      <c r="O144" s="153">
        <f t="shared" si="32"/>
        <v>0</v>
      </c>
      <c r="P144" s="153">
        <f t="shared" si="32"/>
        <v>0</v>
      </c>
      <c r="Q144" s="153">
        <f t="shared" si="32"/>
        <v>0</v>
      </c>
      <c r="R144" s="153">
        <f t="shared" si="32"/>
        <v>0</v>
      </c>
      <c r="S144" s="153">
        <f t="shared" si="32"/>
        <v>0</v>
      </c>
      <c r="T144" s="154">
        <f t="shared" si="32"/>
        <v>0</v>
      </c>
      <c r="U144" s="307"/>
    </row>
    <row r="145" spans="1:21" ht="12.75" customHeight="1">
      <c r="A145" s="284">
        <f>A135+1</f>
        <v>15</v>
      </c>
      <c r="B145" s="286">
        <v>710</v>
      </c>
      <c r="C145" s="286">
        <v>71095</v>
      </c>
      <c r="D145" s="323" t="s">
        <v>137</v>
      </c>
      <c r="E145" s="335" t="s">
        <v>133</v>
      </c>
      <c r="F145" s="321">
        <v>2009</v>
      </c>
      <c r="G145" s="132" t="s">
        <v>106</v>
      </c>
      <c r="H145" s="133" t="s">
        <v>107</v>
      </c>
      <c r="I145" s="134">
        <f>45186+117731+27128+92587-117731-92587</f>
        <v>72314</v>
      </c>
      <c r="J145" s="135">
        <f>117731+92587-93145</f>
        <v>117173</v>
      </c>
      <c r="K145" s="136">
        <f t="shared" si="28"/>
        <v>189487</v>
      </c>
      <c r="L145" s="136">
        <f>48495+47463+93145</f>
        <v>189103</v>
      </c>
      <c r="M145" s="136"/>
      <c r="N145" s="136"/>
      <c r="O145" s="136"/>
      <c r="P145" s="136"/>
      <c r="Q145" s="136"/>
      <c r="R145" s="136"/>
      <c r="S145" s="136"/>
      <c r="T145" s="137"/>
      <c r="U145" s="322">
        <f>M153+N153+O153+P153+Q153+R153+S153+M154+N154+O154+P154+Q154+R154+T153+T154+S154</f>
        <v>0</v>
      </c>
    </row>
    <row r="146" spans="1:21" ht="12.75">
      <c r="A146" s="285"/>
      <c r="B146" s="287"/>
      <c r="C146" s="287"/>
      <c r="D146" s="319"/>
      <c r="E146" s="268"/>
      <c r="F146" s="267"/>
      <c r="G146" s="281">
        <f>SUM(K153:T153)</f>
        <v>1012826</v>
      </c>
      <c r="H146" s="139" t="s">
        <v>108</v>
      </c>
      <c r="I146" s="140"/>
      <c r="J146" s="141"/>
      <c r="K146" s="142">
        <f t="shared" si="28"/>
        <v>0</v>
      </c>
      <c r="L146" s="142"/>
      <c r="M146" s="142"/>
      <c r="N146" s="142"/>
      <c r="O146" s="142"/>
      <c r="P146" s="142"/>
      <c r="Q146" s="142"/>
      <c r="R146" s="142"/>
      <c r="S146" s="142"/>
      <c r="T146" s="143"/>
      <c r="U146" s="264"/>
    </row>
    <row r="147" spans="1:21" ht="12.75">
      <c r="A147" s="285"/>
      <c r="B147" s="287"/>
      <c r="C147" s="287"/>
      <c r="D147" s="319"/>
      <c r="E147" s="268"/>
      <c r="F147" s="267"/>
      <c r="G147" s="317"/>
      <c r="H147" s="139" t="s">
        <v>109</v>
      </c>
      <c r="I147" s="140"/>
      <c r="J147" s="141"/>
      <c r="K147" s="142">
        <f t="shared" si="28"/>
        <v>0</v>
      </c>
      <c r="L147" s="142"/>
      <c r="M147" s="142"/>
      <c r="N147" s="142"/>
      <c r="O147" s="142"/>
      <c r="P147" s="142"/>
      <c r="Q147" s="142"/>
      <c r="R147" s="142"/>
      <c r="S147" s="142"/>
      <c r="T147" s="143"/>
      <c r="U147" s="264"/>
    </row>
    <row r="148" spans="1:21" ht="12.75">
      <c r="A148" s="285"/>
      <c r="B148" s="287"/>
      <c r="C148" s="287"/>
      <c r="D148" s="319"/>
      <c r="E148" s="268"/>
      <c r="F148" s="267"/>
      <c r="G148" s="145" t="s">
        <v>110</v>
      </c>
      <c r="H148" s="139" t="s">
        <v>111</v>
      </c>
      <c r="I148" s="140"/>
      <c r="J148" s="141"/>
      <c r="K148" s="142">
        <f t="shared" si="28"/>
        <v>0</v>
      </c>
      <c r="L148" s="142"/>
      <c r="M148" s="142"/>
      <c r="N148" s="142"/>
      <c r="O148" s="142"/>
      <c r="P148" s="142"/>
      <c r="Q148" s="142"/>
      <c r="R148" s="142"/>
      <c r="S148" s="142"/>
      <c r="T148" s="143"/>
      <c r="U148" s="264"/>
    </row>
    <row r="149" spans="1:21" ht="12.75">
      <c r="A149" s="285"/>
      <c r="B149" s="287"/>
      <c r="C149" s="287"/>
      <c r="D149" s="319"/>
      <c r="E149" s="268"/>
      <c r="F149" s="267"/>
      <c r="G149" s="281">
        <f>SUM(K154:T154)</f>
        <v>0</v>
      </c>
      <c r="H149" s="139" t="s">
        <v>112</v>
      </c>
      <c r="I149" s="140">
        <f>135625+353193-353193</f>
        <v>135625</v>
      </c>
      <c r="J149" s="141">
        <f>353193-64548</f>
        <v>288645</v>
      </c>
      <c r="K149" s="142">
        <f t="shared" si="28"/>
        <v>424270</v>
      </c>
      <c r="L149" s="142">
        <f>145418+64548</f>
        <v>209966</v>
      </c>
      <c r="M149" s="142"/>
      <c r="N149" s="142"/>
      <c r="O149" s="142"/>
      <c r="P149" s="142"/>
      <c r="Q149" s="142"/>
      <c r="R149" s="142"/>
      <c r="S149" s="142"/>
      <c r="T149" s="143"/>
      <c r="U149" s="264"/>
    </row>
    <row r="150" spans="1:21" ht="12.75">
      <c r="A150" s="285"/>
      <c r="B150" s="287"/>
      <c r="C150" s="287"/>
      <c r="D150" s="319"/>
      <c r="E150" s="268"/>
      <c r="F150" s="267">
        <v>2011</v>
      </c>
      <c r="G150" s="317"/>
      <c r="H150" s="139" t="s">
        <v>113</v>
      </c>
      <c r="I150" s="140"/>
      <c r="J150" s="141"/>
      <c r="K150" s="142">
        <f t="shared" si="28"/>
        <v>0</v>
      </c>
      <c r="L150" s="142"/>
      <c r="M150" s="142"/>
      <c r="N150" s="142"/>
      <c r="O150" s="142"/>
      <c r="P150" s="142"/>
      <c r="Q150" s="142"/>
      <c r="R150" s="142"/>
      <c r="S150" s="142"/>
      <c r="T150" s="143"/>
      <c r="U150" s="264"/>
    </row>
    <row r="151" spans="1:21" ht="12.75">
      <c r="A151" s="285"/>
      <c r="B151" s="287"/>
      <c r="C151" s="287"/>
      <c r="D151" s="319"/>
      <c r="E151" s="268"/>
      <c r="F151" s="267"/>
      <c r="G151" s="145" t="s">
        <v>114</v>
      </c>
      <c r="H151" s="139" t="s">
        <v>115</v>
      </c>
      <c r="I151" s="140"/>
      <c r="J151" s="141"/>
      <c r="K151" s="142">
        <f t="shared" si="28"/>
        <v>0</v>
      </c>
      <c r="L151" s="142"/>
      <c r="M151" s="142"/>
      <c r="N151" s="142"/>
      <c r="O151" s="142"/>
      <c r="P151" s="142"/>
      <c r="Q151" s="142"/>
      <c r="R151" s="142"/>
      <c r="S151" s="142"/>
      <c r="T151" s="143"/>
      <c r="U151" s="264"/>
    </row>
    <row r="152" spans="1:21" ht="12.75">
      <c r="A152" s="285"/>
      <c r="B152" s="287"/>
      <c r="C152" s="287"/>
      <c r="D152" s="319"/>
      <c r="E152" s="268"/>
      <c r="F152" s="267"/>
      <c r="G152" s="281">
        <f>G146+G149</f>
        <v>1012826</v>
      </c>
      <c r="H152" s="139" t="s">
        <v>116</v>
      </c>
      <c r="I152" s="140"/>
      <c r="J152" s="141"/>
      <c r="K152" s="142">
        <f t="shared" si="28"/>
        <v>0</v>
      </c>
      <c r="L152" s="142"/>
      <c r="M152" s="142"/>
      <c r="N152" s="142"/>
      <c r="O152" s="142"/>
      <c r="P152" s="142"/>
      <c r="Q152" s="142"/>
      <c r="R152" s="142"/>
      <c r="S152" s="142"/>
      <c r="T152" s="143"/>
      <c r="U152" s="264"/>
    </row>
    <row r="153" spans="1:21" ht="12.75">
      <c r="A153" s="285"/>
      <c r="B153" s="287"/>
      <c r="C153" s="287"/>
      <c r="D153" s="319"/>
      <c r="E153" s="268"/>
      <c r="F153" s="267"/>
      <c r="G153" s="282"/>
      <c r="H153" s="139" t="s">
        <v>117</v>
      </c>
      <c r="I153" s="146">
        <f>I145+I147+I149+I151</f>
        <v>207939</v>
      </c>
      <c r="J153" s="147">
        <f>J145+J147+J149+J151</f>
        <v>405818</v>
      </c>
      <c r="K153" s="148">
        <f t="shared" si="28"/>
        <v>613757</v>
      </c>
      <c r="L153" s="148">
        <f aca="true" t="shared" si="33" ref="L153:T153">L145+L147+L149+L151</f>
        <v>399069</v>
      </c>
      <c r="M153" s="148">
        <f t="shared" si="33"/>
        <v>0</v>
      </c>
      <c r="N153" s="148">
        <f t="shared" si="33"/>
        <v>0</v>
      </c>
      <c r="O153" s="148">
        <f t="shared" si="33"/>
        <v>0</v>
      </c>
      <c r="P153" s="148">
        <f t="shared" si="33"/>
        <v>0</v>
      </c>
      <c r="Q153" s="148">
        <f t="shared" si="33"/>
        <v>0</v>
      </c>
      <c r="R153" s="148">
        <f t="shared" si="33"/>
        <v>0</v>
      </c>
      <c r="S153" s="148">
        <f t="shared" si="33"/>
        <v>0</v>
      </c>
      <c r="T153" s="149">
        <f t="shared" si="33"/>
        <v>0</v>
      </c>
      <c r="U153" s="264"/>
    </row>
    <row r="154" spans="1:21" ht="13.5" thickBot="1">
      <c r="A154" s="313"/>
      <c r="B154" s="287"/>
      <c r="C154" s="287"/>
      <c r="D154" s="320"/>
      <c r="E154" s="265"/>
      <c r="F154" s="310"/>
      <c r="G154" s="283"/>
      <c r="H154" s="150" t="s">
        <v>118</v>
      </c>
      <c r="I154" s="151">
        <f>I146+I148+I150+I152</f>
        <v>0</v>
      </c>
      <c r="J154" s="152">
        <f>J146+J148++J150+J152</f>
        <v>0</v>
      </c>
      <c r="K154" s="153">
        <f t="shared" si="28"/>
        <v>0</v>
      </c>
      <c r="L154" s="153">
        <f aca="true" t="shared" si="34" ref="L154:T154">L146+L148+L150+L152</f>
        <v>0</v>
      </c>
      <c r="M154" s="153">
        <f t="shared" si="34"/>
        <v>0</v>
      </c>
      <c r="N154" s="153">
        <f t="shared" si="34"/>
        <v>0</v>
      </c>
      <c r="O154" s="153">
        <f t="shared" si="34"/>
        <v>0</v>
      </c>
      <c r="P154" s="153">
        <f t="shared" si="34"/>
        <v>0</v>
      </c>
      <c r="Q154" s="153">
        <f t="shared" si="34"/>
        <v>0</v>
      </c>
      <c r="R154" s="153">
        <f t="shared" si="34"/>
        <v>0</v>
      </c>
      <c r="S154" s="153">
        <f t="shared" si="34"/>
        <v>0</v>
      </c>
      <c r="T154" s="154">
        <f t="shared" si="34"/>
        <v>0</v>
      </c>
      <c r="U154" s="307"/>
    </row>
    <row r="155" spans="1:21" ht="12.75" customHeight="1">
      <c r="A155" s="284">
        <f>A145+1</f>
        <v>16</v>
      </c>
      <c r="B155" s="286">
        <v>710</v>
      </c>
      <c r="C155" s="286">
        <v>71095</v>
      </c>
      <c r="D155" s="323" t="s">
        <v>138</v>
      </c>
      <c r="E155" s="335" t="s">
        <v>133</v>
      </c>
      <c r="F155" s="321">
        <v>2009</v>
      </c>
      <c r="G155" s="132" t="s">
        <v>106</v>
      </c>
      <c r="H155" s="133" t="s">
        <v>107</v>
      </c>
      <c r="I155" s="134">
        <f>58006+8959+541+81496-58006-81496</f>
        <v>9500</v>
      </c>
      <c r="J155" s="135">
        <f>58006+81496-96622</f>
        <v>42880</v>
      </c>
      <c r="K155" s="158">
        <f t="shared" si="28"/>
        <v>52380</v>
      </c>
      <c r="L155" s="158">
        <f>98355+100801+96622</f>
        <v>295778</v>
      </c>
      <c r="M155" s="136"/>
      <c r="N155" s="136"/>
      <c r="O155" s="136"/>
      <c r="P155" s="136"/>
      <c r="Q155" s="136"/>
      <c r="R155" s="136"/>
      <c r="S155" s="136"/>
      <c r="T155" s="137"/>
      <c r="U155" s="322">
        <f>M163+N163+O163+P163+Q163+R163+S163+M164+N164+O164+P164+Q164+R164+T163+T164+S164</f>
        <v>0</v>
      </c>
    </row>
    <row r="156" spans="1:21" ht="12.75">
      <c r="A156" s="285"/>
      <c r="B156" s="287"/>
      <c r="C156" s="287"/>
      <c r="D156" s="319"/>
      <c r="E156" s="268"/>
      <c r="F156" s="267"/>
      <c r="G156" s="281">
        <f>SUM(K163:T163)</f>
        <v>1284969</v>
      </c>
      <c r="H156" s="139" t="s">
        <v>108</v>
      </c>
      <c r="I156" s="140"/>
      <c r="J156" s="141"/>
      <c r="K156" s="142">
        <f t="shared" si="28"/>
        <v>0</v>
      </c>
      <c r="L156" s="142"/>
      <c r="M156" s="142"/>
      <c r="N156" s="142"/>
      <c r="O156" s="142"/>
      <c r="P156" s="142"/>
      <c r="Q156" s="142"/>
      <c r="R156" s="142"/>
      <c r="S156" s="142"/>
      <c r="T156" s="143"/>
      <c r="U156" s="264"/>
    </row>
    <row r="157" spans="1:21" ht="12.75">
      <c r="A157" s="285"/>
      <c r="B157" s="287"/>
      <c r="C157" s="287"/>
      <c r="D157" s="319"/>
      <c r="E157" s="268"/>
      <c r="F157" s="267"/>
      <c r="G157" s="317"/>
      <c r="H157" s="139" t="s">
        <v>109</v>
      </c>
      <c r="I157" s="140"/>
      <c r="J157" s="141"/>
      <c r="K157" s="142">
        <f aca="true" t="shared" si="35" ref="K157:K188">SUM(I157:J157)</f>
        <v>0</v>
      </c>
      <c r="L157" s="142"/>
      <c r="M157" s="142"/>
      <c r="N157" s="142"/>
      <c r="O157" s="142"/>
      <c r="P157" s="142"/>
      <c r="Q157" s="142"/>
      <c r="R157" s="142"/>
      <c r="S157" s="142"/>
      <c r="T157" s="143"/>
      <c r="U157" s="264"/>
    </row>
    <row r="158" spans="1:21" ht="12.75">
      <c r="A158" s="285"/>
      <c r="B158" s="287"/>
      <c r="C158" s="287"/>
      <c r="D158" s="319"/>
      <c r="E158" s="268"/>
      <c r="F158" s="267"/>
      <c r="G158" s="145" t="s">
        <v>110</v>
      </c>
      <c r="H158" s="139" t="s">
        <v>111</v>
      </c>
      <c r="I158" s="140"/>
      <c r="J158" s="141"/>
      <c r="K158" s="142">
        <f t="shared" si="35"/>
        <v>0</v>
      </c>
      <c r="L158" s="142"/>
      <c r="M158" s="142"/>
      <c r="N158" s="142"/>
      <c r="O158" s="142"/>
      <c r="P158" s="142"/>
      <c r="Q158" s="142"/>
      <c r="R158" s="142"/>
      <c r="S158" s="142"/>
      <c r="T158" s="143"/>
      <c r="U158" s="264"/>
    </row>
    <row r="159" spans="1:21" ht="12.75">
      <c r="A159" s="285"/>
      <c r="B159" s="287"/>
      <c r="C159" s="287"/>
      <c r="D159" s="319"/>
      <c r="E159" s="268"/>
      <c r="F159" s="267"/>
      <c r="G159" s="281">
        <f>SUM(K164:T164)</f>
        <v>0</v>
      </c>
      <c r="H159" s="139" t="s">
        <v>112</v>
      </c>
      <c r="I159" s="140">
        <f>50837+328611-328611</f>
        <v>50837</v>
      </c>
      <c r="J159" s="141">
        <f>328611-113080</f>
        <v>215531</v>
      </c>
      <c r="K159" s="142">
        <f t="shared" si="35"/>
        <v>266368</v>
      </c>
      <c r="L159" s="142">
        <f>557363+113080</f>
        <v>670443</v>
      </c>
      <c r="M159" s="142"/>
      <c r="N159" s="142"/>
      <c r="O159" s="142"/>
      <c r="P159" s="142"/>
      <c r="Q159" s="142"/>
      <c r="R159" s="142"/>
      <c r="S159" s="142"/>
      <c r="T159" s="143"/>
      <c r="U159" s="264"/>
    </row>
    <row r="160" spans="1:21" ht="12.75">
      <c r="A160" s="285"/>
      <c r="B160" s="287"/>
      <c r="C160" s="287"/>
      <c r="D160" s="319"/>
      <c r="E160" s="268"/>
      <c r="F160" s="267">
        <v>2011</v>
      </c>
      <c r="G160" s="317"/>
      <c r="H160" s="139" t="s">
        <v>113</v>
      </c>
      <c r="I160" s="140"/>
      <c r="J160" s="141"/>
      <c r="K160" s="142">
        <f t="shared" si="35"/>
        <v>0</v>
      </c>
      <c r="L160" s="142"/>
      <c r="M160" s="142"/>
      <c r="N160" s="142"/>
      <c r="O160" s="142"/>
      <c r="P160" s="142"/>
      <c r="Q160" s="142"/>
      <c r="R160" s="142"/>
      <c r="S160" s="142"/>
      <c r="T160" s="143"/>
      <c r="U160" s="264"/>
    </row>
    <row r="161" spans="1:21" ht="12.75">
      <c r="A161" s="285"/>
      <c r="B161" s="287"/>
      <c r="C161" s="287"/>
      <c r="D161" s="319"/>
      <c r="E161" s="268"/>
      <c r="F161" s="267"/>
      <c r="G161" s="145" t="s">
        <v>114</v>
      </c>
      <c r="H161" s="139" t="s">
        <v>115</v>
      </c>
      <c r="I161" s="140"/>
      <c r="J161" s="141"/>
      <c r="K161" s="142">
        <f t="shared" si="35"/>
        <v>0</v>
      </c>
      <c r="L161" s="142"/>
      <c r="M161" s="142"/>
      <c r="N161" s="142"/>
      <c r="O161" s="142"/>
      <c r="P161" s="142"/>
      <c r="Q161" s="142"/>
      <c r="R161" s="142"/>
      <c r="S161" s="142"/>
      <c r="T161" s="143"/>
      <c r="U161" s="264"/>
    </row>
    <row r="162" spans="1:21" ht="12.75">
      <c r="A162" s="285"/>
      <c r="B162" s="287"/>
      <c r="C162" s="287"/>
      <c r="D162" s="319"/>
      <c r="E162" s="268"/>
      <c r="F162" s="267"/>
      <c r="G162" s="281">
        <f>G156+G159</f>
        <v>1284969</v>
      </c>
      <c r="H162" s="139" t="s">
        <v>116</v>
      </c>
      <c r="I162" s="140"/>
      <c r="J162" s="141"/>
      <c r="K162" s="142">
        <f t="shared" si="35"/>
        <v>0</v>
      </c>
      <c r="L162" s="142"/>
      <c r="M162" s="142"/>
      <c r="N162" s="142"/>
      <c r="O162" s="142"/>
      <c r="P162" s="142"/>
      <c r="Q162" s="142"/>
      <c r="R162" s="142"/>
      <c r="S162" s="142"/>
      <c r="T162" s="143"/>
      <c r="U162" s="264"/>
    </row>
    <row r="163" spans="1:21" ht="12.75">
      <c r="A163" s="285"/>
      <c r="B163" s="287"/>
      <c r="C163" s="287"/>
      <c r="D163" s="319"/>
      <c r="E163" s="268"/>
      <c r="F163" s="267"/>
      <c r="G163" s="282"/>
      <c r="H163" s="139" t="s">
        <v>117</v>
      </c>
      <c r="I163" s="146">
        <f>I155+I157+I159+I161</f>
        <v>60337</v>
      </c>
      <c r="J163" s="147">
        <f>J155+J157+J159+J161</f>
        <v>258411</v>
      </c>
      <c r="K163" s="148">
        <f t="shared" si="35"/>
        <v>318748</v>
      </c>
      <c r="L163" s="148">
        <f aca="true" t="shared" si="36" ref="L163:T163">L155+L157+L159+L161</f>
        <v>966221</v>
      </c>
      <c r="M163" s="148">
        <f t="shared" si="36"/>
        <v>0</v>
      </c>
      <c r="N163" s="148">
        <f t="shared" si="36"/>
        <v>0</v>
      </c>
      <c r="O163" s="148">
        <f t="shared" si="36"/>
        <v>0</v>
      </c>
      <c r="P163" s="148">
        <f t="shared" si="36"/>
        <v>0</v>
      </c>
      <c r="Q163" s="148">
        <f t="shared" si="36"/>
        <v>0</v>
      </c>
      <c r="R163" s="148">
        <f t="shared" si="36"/>
        <v>0</v>
      </c>
      <c r="S163" s="148">
        <f t="shared" si="36"/>
        <v>0</v>
      </c>
      <c r="T163" s="149">
        <f t="shared" si="36"/>
        <v>0</v>
      </c>
      <c r="U163" s="264"/>
    </row>
    <row r="164" spans="1:21" ht="13.5" thickBot="1">
      <c r="A164" s="313"/>
      <c r="B164" s="287"/>
      <c r="C164" s="287"/>
      <c r="D164" s="320"/>
      <c r="E164" s="349"/>
      <c r="F164" s="310"/>
      <c r="G164" s="283"/>
      <c r="H164" s="150" t="s">
        <v>118</v>
      </c>
      <c r="I164" s="151">
        <f>I156+I158+I160+I162</f>
        <v>0</v>
      </c>
      <c r="J164" s="152">
        <f>J156+J158+J160+J162</f>
        <v>0</v>
      </c>
      <c r="K164" s="153">
        <f t="shared" si="35"/>
        <v>0</v>
      </c>
      <c r="L164" s="153">
        <f aca="true" t="shared" si="37" ref="L164:T164">L156+L158+L160+L162</f>
        <v>0</v>
      </c>
      <c r="M164" s="153">
        <f t="shared" si="37"/>
        <v>0</v>
      </c>
      <c r="N164" s="153">
        <f t="shared" si="37"/>
        <v>0</v>
      </c>
      <c r="O164" s="153">
        <f t="shared" si="37"/>
        <v>0</v>
      </c>
      <c r="P164" s="153">
        <f t="shared" si="37"/>
        <v>0</v>
      </c>
      <c r="Q164" s="153">
        <f t="shared" si="37"/>
        <v>0</v>
      </c>
      <c r="R164" s="153">
        <f t="shared" si="37"/>
        <v>0</v>
      </c>
      <c r="S164" s="153">
        <f t="shared" si="37"/>
        <v>0</v>
      </c>
      <c r="T164" s="154">
        <f t="shared" si="37"/>
        <v>0</v>
      </c>
      <c r="U164" s="307"/>
    </row>
    <row r="165" spans="1:21" ht="12.75" customHeight="1" thickBot="1">
      <c r="A165" s="284">
        <f>A155+1</f>
        <v>17</v>
      </c>
      <c r="B165" s="325">
        <v>750</v>
      </c>
      <c r="C165" s="325">
        <v>75023</v>
      </c>
      <c r="D165" s="346" t="s">
        <v>139</v>
      </c>
      <c r="E165" s="324" t="s">
        <v>140</v>
      </c>
      <c r="F165" s="321">
        <v>2010</v>
      </c>
      <c r="G165" s="132" t="s">
        <v>106</v>
      </c>
      <c r="H165" s="133" t="s">
        <v>107</v>
      </c>
      <c r="I165" s="134">
        <f>49992-49992</f>
        <v>0</v>
      </c>
      <c r="J165" s="160">
        <v>43842</v>
      </c>
      <c r="K165" s="136">
        <f t="shared" si="35"/>
        <v>43842</v>
      </c>
      <c r="L165" s="136">
        <v>337120</v>
      </c>
      <c r="M165" s="136">
        <v>1600765</v>
      </c>
      <c r="N165" s="136">
        <v>241644</v>
      </c>
      <c r="O165" s="136"/>
      <c r="P165" s="136"/>
      <c r="Q165" s="136"/>
      <c r="R165" s="136"/>
      <c r="S165" s="136"/>
      <c r="T165" s="137"/>
      <c r="U165" s="322">
        <f>M173+N173+O173+P173+Q173+R173+S173+M174+N174+O174+P174+Q174+R174+T173+T174+S174</f>
        <v>15345890</v>
      </c>
    </row>
    <row r="166" spans="1:21" ht="13.5" thickBot="1">
      <c r="A166" s="285"/>
      <c r="B166" s="326"/>
      <c r="C166" s="326"/>
      <c r="D166" s="347"/>
      <c r="E166" s="324"/>
      <c r="F166" s="267"/>
      <c r="G166" s="281">
        <f>SUM(K173:T173)</f>
        <v>8893445</v>
      </c>
      <c r="H166" s="139" t="s">
        <v>108</v>
      </c>
      <c r="I166" s="140"/>
      <c r="J166" s="161"/>
      <c r="K166" s="142">
        <f t="shared" si="35"/>
        <v>0</v>
      </c>
      <c r="L166" s="142">
        <f>30409+361838+461812+217885</f>
        <v>1071944</v>
      </c>
      <c r="M166" s="142">
        <f>359900+744977+772193</f>
        <v>1877070</v>
      </c>
      <c r="N166" s="142">
        <v>117000</v>
      </c>
      <c r="O166" s="142"/>
      <c r="P166" s="142"/>
      <c r="Q166" s="142"/>
      <c r="R166" s="142"/>
      <c r="S166" s="142"/>
      <c r="T166" s="143"/>
      <c r="U166" s="264"/>
    </row>
    <row r="167" spans="1:21" ht="13.5" thickBot="1">
      <c r="A167" s="285"/>
      <c r="B167" s="326"/>
      <c r="C167" s="326"/>
      <c r="D167" s="347"/>
      <c r="E167" s="324"/>
      <c r="F167" s="267"/>
      <c r="G167" s="317"/>
      <c r="H167" s="139" t="s">
        <v>109</v>
      </c>
      <c r="I167" s="140"/>
      <c r="J167" s="161"/>
      <c r="K167" s="142">
        <f t="shared" si="35"/>
        <v>0</v>
      </c>
      <c r="L167" s="142"/>
      <c r="M167" s="142"/>
      <c r="N167" s="142"/>
      <c r="O167" s="142"/>
      <c r="P167" s="142"/>
      <c r="Q167" s="142"/>
      <c r="R167" s="142"/>
      <c r="S167" s="142"/>
      <c r="T167" s="143"/>
      <c r="U167" s="264"/>
    </row>
    <row r="168" spans="1:21" ht="13.5" thickBot="1">
      <c r="A168" s="285"/>
      <c r="B168" s="326"/>
      <c r="C168" s="326"/>
      <c r="D168" s="347"/>
      <c r="E168" s="324"/>
      <c r="F168" s="267"/>
      <c r="G168" s="145" t="s">
        <v>110</v>
      </c>
      <c r="H168" s="139" t="s">
        <v>111</v>
      </c>
      <c r="I168" s="140"/>
      <c r="J168" s="161"/>
      <c r="K168" s="142">
        <f t="shared" si="35"/>
        <v>0</v>
      </c>
      <c r="L168" s="142"/>
      <c r="M168" s="142"/>
      <c r="N168" s="142"/>
      <c r="O168" s="142"/>
      <c r="P168" s="142"/>
      <c r="Q168" s="142"/>
      <c r="R168" s="142"/>
      <c r="S168" s="142"/>
      <c r="T168" s="143"/>
      <c r="U168" s="264"/>
    </row>
    <row r="169" spans="1:21" ht="13.5" thickBot="1">
      <c r="A169" s="285"/>
      <c r="B169" s="326"/>
      <c r="C169" s="326"/>
      <c r="D169" s="347"/>
      <c r="E169" s="324"/>
      <c r="F169" s="267"/>
      <c r="G169" s="281">
        <f>SUM(K174:T174)</f>
        <v>12264052</v>
      </c>
      <c r="H169" s="139" t="s">
        <v>112</v>
      </c>
      <c r="I169" s="140">
        <f>149973-149973</f>
        <v>0</v>
      </c>
      <c r="J169" s="161">
        <v>131525</v>
      </c>
      <c r="K169" s="142">
        <f t="shared" si="35"/>
        <v>131525</v>
      </c>
      <c r="L169" s="142">
        <v>1011347</v>
      </c>
      <c r="M169" s="142">
        <v>4802279</v>
      </c>
      <c r="N169" s="142">
        <v>724923</v>
      </c>
      <c r="O169" s="142"/>
      <c r="P169" s="142"/>
      <c r="Q169" s="142"/>
      <c r="R169" s="142"/>
      <c r="S169" s="142"/>
      <c r="T169" s="143"/>
      <c r="U169" s="264"/>
    </row>
    <row r="170" spans="1:21" ht="13.5" thickBot="1">
      <c r="A170" s="285"/>
      <c r="B170" s="326">
        <v>801</v>
      </c>
      <c r="C170" s="326">
        <v>80195</v>
      </c>
      <c r="D170" s="347"/>
      <c r="E170" s="324"/>
      <c r="F170" s="267">
        <v>2013</v>
      </c>
      <c r="G170" s="317"/>
      <c r="H170" s="139" t="s">
        <v>113</v>
      </c>
      <c r="I170" s="140"/>
      <c r="J170" s="161"/>
      <c r="K170" s="142">
        <f t="shared" si="35"/>
        <v>0</v>
      </c>
      <c r="L170" s="142">
        <f>1085512+91226+1385436+653655</f>
        <v>3215829</v>
      </c>
      <c r="M170" s="142">
        <f>1079700+2234931+2316578</f>
        <v>5631209</v>
      </c>
      <c r="N170" s="142">
        <v>351000</v>
      </c>
      <c r="O170" s="142"/>
      <c r="P170" s="142"/>
      <c r="Q170" s="142"/>
      <c r="R170" s="142"/>
      <c r="S170" s="142"/>
      <c r="T170" s="143"/>
      <c r="U170" s="264"/>
    </row>
    <row r="171" spans="1:21" ht="13.5" thickBot="1">
      <c r="A171" s="285"/>
      <c r="B171" s="326"/>
      <c r="C171" s="326"/>
      <c r="D171" s="347"/>
      <c r="E171" s="324"/>
      <c r="F171" s="267"/>
      <c r="G171" s="145" t="s">
        <v>114</v>
      </c>
      <c r="H171" s="139" t="s">
        <v>115</v>
      </c>
      <c r="I171" s="140"/>
      <c r="J171" s="161"/>
      <c r="K171" s="142">
        <f t="shared" si="35"/>
        <v>0</v>
      </c>
      <c r="L171" s="142"/>
      <c r="M171" s="142"/>
      <c r="N171" s="142"/>
      <c r="O171" s="142"/>
      <c r="P171" s="142"/>
      <c r="Q171" s="142"/>
      <c r="R171" s="142"/>
      <c r="S171" s="142"/>
      <c r="T171" s="143"/>
      <c r="U171" s="264"/>
    </row>
    <row r="172" spans="1:21" ht="13.5" thickBot="1">
      <c r="A172" s="285"/>
      <c r="B172" s="326"/>
      <c r="C172" s="326"/>
      <c r="D172" s="347"/>
      <c r="E172" s="324"/>
      <c r="F172" s="267"/>
      <c r="G172" s="281">
        <f>G166+G169</f>
        <v>21157497</v>
      </c>
      <c r="H172" s="139" t="s">
        <v>116</v>
      </c>
      <c r="I172" s="140"/>
      <c r="J172" s="161"/>
      <c r="K172" s="142">
        <f t="shared" si="35"/>
        <v>0</v>
      </c>
      <c r="L172" s="142"/>
      <c r="M172" s="142"/>
      <c r="N172" s="142"/>
      <c r="O172" s="142"/>
      <c r="P172" s="142"/>
      <c r="Q172" s="142"/>
      <c r="R172" s="142"/>
      <c r="S172" s="142"/>
      <c r="T172" s="143"/>
      <c r="U172" s="264"/>
    </row>
    <row r="173" spans="1:21" ht="13.5" thickBot="1">
      <c r="A173" s="285"/>
      <c r="B173" s="326"/>
      <c r="C173" s="326"/>
      <c r="D173" s="347"/>
      <c r="E173" s="324"/>
      <c r="F173" s="267"/>
      <c r="G173" s="282"/>
      <c r="H173" s="139" t="s">
        <v>117</v>
      </c>
      <c r="I173" s="146">
        <f>I165+I167+I169+I171</f>
        <v>0</v>
      </c>
      <c r="J173" s="162">
        <f>J165+J167+J169+J171</f>
        <v>175367</v>
      </c>
      <c r="K173" s="148">
        <f t="shared" si="35"/>
        <v>175367</v>
      </c>
      <c r="L173" s="148">
        <f aca="true" t="shared" si="38" ref="L173:T173">L165+L167+L169+L171</f>
        <v>1348467</v>
      </c>
      <c r="M173" s="148">
        <f t="shared" si="38"/>
        <v>6403044</v>
      </c>
      <c r="N173" s="148">
        <f t="shared" si="38"/>
        <v>966567</v>
      </c>
      <c r="O173" s="148">
        <f t="shared" si="38"/>
        <v>0</v>
      </c>
      <c r="P173" s="148">
        <f t="shared" si="38"/>
        <v>0</v>
      </c>
      <c r="Q173" s="148">
        <f t="shared" si="38"/>
        <v>0</v>
      </c>
      <c r="R173" s="148">
        <f t="shared" si="38"/>
        <v>0</v>
      </c>
      <c r="S173" s="148">
        <f t="shared" si="38"/>
        <v>0</v>
      </c>
      <c r="T173" s="149">
        <f t="shared" si="38"/>
        <v>0</v>
      </c>
      <c r="U173" s="264"/>
    </row>
    <row r="174" spans="1:21" ht="13.5" thickBot="1">
      <c r="A174" s="313"/>
      <c r="B174" s="327"/>
      <c r="C174" s="327"/>
      <c r="D174" s="348"/>
      <c r="E174" s="324"/>
      <c r="F174" s="310"/>
      <c r="G174" s="283"/>
      <c r="H174" s="150" t="s">
        <v>118</v>
      </c>
      <c r="I174" s="151">
        <f>I166+I168+I170+I172</f>
        <v>0</v>
      </c>
      <c r="J174" s="163">
        <f>J166+J168+J170+J172</f>
        <v>0</v>
      </c>
      <c r="K174" s="153">
        <f t="shared" si="35"/>
        <v>0</v>
      </c>
      <c r="L174" s="153">
        <f aca="true" t="shared" si="39" ref="L174:T174">L166+L168+L170+L172</f>
        <v>4287773</v>
      </c>
      <c r="M174" s="153">
        <f t="shared" si="39"/>
        <v>7508279</v>
      </c>
      <c r="N174" s="153">
        <f t="shared" si="39"/>
        <v>468000</v>
      </c>
      <c r="O174" s="153">
        <f t="shared" si="39"/>
        <v>0</v>
      </c>
      <c r="P174" s="153">
        <f t="shared" si="39"/>
        <v>0</v>
      </c>
      <c r="Q174" s="153">
        <f t="shared" si="39"/>
        <v>0</v>
      </c>
      <c r="R174" s="153">
        <f t="shared" si="39"/>
        <v>0</v>
      </c>
      <c r="S174" s="153">
        <f t="shared" si="39"/>
        <v>0</v>
      </c>
      <c r="T174" s="154">
        <f t="shared" si="39"/>
        <v>0</v>
      </c>
      <c r="U174" s="307"/>
    </row>
    <row r="175" spans="1:21" ht="12.75" customHeight="1">
      <c r="A175" s="284">
        <f>A165+1</f>
        <v>18</v>
      </c>
      <c r="B175" s="286">
        <v>801</v>
      </c>
      <c r="C175" s="286">
        <v>80101</v>
      </c>
      <c r="D175" s="323" t="s">
        <v>141</v>
      </c>
      <c r="E175" s="335" t="s">
        <v>142</v>
      </c>
      <c r="F175" s="321">
        <v>2009</v>
      </c>
      <c r="G175" s="132" t="s">
        <v>106</v>
      </c>
      <c r="H175" s="133" t="s">
        <v>107</v>
      </c>
      <c r="I175" s="134"/>
      <c r="J175" s="135"/>
      <c r="K175" s="158">
        <f t="shared" si="35"/>
        <v>0</v>
      </c>
      <c r="L175" s="158"/>
      <c r="M175" s="136"/>
      <c r="N175" s="136"/>
      <c r="O175" s="136"/>
      <c r="P175" s="136"/>
      <c r="Q175" s="136"/>
      <c r="R175" s="136"/>
      <c r="S175" s="136"/>
      <c r="T175" s="137"/>
      <c r="U175" s="322">
        <f>M183+N183+O183+P183+Q183+R183+S183+M184+N184+O184+P184+Q184+R184+T183+T184+S184</f>
        <v>0</v>
      </c>
    </row>
    <row r="176" spans="1:21" ht="12.75">
      <c r="A176" s="285"/>
      <c r="B176" s="287"/>
      <c r="C176" s="287"/>
      <c r="D176" s="319"/>
      <c r="E176" s="268"/>
      <c r="F176" s="267"/>
      <c r="G176" s="281">
        <f>SUM(K183:T183)</f>
        <v>59796</v>
      </c>
      <c r="H176" s="139" t="s">
        <v>108</v>
      </c>
      <c r="I176" s="140"/>
      <c r="J176" s="141"/>
      <c r="K176" s="142">
        <f t="shared" si="35"/>
        <v>0</v>
      </c>
      <c r="L176" s="142"/>
      <c r="M176" s="142"/>
      <c r="N176" s="142"/>
      <c r="O176" s="142"/>
      <c r="P176" s="142"/>
      <c r="Q176" s="142"/>
      <c r="R176" s="142"/>
      <c r="S176" s="142"/>
      <c r="T176" s="143"/>
      <c r="U176" s="264"/>
    </row>
    <row r="177" spans="1:21" ht="12.75">
      <c r="A177" s="285"/>
      <c r="B177" s="287"/>
      <c r="C177" s="287"/>
      <c r="D177" s="319"/>
      <c r="E177" s="268"/>
      <c r="F177" s="267"/>
      <c r="G177" s="317"/>
      <c r="H177" s="139" t="s">
        <v>109</v>
      </c>
      <c r="I177" s="140"/>
      <c r="J177" s="141"/>
      <c r="K177" s="142">
        <f t="shared" si="35"/>
        <v>0</v>
      </c>
      <c r="L177" s="142"/>
      <c r="M177" s="142"/>
      <c r="N177" s="142"/>
      <c r="O177" s="142"/>
      <c r="P177" s="142"/>
      <c r="Q177" s="142"/>
      <c r="R177" s="142"/>
      <c r="S177" s="142"/>
      <c r="T177" s="143"/>
      <c r="U177" s="264"/>
    </row>
    <row r="178" spans="1:21" ht="12.75">
      <c r="A178" s="285"/>
      <c r="B178" s="287"/>
      <c r="C178" s="287"/>
      <c r="D178" s="319"/>
      <c r="E178" s="268"/>
      <c r="F178" s="267"/>
      <c r="G178" s="145" t="s">
        <v>110</v>
      </c>
      <c r="H178" s="139" t="s">
        <v>111</v>
      </c>
      <c r="I178" s="140"/>
      <c r="J178" s="141"/>
      <c r="K178" s="142">
        <f t="shared" si="35"/>
        <v>0</v>
      </c>
      <c r="L178" s="142"/>
      <c r="M178" s="142"/>
      <c r="N178" s="142"/>
      <c r="O178" s="142"/>
      <c r="P178" s="142"/>
      <c r="Q178" s="142"/>
      <c r="R178" s="142"/>
      <c r="S178" s="142"/>
      <c r="T178" s="143"/>
      <c r="U178" s="264"/>
    </row>
    <row r="179" spans="1:21" ht="12.75">
      <c r="A179" s="285"/>
      <c r="B179" s="287"/>
      <c r="C179" s="287"/>
      <c r="D179" s="319"/>
      <c r="E179" s="268"/>
      <c r="F179" s="267"/>
      <c r="G179" s="281">
        <f>SUM(K184:T184)</f>
        <v>0</v>
      </c>
      <c r="H179" s="139" t="s">
        <v>112</v>
      </c>
      <c r="I179" s="140">
        <f>47837-47837</f>
        <v>0</v>
      </c>
      <c r="J179" s="141">
        <f>47837-28411</f>
        <v>19426</v>
      </c>
      <c r="K179" s="142">
        <f t="shared" si="35"/>
        <v>19426</v>
      </c>
      <c r="L179" s="142">
        <f>11959+28411</f>
        <v>40370</v>
      </c>
      <c r="M179" s="142"/>
      <c r="N179" s="142"/>
      <c r="O179" s="142"/>
      <c r="P179" s="142"/>
      <c r="Q179" s="142"/>
      <c r="R179" s="142"/>
      <c r="S179" s="142"/>
      <c r="T179" s="143"/>
      <c r="U179" s="264"/>
    </row>
    <row r="180" spans="1:21" ht="12.75">
      <c r="A180" s="285"/>
      <c r="B180" s="287"/>
      <c r="C180" s="287"/>
      <c r="D180" s="319"/>
      <c r="E180" s="268"/>
      <c r="F180" s="267">
        <v>2011</v>
      </c>
      <c r="G180" s="317"/>
      <c r="H180" s="139" t="s">
        <v>113</v>
      </c>
      <c r="I180" s="140"/>
      <c r="J180" s="141"/>
      <c r="K180" s="142">
        <f t="shared" si="35"/>
        <v>0</v>
      </c>
      <c r="L180" s="142"/>
      <c r="M180" s="142"/>
      <c r="N180" s="142"/>
      <c r="O180" s="142"/>
      <c r="P180" s="142"/>
      <c r="Q180" s="142"/>
      <c r="R180" s="142"/>
      <c r="S180" s="142"/>
      <c r="T180" s="143"/>
      <c r="U180" s="264"/>
    </row>
    <row r="181" spans="1:21" ht="12.75">
      <c r="A181" s="285"/>
      <c r="B181" s="287"/>
      <c r="C181" s="287"/>
      <c r="D181" s="319"/>
      <c r="E181" s="268"/>
      <c r="F181" s="267"/>
      <c r="G181" s="145" t="s">
        <v>114</v>
      </c>
      <c r="H181" s="139" t="s">
        <v>115</v>
      </c>
      <c r="I181" s="140"/>
      <c r="J181" s="141"/>
      <c r="K181" s="142">
        <f t="shared" si="35"/>
        <v>0</v>
      </c>
      <c r="L181" s="142"/>
      <c r="M181" s="142"/>
      <c r="N181" s="142"/>
      <c r="O181" s="142"/>
      <c r="P181" s="142"/>
      <c r="Q181" s="142"/>
      <c r="R181" s="142"/>
      <c r="S181" s="142"/>
      <c r="T181" s="143"/>
      <c r="U181" s="264"/>
    </row>
    <row r="182" spans="1:21" ht="12.75">
      <c r="A182" s="285"/>
      <c r="B182" s="287"/>
      <c r="C182" s="287"/>
      <c r="D182" s="319"/>
      <c r="E182" s="268"/>
      <c r="F182" s="267"/>
      <c r="G182" s="281">
        <f>G176+G179</f>
        <v>59796</v>
      </c>
      <c r="H182" s="139" t="s">
        <v>116</v>
      </c>
      <c r="I182" s="140"/>
      <c r="J182" s="141"/>
      <c r="K182" s="142">
        <f t="shared" si="35"/>
        <v>0</v>
      </c>
      <c r="L182" s="142"/>
      <c r="M182" s="142"/>
      <c r="N182" s="142"/>
      <c r="O182" s="142"/>
      <c r="P182" s="142"/>
      <c r="Q182" s="142"/>
      <c r="R182" s="142"/>
      <c r="S182" s="142"/>
      <c r="T182" s="143"/>
      <c r="U182" s="264"/>
    </row>
    <row r="183" spans="1:21" ht="12.75">
      <c r="A183" s="285"/>
      <c r="B183" s="287"/>
      <c r="C183" s="287"/>
      <c r="D183" s="319"/>
      <c r="E183" s="268"/>
      <c r="F183" s="267"/>
      <c r="G183" s="282"/>
      <c r="H183" s="139" t="s">
        <v>117</v>
      </c>
      <c r="I183" s="146">
        <f>I175+I177+I179+I181</f>
        <v>0</v>
      </c>
      <c r="J183" s="147">
        <f>J175+J177+J179+J181</f>
        <v>19426</v>
      </c>
      <c r="K183" s="148">
        <f t="shared" si="35"/>
        <v>19426</v>
      </c>
      <c r="L183" s="148">
        <f aca="true" t="shared" si="40" ref="L183:T183">L175+L177+L179+L181</f>
        <v>40370</v>
      </c>
      <c r="M183" s="148">
        <f t="shared" si="40"/>
        <v>0</v>
      </c>
      <c r="N183" s="148">
        <f t="shared" si="40"/>
        <v>0</v>
      </c>
      <c r="O183" s="148">
        <f t="shared" si="40"/>
        <v>0</v>
      </c>
      <c r="P183" s="148">
        <f t="shared" si="40"/>
        <v>0</v>
      </c>
      <c r="Q183" s="148">
        <f t="shared" si="40"/>
        <v>0</v>
      </c>
      <c r="R183" s="148">
        <f t="shared" si="40"/>
        <v>0</v>
      </c>
      <c r="S183" s="148">
        <f t="shared" si="40"/>
        <v>0</v>
      </c>
      <c r="T183" s="149">
        <f t="shared" si="40"/>
        <v>0</v>
      </c>
      <c r="U183" s="264"/>
    </row>
    <row r="184" spans="1:21" ht="13.5" thickBot="1">
      <c r="A184" s="313"/>
      <c r="B184" s="287"/>
      <c r="C184" s="318"/>
      <c r="D184" s="320"/>
      <c r="E184" s="265"/>
      <c r="F184" s="310"/>
      <c r="G184" s="283"/>
      <c r="H184" s="150" t="s">
        <v>118</v>
      </c>
      <c r="I184" s="151">
        <f>I176+I178+I180+I182</f>
        <v>0</v>
      </c>
      <c r="J184" s="152">
        <f>J176+J178+J180+J182</f>
        <v>0</v>
      </c>
      <c r="K184" s="153">
        <f t="shared" si="35"/>
        <v>0</v>
      </c>
      <c r="L184" s="153">
        <f aca="true" t="shared" si="41" ref="L184:T184">L176+L178+L180+L182</f>
        <v>0</v>
      </c>
      <c r="M184" s="153">
        <f t="shared" si="41"/>
        <v>0</v>
      </c>
      <c r="N184" s="153">
        <f t="shared" si="41"/>
        <v>0</v>
      </c>
      <c r="O184" s="153">
        <f t="shared" si="41"/>
        <v>0</v>
      </c>
      <c r="P184" s="153">
        <f t="shared" si="41"/>
        <v>0</v>
      </c>
      <c r="Q184" s="153">
        <f t="shared" si="41"/>
        <v>0</v>
      </c>
      <c r="R184" s="153">
        <f t="shared" si="41"/>
        <v>0</v>
      </c>
      <c r="S184" s="153">
        <f t="shared" si="41"/>
        <v>0</v>
      </c>
      <c r="T184" s="154">
        <f t="shared" si="41"/>
        <v>0</v>
      </c>
      <c r="U184" s="307"/>
    </row>
    <row r="185" spans="1:21" ht="12.75" customHeight="1">
      <c r="A185" s="284">
        <f>A175+1</f>
        <v>19</v>
      </c>
      <c r="B185" s="286">
        <v>801</v>
      </c>
      <c r="C185" s="286">
        <v>80110</v>
      </c>
      <c r="D185" s="328" t="s">
        <v>141</v>
      </c>
      <c r="E185" s="335" t="s">
        <v>143</v>
      </c>
      <c r="F185" s="321">
        <v>2010</v>
      </c>
      <c r="G185" s="182" t="s">
        <v>106</v>
      </c>
      <c r="H185" s="133" t="s">
        <v>107</v>
      </c>
      <c r="I185" s="134"/>
      <c r="J185" s="135"/>
      <c r="K185" s="136">
        <f t="shared" si="35"/>
        <v>0</v>
      </c>
      <c r="L185" s="136"/>
      <c r="M185" s="136"/>
      <c r="N185" s="136"/>
      <c r="O185" s="136"/>
      <c r="P185" s="136"/>
      <c r="Q185" s="136"/>
      <c r="R185" s="136"/>
      <c r="S185" s="136"/>
      <c r="T185" s="137"/>
      <c r="U185" s="322">
        <f>M193+N193+O193+P193+Q193+R193+S193+M194+N194+O194+P194+Q194+R194+T193+T194+S194</f>
        <v>15532</v>
      </c>
    </row>
    <row r="186" spans="1:21" ht="12.75">
      <c r="A186" s="285"/>
      <c r="B186" s="287"/>
      <c r="C186" s="287"/>
      <c r="D186" s="315"/>
      <c r="E186" s="268"/>
      <c r="F186" s="267"/>
      <c r="G186" s="308">
        <f>SUM(K193:T193)</f>
        <v>78544</v>
      </c>
      <c r="H186" s="139" t="s">
        <v>108</v>
      </c>
      <c r="I186" s="140"/>
      <c r="J186" s="141"/>
      <c r="K186" s="142">
        <f t="shared" si="35"/>
        <v>0</v>
      </c>
      <c r="L186" s="142"/>
      <c r="M186" s="142"/>
      <c r="N186" s="142"/>
      <c r="O186" s="142"/>
      <c r="P186" s="142"/>
      <c r="Q186" s="142"/>
      <c r="R186" s="142"/>
      <c r="S186" s="142"/>
      <c r="T186" s="143"/>
      <c r="U186" s="264"/>
    </row>
    <row r="187" spans="1:21" ht="12.75">
      <c r="A187" s="285"/>
      <c r="B187" s="287"/>
      <c r="C187" s="287"/>
      <c r="D187" s="315"/>
      <c r="E187" s="268"/>
      <c r="F187" s="267"/>
      <c r="G187" s="309"/>
      <c r="H187" s="139" t="s">
        <v>109</v>
      </c>
      <c r="I187" s="140"/>
      <c r="J187" s="141"/>
      <c r="K187" s="142">
        <f t="shared" si="35"/>
        <v>0</v>
      </c>
      <c r="L187" s="142"/>
      <c r="M187" s="142"/>
      <c r="N187" s="142"/>
      <c r="O187" s="142"/>
      <c r="P187" s="142"/>
      <c r="Q187" s="142"/>
      <c r="R187" s="142"/>
      <c r="S187" s="142"/>
      <c r="T187" s="143"/>
      <c r="U187" s="264"/>
    </row>
    <row r="188" spans="1:21" ht="12.75">
      <c r="A188" s="285"/>
      <c r="B188" s="287"/>
      <c r="C188" s="287"/>
      <c r="D188" s="315"/>
      <c r="E188" s="268"/>
      <c r="F188" s="267"/>
      <c r="G188" s="184" t="s">
        <v>110</v>
      </c>
      <c r="H188" s="139" t="s">
        <v>111</v>
      </c>
      <c r="I188" s="140"/>
      <c r="J188" s="141"/>
      <c r="K188" s="142">
        <f t="shared" si="35"/>
        <v>0</v>
      </c>
      <c r="L188" s="142"/>
      <c r="M188" s="142"/>
      <c r="N188" s="142"/>
      <c r="O188" s="142"/>
      <c r="P188" s="142"/>
      <c r="Q188" s="142"/>
      <c r="R188" s="142"/>
      <c r="S188" s="142"/>
      <c r="T188" s="143"/>
      <c r="U188" s="264"/>
    </row>
    <row r="189" spans="1:21" ht="12.75">
      <c r="A189" s="285"/>
      <c r="B189" s="287"/>
      <c r="C189" s="287"/>
      <c r="D189" s="315"/>
      <c r="E189" s="268"/>
      <c r="F189" s="267"/>
      <c r="G189" s="308">
        <f>SUM(K194:T194)</f>
        <v>0</v>
      </c>
      <c r="H189" s="139" t="s">
        <v>112</v>
      </c>
      <c r="I189" s="140">
        <f>24550-24550</f>
        <v>0</v>
      </c>
      <c r="J189" s="141">
        <f>24550-1559</f>
        <v>22991</v>
      </c>
      <c r="K189" s="142">
        <f aca="true" t="shared" si="42" ref="K189:K208">SUM(I189:J189)</f>
        <v>22991</v>
      </c>
      <c r="L189" s="173">
        <f>37580+1559+238+644</f>
        <v>40021</v>
      </c>
      <c r="M189" s="142">
        <v>15532</v>
      </c>
      <c r="N189" s="142"/>
      <c r="O189" s="142"/>
      <c r="P189" s="142"/>
      <c r="Q189" s="142"/>
      <c r="R189" s="142"/>
      <c r="S189" s="142"/>
      <c r="T189" s="143"/>
      <c r="U189" s="264"/>
    </row>
    <row r="190" spans="1:21" ht="12.75">
      <c r="A190" s="285"/>
      <c r="B190" s="287"/>
      <c r="C190" s="287"/>
      <c r="D190" s="315"/>
      <c r="E190" s="268"/>
      <c r="F190" s="267">
        <v>2012</v>
      </c>
      <c r="G190" s="309"/>
      <c r="H190" s="139" t="s">
        <v>113</v>
      </c>
      <c r="I190" s="140"/>
      <c r="J190" s="141"/>
      <c r="K190" s="142">
        <f t="shared" si="42"/>
        <v>0</v>
      </c>
      <c r="L190" s="142"/>
      <c r="M190" s="142"/>
      <c r="N190" s="142"/>
      <c r="O190" s="142"/>
      <c r="P190" s="142"/>
      <c r="Q190" s="142"/>
      <c r="R190" s="142"/>
      <c r="S190" s="142"/>
      <c r="T190" s="143"/>
      <c r="U190" s="264"/>
    </row>
    <row r="191" spans="1:21" ht="12.75">
      <c r="A191" s="285"/>
      <c r="B191" s="287"/>
      <c r="C191" s="287"/>
      <c r="D191" s="315"/>
      <c r="E191" s="268"/>
      <c r="F191" s="267"/>
      <c r="G191" s="184" t="s">
        <v>114</v>
      </c>
      <c r="H191" s="139" t="s">
        <v>115</v>
      </c>
      <c r="I191" s="140"/>
      <c r="J191" s="141"/>
      <c r="K191" s="142">
        <f t="shared" si="42"/>
        <v>0</v>
      </c>
      <c r="L191" s="142"/>
      <c r="M191" s="142"/>
      <c r="N191" s="142"/>
      <c r="O191" s="142"/>
      <c r="P191" s="142"/>
      <c r="Q191" s="142"/>
      <c r="R191" s="142"/>
      <c r="S191" s="142"/>
      <c r="T191" s="143"/>
      <c r="U191" s="264"/>
    </row>
    <row r="192" spans="1:21" ht="12.75">
      <c r="A192" s="285"/>
      <c r="B192" s="287"/>
      <c r="C192" s="287"/>
      <c r="D192" s="315"/>
      <c r="E192" s="268"/>
      <c r="F192" s="267"/>
      <c r="G192" s="308">
        <f>G186+G189</f>
        <v>78544</v>
      </c>
      <c r="H192" s="139" t="s">
        <v>116</v>
      </c>
      <c r="I192" s="140"/>
      <c r="J192" s="141"/>
      <c r="K192" s="142">
        <f t="shared" si="42"/>
        <v>0</v>
      </c>
      <c r="L192" s="142"/>
      <c r="M192" s="142"/>
      <c r="N192" s="142"/>
      <c r="O192" s="142"/>
      <c r="P192" s="142"/>
      <c r="Q192" s="142"/>
      <c r="R192" s="142"/>
      <c r="S192" s="142"/>
      <c r="T192" s="143"/>
      <c r="U192" s="264"/>
    </row>
    <row r="193" spans="1:21" ht="12.75">
      <c r="A193" s="285"/>
      <c r="B193" s="287"/>
      <c r="C193" s="287"/>
      <c r="D193" s="315"/>
      <c r="E193" s="268"/>
      <c r="F193" s="267"/>
      <c r="G193" s="311"/>
      <c r="H193" s="139" t="s">
        <v>117</v>
      </c>
      <c r="I193" s="146">
        <f>I185+I187+I189+I191</f>
        <v>0</v>
      </c>
      <c r="J193" s="147">
        <f>J185+J187+J189+J191</f>
        <v>22991</v>
      </c>
      <c r="K193" s="148">
        <f t="shared" si="42"/>
        <v>22991</v>
      </c>
      <c r="L193" s="148">
        <f aca="true" t="shared" si="43" ref="L193:T193">L185+L187+L189+L191</f>
        <v>40021</v>
      </c>
      <c r="M193" s="148">
        <f t="shared" si="43"/>
        <v>15532</v>
      </c>
      <c r="N193" s="148">
        <f t="shared" si="43"/>
        <v>0</v>
      </c>
      <c r="O193" s="148">
        <f t="shared" si="43"/>
        <v>0</v>
      </c>
      <c r="P193" s="148">
        <f t="shared" si="43"/>
        <v>0</v>
      </c>
      <c r="Q193" s="148">
        <f t="shared" si="43"/>
        <v>0</v>
      </c>
      <c r="R193" s="148">
        <f t="shared" si="43"/>
        <v>0</v>
      </c>
      <c r="S193" s="148">
        <f t="shared" si="43"/>
        <v>0</v>
      </c>
      <c r="T193" s="149">
        <f t="shared" si="43"/>
        <v>0</v>
      </c>
      <c r="U193" s="264"/>
    </row>
    <row r="194" spans="1:21" ht="13.5" thickBot="1">
      <c r="A194" s="313"/>
      <c r="B194" s="318"/>
      <c r="C194" s="318"/>
      <c r="D194" s="316"/>
      <c r="E194" s="265"/>
      <c r="F194" s="310"/>
      <c r="G194" s="344"/>
      <c r="H194" s="150" t="s">
        <v>118</v>
      </c>
      <c r="I194" s="151">
        <f>I186+I188+I190+I192</f>
        <v>0</v>
      </c>
      <c r="J194" s="152">
        <f>J186+J188+J190+J192</f>
        <v>0</v>
      </c>
      <c r="K194" s="153">
        <f t="shared" si="42"/>
        <v>0</v>
      </c>
      <c r="L194" s="153">
        <f aca="true" t="shared" si="44" ref="L194:T194">L186+L188+L190+L192</f>
        <v>0</v>
      </c>
      <c r="M194" s="153">
        <f t="shared" si="44"/>
        <v>0</v>
      </c>
      <c r="N194" s="153">
        <f t="shared" si="44"/>
        <v>0</v>
      </c>
      <c r="O194" s="153">
        <f t="shared" si="44"/>
        <v>0</v>
      </c>
      <c r="P194" s="153">
        <f t="shared" si="44"/>
        <v>0</v>
      </c>
      <c r="Q194" s="153">
        <f t="shared" si="44"/>
        <v>0</v>
      </c>
      <c r="R194" s="153">
        <f t="shared" si="44"/>
        <v>0</v>
      </c>
      <c r="S194" s="153">
        <f t="shared" si="44"/>
        <v>0</v>
      </c>
      <c r="T194" s="154">
        <f t="shared" si="44"/>
        <v>0</v>
      </c>
      <c r="U194" s="307"/>
    </row>
    <row r="195" spans="1:21" ht="12.75">
      <c r="A195" s="312">
        <f>A185+1</f>
        <v>20</v>
      </c>
      <c r="B195" s="287">
        <v>801</v>
      </c>
      <c r="C195" s="287">
        <v>80110</v>
      </c>
      <c r="D195" s="314" t="s">
        <v>144</v>
      </c>
      <c r="E195" s="269" t="s">
        <v>143</v>
      </c>
      <c r="F195" s="266">
        <v>2011</v>
      </c>
      <c r="G195" s="183" t="s">
        <v>106</v>
      </c>
      <c r="H195" s="155" t="s">
        <v>107</v>
      </c>
      <c r="I195" s="156"/>
      <c r="J195" s="157"/>
      <c r="K195" s="158">
        <f t="shared" si="42"/>
        <v>0</v>
      </c>
      <c r="L195" s="158"/>
      <c r="M195" s="158"/>
      <c r="N195" s="158"/>
      <c r="O195" s="158"/>
      <c r="P195" s="158"/>
      <c r="Q195" s="158"/>
      <c r="R195" s="158"/>
      <c r="S195" s="158"/>
      <c r="T195" s="159"/>
      <c r="U195" s="263">
        <f>M203+N203+O203+P203+Q203+R203+S203+M204+N204+O204+P204+Q204+R204+T203+T204+S204</f>
        <v>0</v>
      </c>
    </row>
    <row r="196" spans="1:21" ht="12.75">
      <c r="A196" s="285"/>
      <c r="B196" s="287"/>
      <c r="C196" s="287"/>
      <c r="D196" s="315"/>
      <c r="E196" s="268"/>
      <c r="F196" s="267"/>
      <c r="G196" s="308">
        <f>SUM(K203:T203)</f>
        <v>4240</v>
      </c>
      <c r="H196" s="139" t="s">
        <v>108</v>
      </c>
      <c r="I196" s="140"/>
      <c r="J196" s="141"/>
      <c r="K196" s="142">
        <f t="shared" si="42"/>
        <v>0</v>
      </c>
      <c r="L196" s="142"/>
      <c r="M196" s="142"/>
      <c r="N196" s="142"/>
      <c r="O196" s="142"/>
      <c r="P196" s="142"/>
      <c r="Q196" s="142"/>
      <c r="R196" s="142"/>
      <c r="S196" s="142"/>
      <c r="T196" s="143"/>
      <c r="U196" s="264"/>
    </row>
    <row r="197" spans="1:21" ht="12.75">
      <c r="A197" s="285"/>
      <c r="B197" s="287"/>
      <c r="C197" s="287"/>
      <c r="D197" s="315"/>
      <c r="E197" s="268"/>
      <c r="F197" s="267"/>
      <c r="G197" s="309"/>
      <c r="H197" s="139" t="s">
        <v>109</v>
      </c>
      <c r="I197" s="140"/>
      <c r="J197" s="141"/>
      <c r="K197" s="142">
        <f t="shared" si="42"/>
        <v>0</v>
      </c>
      <c r="L197" s="142"/>
      <c r="M197" s="142"/>
      <c r="N197" s="142"/>
      <c r="O197" s="142"/>
      <c r="P197" s="142"/>
      <c r="Q197" s="142"/>
      <c r="R197" s="142"/>
      <c r="S197" s="142"/>
      <c r="T197" s="143"/>
      <c r="U197" s="264"/>
    </row>
    <row r="198" spans="1:21" ht="12.75">
      <c r="A198" s="285"/>
      <c r="B198" s="287"/>
      <c r="C198" s="287"/>
      <c r="D198" s="315"/>
      <c r="E198" s="268"/>
      <c r="F198" s="267"/>
      <c r="G198" s="184" t="s">
        <v>110</v>
      </c>
      <c r="H198" s="139" t="s">
        <v>111</v>
      </c>
      <c r="I198" s="140"/>
      <c r="J198" s="141"/>
      <c r="K198" s="142">
        <f t="shared" si="42"/>
        <v>0</v>
      </c>
      <c r="L198" s="142"/>
      <c r="M198" s="142"/>
      <c r="N198" s="142"/>
      <c r="O198" s="142"/>
      <c r="P198" s="142"/>
      <c r="Q198" s="142"/>
      <c r="R198" s="142"/>
      <c r="S198" s="142"/>
      <c r="T198" s="143"/>
      <c r="U198" s="264"/>
    </row>
    <row r="199" spans="1:21" ht="12.75">
      <c r="A199" s="285"/>
      <c r="B199" s="287"/>
      <c r="C199" s="287"/>
      <c r="D199" s="315"/>
      <c r="E199" s="268"/>
      <c r="F199" s="267"/>
      <c r="G199" s="308">
        <f>SUM(K204:T204)</f>
        <v>0</v>
      </c>
      <c r="H199" s="139" t="s">
        <v>112</v>
      </c>
      <c r="I199" s="140">
        <f>24550-24550</f>
        <v>0</v>
      </c>
      <c r="J199" s="141"/>
      <c r="K199" s="142">
        <f t="shared" si="42"/>
        <v>0</v>
      </c>
      <c r="L199" s="173">
        <v>4240</v>
      </c>
      <c r="M199" s="142"/>
      <c r="N199" s="142"/>
      <c r="O199" s="142"/>
      <c r="P199" s="142"/>
      <c r="Q199" s="142"/>
      <c r="R199" s="142"/>
      <c r="S199" s="142"/>
      <c r="T199" s="143"/>
      <c r="U199" s="264"/>
    </row>
    <row r="200" spans="1:21" ht="12.75">
      <c r="A200" s="285"/>
      <c r="B200" s="287"/>
      <c r="C200" s="287"/>
      <c r="D200" s="315"/>
      <c r="E200" s="268"/>
      <c r="F200" s="267">
        <v>2011</v>
      </c>
      <c r="G200" s="309"/>
      <c r="H200" s="139" t="s">
        <v>113</v>
      </c>
      <c r="I200" s="140"/>
      <c r="J200" s="141"/>
      <c r="K200" s="142">
        <f t="shared" si="42"/>
        <v>0</v>
      </c>
      <c r="L200" s="142"/>
      <c r="M200" s="142"/>
      <c r="N200" s="142"/>
      <c r="O200" s="142"/>
      <c r="P200" s="142"/>
      <c r="Q200" s="142"/>
      <c r="R200" s="142"/>
      <c r="S200" s="142"/>
      <c r="T200" s="143"/>
      <c r="U200" s="264"/>
    </row>
    <row r="201" spans="1:21" ht="12.75">
      <c r="A201" s="285"/>
      <c r="B201" s="287"/>
      <c r="C201" s="287"/>
      <c r="D201" s="315"/>
      <c r="E201" s="268"/>
      <c r="F201" s="267"/>
      <c r="G201" s="184" t="s">
        <v>114</v>
      </c>
      <c r="H201" s="139" t="s">
        <v>115</v>
      </c>
      <c r="I201" s="140"/>
      <c r="J201" s="141"/>
      <c r="K201" s="142">
        <f t="shared" si="42"/>
        <v>0</v>
      </c>
      <c r="L201" s="142"/>
      <c r="M201" s="142"/>
      <c r="N201" s="142"/>
      <c r="O201" s="142"/>
      <c r="P201" s="142"/>
      <c r="Q201" s="142"/>
      <c r="R201" s="142"/>
      <c r="S201" s="142"/>
      <c r="T201" s="143"/>
      <c r="U201" s="264"/>
    </row>
    <row r="202" spans="1:21" ht="12.75">
      <c r="A202" s="285"/>
      <c r="B202" s="287"/>
      <c r="C202" s="287"/>
      <c r="D202" s="315"/>
      <c r="E202" s="268"/>
      <c r="F202" s="267"/>
      <c r="G202" s="308">
        <f>G196+G199</f>
        <v>4240</v>
      </c>
      <c r="H202" s="139" t="s">
        <v>116</v>
      </c>
      <c r="I202" s="140"/>
      <c r="J202" s="141"/>
      <c r="K202" s="142">
        <f t="shared" si="42"/>
        <v>0</v>
      </c>
      <c r="L202" s="142"/>
      <c r="M202" s="142"/>
      <c r="N202" s="142"/>
      <c r="O202" s="142"/>
      <c r="P202" s="142"/>
      <c r="Q202" s="142"/>
      <c r="R202" s="142"/>
      <c r="S202" s="142"/>
      <c r="T202" s="143"/>
      <c r="U202" s="264"/>
    </row>
    <row r="203" spans="1:21" ht="12.75">
      <c r="A203" s="285"/>
      <c r="B203" s="287"/>
      <c r="C203" s="287"/>
      <c r="D203" s="315"/>
      <c r="E203" s="268"/>
      <c r="F203" s="267"/>
      <c r="G203" s="311"/>
      <c r="H203" s="139" t="s">
        <v>117</v>
      </c>
      <c r="I203" s="146">
        <f>I195+I197+I199+I201</f>
        <v>0</v>
      </c>
      <c r="J203" s="147">
        <f>J195+J197+J199+J201</f>
        <v>0</v>
      </c>
      <c r="K203" s="148">
        <f t="shared" si="42"/>
        <v>0</v>
      </c>
      <c r="L203" s="148">
        <f aca="true" t="shared" si="45" ref="L203:T203">L195+L197+L199+L201</f>
        <v>4240</v>
      </c>
      <c r="M203" s="148">
        <f t="shared" si="45"/>
        <v>0</v>
      </c>
      <c r="N203" s="148">
        <f t="shared" si="45"/>
        <v>0</v>
      </c>
      <c r="O203" s="148">
        <f t="shared" si="45"/>
        <v>0</v>
      </c>
      <c r="P203" s="148">
        <f t="shared" si="45"/>
        <v>0</v>
      </c>
      <c r="Q203" s="148">
        <f t="shared" si="45"/>
        <v>0</v>
      </c>
      <c r="R203" s="148">
        <f t="shared" si="45"/>
        <v>0</v>
      </c>
      <c r="S203" s="148">
        <f t="shared" si="45"/>
        <v>0</v>
      </c>
      <c r="T203" s="149">
        <f t="shared" si="45"/>
        <v>0</v>
      </c>
      <c r="U203" s="264"/>
    </row>
    <row r="204" spans="1:21" ht="13.5" thickBot="1">
      <c r="A204" s="313"/>
      <c r="B204" s="287"/>
      <c r="C204" s="287"/>
      <c r="D204" s="316"/>
      <c r="E204" s="265"/>
      <c r="F204" s="310"/>
      <c r="G204" s="311"/>
      <c r="H204" s="164" t="s">
        <v>118</v>
      </c>
      <c r="I204" s="165">
        <f>I196+I198+I200+I202</f>
        <v>0</v>
      </c>
      <c r="J204" s="185">
        <f>J196+J198+J200+J202</f>
        <v>0</v>
      </c>
      <c r="K204" s="166">
        <f t="shared" si="42"/>
        <v>0</v>
      </c>
      <c r="L204" s="166">
        <f aca="true" t="shared" si="46" ref="L204:T204">L196+L198+L200+L202</f>
        <v>0</v>
      </c>
      <c r="M204" s="166">
        <f t="shared" si="46"/>
        <v>0</v>
      </c>
      <c r="N204" s="166">
        <f t="shared" si="46"/>
        <v>0</v>
      </c>
      <c r="O204" s="166">
        <f t="shared" si="46"/>
        <v>0</v>
      </c>
      <c r="P204" s="166">
        <f t="shared" si="46"/>
        <v>0</v>
      </c>
      <c r="Q204" s="166">
        <f t="shared" si="46"/>
        <v>0</v>
      </c>
      <c r="R204" s="166">
        <f t="shared" si="46"/>
        <v>0</v>
      </c>
      <c r="S204" s="166">
        <f t="shared" si="46"/>
        <v>0</v>
      </c>
      <c r="T204" s="167">
        <f t="shared" si="46"/>
        <v>0</v>
      </c>
      <c r="U204" s="307"/>
    </row>
    <row r="205" spans="1:21" ht="12.75" customHeight="1">
      <c r="A205" s="284">
        <f>A195+1</f>
        <v>21</v>
      </c>
      <c r="B205" s="286">
        <v>801</v>
      </c>
      <c r="C205" s="286">
        <v>80110</v>
      </c>
      <c r="D205" s="341" t="s">
        <v>145</v>
      </c>
      <c r="E205" s="335" t="s">
        <v>146</v>
      </c>
      <c r="F205" s="321">
        <v>2011</v>
      </c>
      <c r="G205" s="182" t="s">
        <v>106</v>
      </c>
      <c r="H205" s="133" t="s">
        <v>107</v>
      </c>
      <c r="I205" s="134"/>
      <c r="J205" s="135"/>
      <c r="K205" s="136">
        <f t="shared" si="42"/>
        <v>0</v>
      </c>
      <c r="L205" s="136"/>
      <c r="M205" s="136"/>
      <c r="N205" s="136"/>
      <c r="O205" s="186"/>
      <c r="P205" s="187"/>
      <c r="Q205" s="158"/>
      <c r="R205" s="158"/>
      <c r="S205" s="158"/>
      <c r="T205" s="159"/>
      <c r="U205" s="322">
        <f>M213+N213+O213+P213+Q213+R213+S213+M214+N214+O214+P214+Q214+R214+T213+T214+S214</f>
        <v>0</v>
      </c>
    </row>
    <row r="206" spans="1:21" ht="12.75">
      <c r="A206" s="285"/>
      <c r="B206" s="287"/>
      <c r="C206" s="287"/>
      <c r="D206" s="342"/>
      <c r="E206" s="268"/>
      <c r="F206" s="267"/>
      <c r="G206" s="308">
        <f>SUM(K213:T213)</f>
        <v>3157</v>
      </c>
      <c r="H206" s="139" t="s">
        <v>108</v>
      </c>
      <c r="I206" s="140"/>
      <c r="J206" s="141"/>
      <c r="K206" s="142">
        <f t="shared" si="42"/>
        <v>0</v>
      </c>
      <c r="L206" s="142"/>
      <c r="M206" s="142"/>
      <c r="N206" s="142"/>
      <c r="O206" s="188"/>
      <c r="P206" s="189"/>
      <c r="Q206" s="142"/>
      <c r="R206" s="142"/>
      <c r="S206" s="142"/>
      <c r="T206" s="143"/>
      <c r="U206" s="264"/>
    </row>
    <row r="207" spans="1:21" ht="12.75">
      <c r="A207" s="285"/>
      <c r="B207" s="287"/>
      <c r="C207" s="287"/>
      <c r="D207" s="342"/>
      <c r="E207" s="268"/>
      <c r="F207" s="267"/>
      <c r="G207" s="309"/>
      <c r="H207" s="139" t="s">
        <v>109</v>
      </c>
      <c r="I207" s="140"/>
      <c r="J207" s="141"/>
      <c r="K207" s="142">
        <f t="shared" si="42"/>
        <v>0</v>
      </c>
      <c r="L207" s="142"/>
      <c r="M207" s="142"/>
      <c r="N207" s="142"/>
      <c r="O207" s="188"/>
      <c r="P207" s="189"/>
      <c r="Q207" s="142"/>
      <c r="R207" s="142"/>
      <c r="S207" s="142"/>
      <c r="T207" s="143"/>
      <c r="U207" s="264"/>
    </row>
    <row r="208" spans="1:21" ht="12.75">
      <c r="A208" s="285"/>
      <c r="B208" s="287"/>
      <c r="C208" s="287"/>
      <c r="D208" s="342"/>
      <c r="E208" s="268"/>
      <c r="F208" s="267"/>
      <c r="G208" s="184" t="s">
        <v>110</v>
      </c>
      <c r="H208" s="139" t="s">
        <v>111</v>
      </c>
      <c r="I208" s="140"/>
      <c r="J208" s="141"/>
      <c r="K208" s="142">
        <f t="shared" si="42"/>
        <v>0</v>
      </c>
      <c r="L208" s="142"/>
      <c r="M208" s="142"/>
      <c r="N208" s="142"/>
      <c r="O208" s="188"/>
      <c r="P208" s="189"/>
      <c r="Q208" s="142"/>
      <c r="R208" s="142"/>
      <c r="S208" s="142"/>
      <c r="T208" s="143"/>
      <c r="U208" s="264"/>
    </row>
    <row r="209" spans="1:21" ht="12.75">
      <c r="A209" s="285"/>
      <c r="B209" s="287"/>
      <c r="C209" s="287"/>
      <c r="D209" s="342"/>
      <c r="E209" s="268"/>
      <c r="F209" s="267"/>
      <c r="G209" s="308">
        <f>SUM(K214:T214)</f>
        <v>0</v>
      </c>
      <c r="H209" s="139" t="s">
        <v>112</v>
      </c>
      <c r="I209" s="140">
        <f>24550-24550</f>
        <v>0</v>
      </c>
      <c r="J209" s="141"/>
      <c r="K209" s="142"/>
      <c r="L209" s="142">
        <v>3157</v>
      </c>
      <c r="M209" s="142"/>
      <c r="N209" s="142"/>
      <c r="O209" s="188"/>
      <c r="P209" s="189"/>
      <c r="Q209" s="142"/>
      <c r="R209" s="142"/>
      <c r="S209" s="142"/>
      <c r="T209" s="143"/>
      <c r="U209" s="264"/>
    </row>
    <row r="210" spans="1:21" ht="12.75">
      <c r="A210" s="285"/>
      <c r="B210" s="287"/>
      <c r="C210" s="287"/>
      <c r="D210" s="342"/>
      <c r="E210" s="268"/>
      <c r="F210" s="267">
        <v>2011</v>
      </c>
      <c r="G210" s="309"/>
      <c r="H210" s="139" t="s">
        <v>113</v>
      </c>
      <c r="I210" s="140"/>
      <c r="J210" s="141"/>
      <c r="K210" s="142">
        <f>SUM(I210:J210)</f>
        <v>0</v>
      </c>
      <c r="L210" s="142"/>
      <c r="M210" s="142"/>
      <c r="N210" s="142"/>
      <c r="O210" s="188"/>
      <c r="P210" s="189"/>
      <c r="Q210" s="142"/>
      <c r="R210" s="142"/>
      <c r="S210" s="142"/>
      <c r="T210" s="143"/>
      <c r="U210" s="264"/>
    </row>
    <row r="211" spans="1:21" ht="12.75">
      <c r="A211" s="285"/>
      <c r="B211" s="287"/>
      <c r="C211" s="287"/>
      <c r="D211" s="342"/>
      <c r="E211" s="268"/>
      <c r="F211" s="267"/>
      <c r="G211" s="184" t="s">
        <v>114</v>
      </c>
      <c r="H211" s="139" t="s">
        <v>115</v>
      </c>
      <c r="I211" s="140"/>
      <c r="J211" s="141"/>
      <c r="K211" s="142">
        <f>SUM(I211:J211)</f>
        <v>0</v>
      </c>
      <c r="L211" s="142"/>
      <c r="M211" s="142"/>
      <c r="N211" s="142"/>
      <c r="O211" s="188"/>
      <c r="P211" s="189"/>
      <c r="Q211" s="142"/>
      <c r="R211" s="142"/>
      <c r="S211" s="142"/>
      <c r="T211" s="143"/>
      <c r="U211" s="264"/>
    </row>
    <row r="212" spans="1:21" ht="12.75">
      <c r="A212" s="285"/>
      <c r="B212" s="287"/>
      <c r="C212" s="287"/>
      <c r="D212" s="342"/>
      <c r="E212" s="268"/>
      <c r="F212" s="267"/>
      <c r="G212" s="308">
        <f>G206+G209</f>
        <v>3157</v>
      </c>
      <c r="H212" s="139" t="s">
        <v>116</v>
      </c>
      <c r="I212" s="140"/>
      <c r="J212" s="141"/>
      <c r="K212" s="142">
        <f>SUM(I212:J212)</f>
        <v>0</v>
      </c>
      <c r="L212" s="142"/>
      <c r="M212" s="142"/>
      <c r="N212" s="142"/>
      <c r="O212" s="188"/>
      <c r="P212" s="189"/>
      <c r="Q212" s="142"/>
      <c r="R212" s="142"/>
      <c r="S212" s="142"/>
      <c r="T212" s="143"/>
      <c r="U212" s="264"/>
    </row>
    <row r="213" spans="1:21" ht="12.75">
      <c r="A213" s="285"/>
      <c r="B213" s="287"/>
      <c r="C213" s="287"/>
      <c r="D213" s="342"/>
      <c r="E213" s="268"/>
      <c r="F213" s="267"/>
      <c r="G213" s="311"/>
      <c r="H213" s="139" t="s">
        <v>117</v>
      </c>
      <c r="I213" s="146">
        <f>I205+I207+I209+I211</f>
        <v>0</v>
      </c>
      <c r="J213" s="147">
        <f>J205+J207+J209+J211</f>
        <v>0</v>
      </c>
      <c r="K213" s="148"/>
      <c r="L213" s="148">
        <f aca="true" t="shared" si="47" ref="L213:T213">L205+L207+L209+L211</f>
        <v>3157</v>
      </c>
      <c r="M213" s="148">
        <f t="shared" si="47"/>
        <v>0</v>
      </c>
      <c r="N213" s="148">
        <f t="shared" si="47"/>
        <v>0</v>
      </c>
      <c r="O213" s="190">
        <f t="shared" si="47"/>
        <v>0</v>
      </c>
      <c r="P213" s="191">
        <f t="shared" si="47"/>
        <v>0</v>
      </c>
      <c r="Q213" s="148">
        <f t="shared" si="47"/>
        <v>0</v>
      </c>
      <c r="R213" s="148">
        <f t="shared" si="47"/>
        <v>0</v>
      </c>
      <c r="S213" s="148">
        <f t="shared" si="47"/>
        <v>0</v>
      </c>
      <c r="T213" s="149">
        <f t="shared" si="47"/>
        <v>0</v>
      </c>
      <c r="U213" s="264"/>
    </row>
    <row r="214" spans="1:21" ht="13.5" thickBot="1">
      <c r="A214" s="313"/>
      <c r="B214" s="287"/>
      <c r="C214" s="287"/>
      <c r="D214" s="343"/>
      <c r="E214" s="265"/>
      <c r="F214" s="310"/>
      <c r="G214" s="344"/>
      <c r="H214" s="150" t="s">
        <v>118</v>
      </c>
      <c r="I214" s="151">
        <f>I206+I208+I210+I212</f>
        <v>0</v>
      </c>
      <c r="J214" s="152">
        <f>J206+J208+J210+J212</f>
        <v>0</v>
      </c>
      <c r="K214" s="153">
        <f aca="true" t="shared" si="48" ref="K214:K245">SUM(I214:J214)</f>
        <v>0</v>
      </c>
      <c r="L214" s="153">
        <f aca="true" t="shared" si="49" ref="L214:T214">L206+L208+L210+L212</f>
        <v>0</v>
      </c>
      <c r="M214" s="153">
        <f t="shared" si="49"/>
        <v>0</v>
      </c>
      <c r="N214" s="153">
        <f t="shared" si="49"/>
        <v>0</v>
      </c>
      <c r="O214" s="192">
        <f t="shared" si="49"/>
        <v>0</v>
      </c>
      <c r="P214" s="193">
        <f t="shared" si="49"/>
        <v>0</v>
      </c>
      <c r="Q214" s="166">
        <f t="shared" si="49"/>
        <v>0</v>
      </c>
      <c r="R214" s="166">
        <f t="shared" si="49"/>
        <v>0</v>
      </c>
      <c r="S214" s="166">
        <f t="shared" si="49"/>
        <v>0</v>
      </c>
      <c r="T214" s="167">
        <f t="shared" si="49"/>
        <v>0</v>
      </c>
      <c r="U214" s="307"/>
    </row>
    <row r="215" spans="1:21" ht="12.75">
      <c r="A215" s="284">
        <f>A205+1</f>
        <v>22</v>
      </c>
      <c r="B215" s="286">
        <v>801</v>
      </c>
      <c r="C215" s="286">
        <v>80110</v>
      </c>
      <c r="D215" s="319" t="s">
        <v>141</v>
      </c>
      <c r="E215" s="269" t="s">
        <v>147</v>
      </c>
      <c r="F215" s="266">
        <v>2010</v>
      </c>
      <c r="G215" s="144" t="s">
        <v>106</v>
      </c>
      <c r="H215" s="155" t="s">
        <v>107</v>
      </c>
      <c r="I215" s="156"/>
      <c r="J215" s="157"/>
      <c r="K215" s="158">
        <f t="shared" si="48"/>
        <v>0</v>
      </c>
      <c r="L215" s="158"/>
      <c r="M215" s="158"/>
      <c r="N215" s="158"/>
      <c r="O215" s="158"/>
      <c r="P215" s="136"/>
      <c r="Q215" s="136"/>
      <c r="R215" s="136"/>
      <c r="S215" s="136"/>
      <c r="T215" s="137"/>
      <c r="U215" s="322">
        <f>M223+N223+O223+P223+Q223+R223+S223+M224+N224+O224+P224+Q224+R224+T223+T224+S224</f>
        <v>15443</v>
      </c>
    </row>
    <row r="216" spans="1:21" ht="12.75">
      <c r="A216" s="285"/>
      <c r="B216" s="287"/>
      <c r="C216" s="287"/>
      <c r="D216" s="319"/>
      <c r="E216" s="268"/>
      <c r="F216" s="267"/>
      <c r="G216" s="281">
        <f>SUM(K223:T223)</f>
        <v>77214.2</v>
      </c>
      <c r="H216" s="139" t="s">
        <v>108</v>
      </c>
      <c r="I216" s="140"/>
      <c r="J216" s="141"/>
      <c r="K216" s="142">
        <f t="shared" si="48"/>
        <v>0</v>
      </c>
      <c r="L216" s="142"/>
      <c r="M216" s="142"/>
      <c r="N216" s="142"/>
      <c r="O216" s="142"/>
      <c r="P216" s="142"/>
      <c r="Q216" s="142"/>
      <c r="R216" s="142"/>
      <c r="S216" s="142"/>
      <c r="T216" s="143"/>
      <c r="U216" s="264"/>
    </row>
    <row r="217" spans="1:21" ht="12.75">
      <c r="A217" s="285"/>
      <c r="B217" s="287"/>
      <c r="C217" s="287"/>
      <c r="D217" s="319"/>
      <c r="E217" s="268"/>
      <c r="F217" s="267"/>
      <c r="G217" s="317"/>
      <c r="H217" s="139" t="s">
        <v>109</v>
      </c>
      <c r="I217" s="140"/>
      <c r="J217" s="141"/>
      <c r="K217" s="142">
        <f t="shared" si="48"/>
        <v>0</v>
      </c>
      <c r="L217" s="142"/>
      <c r="M217" s="142"/>
      <c r="N217" s="142"/>
      <c r="O217" s="142"/>
      <c r="P217" s="142"/>
      <c r="Q217" s="142"/>
      <c r="R217" s="142"/>
      <c r="S217" s="142"/>
      <c r="T217" s="143"/>
      <c r="U217" s="264"/>
    </row>
    <row r="218" spans="1:21" ht="12.75">
      <c r="A218" s="285"/>
      <c r="B218" s="287"/>
      <c r="C218" s="287"/>
      <c r="D218" s="319"/>
      <c r="E218" s="268"/>
      <c r="F218" s="267"/>
      <c r="G218" s="145" t="s">
        <v>110</v>
      </c>
      <c r="H218" s="139" t="s">
        <v>111</v>
      </c>
      <c r="I218" s="140"/>
      <c r="J218" s="141"/>
      <c r="K218" s="142">
        <f t="shared" si="48"/>
        <v>0</v>
      </c>
      <c r="L218" s="142"/>
      <c r="M218" s="142"/>
      <c r="N218" s="142"/>
      <c r="O218" s="142"/>
      <c r="P218" s="142"/>
      <c r="Q218" s="142"/>
      <c r="R218" s="142"/>
      <c r="S218" s="142"/>
      <c r="T218" s="143"/>
      <c r="U218" s="264"/>
    </row>
    <row r="219" spans="1:21" ht="12.75">
      <c r="A219" s="285"/>
      <c r="B219" s="287"/>
      <c r="C219" s="287"/>
      <c r="D219" s="319"/>
      <c r="E219" s="268"/>
      <c r="F219" s="267"/>
      <c r="G219" s="281">
        <f>SUM(K224:T224)</f>
        <v>0</v>
      </c>
      <c r="H219" s="139" t="s">
        <v>112</v>
      </c>
      <c r="I219" s="140">
        <f>62400-62400</f>
        <v>0</v>
      </c>
      <c r="J219" s="141">
        <f>61771.2-47969</f>
        <v>13802.199999999997</v>
      </c>
      <c r="K219" s="142">
        <f t="shared" si="48"/>
        <v>13802.199999999997</v>
      </c>
      <c r="L219" s="142">
        <v>47969</v>
      </c>
      <c r="M219" s="142">
        <v>15443</v>
      </c>
      <c r="N219" s="142"/>
      <c r="O219" s="142"/>
      <c r="P219" s="142"/>
      <c r="Q219" s="142"/>
      <c r="R219" s="142"/>
      <c r="S219" s="142"/>
      <c r="T219" s="143"/>
      <c r="U219" s="264"/>
    </row>
    <row r="220" spans="1:21" ht="12.75">
      <c r="A220" s="285"/>
      <c r="B220" s="287"/>
      <c r="C220" s="287"/>
      <c r="D220" s="319"/>
      <c r="E220" s="268"/>
      <c r="F220" s="267">
        <v>2012</v>
      </c>
      <c r="G220" s="317"/>
      <c r="H220" s="139" t="s">
        <v>113</v>
      </c>
      <c r="I220" s="140"/>
      <c r="J220" s="141"/>
      <c r="K220" s="142">
        <f t="shared" si="48"/>
        <v>0</v>
      </c>
      <c r="L220" s="142"/>
      <c r="M220" s="142"/>
      <c r="N220" s="142"/>
      <c r="O220" s="142"/>
      <c r="P220" s="142"/>
      <c r="Q220" s="142"/>
      <c r="R220" s="142"/>
      <c r="S220" s="142"/>
      <c r="T220" s="143"/>
      <c r="U220" s="264"/>
    </row>
    <row r="221" spans="1:21" ht="12.75">
      <c r="A221" s="285"/>
      <c r="B221" s="287"/>
      <c r="C221" s="287"/>
      <c r="D221" s="319"/>
      <c r="E221" s="268"/>
      <c r="F221" s="267"/>
      <c r="G221" s="145" t="s">
        <v>114</v>
      </c>
      <c r="H221" s="139" t="s">
        <v>115</v>
      </c>
      <c r="I221" s="140"/>
      <c r="J221" s="141"/>
      <c r="K221" s="142">
        <f t="shared" si="48"/>
        <v>0</v>
      </c>
      <c r="L221" s="142"/>
      <c r="M221" s="142"/>
      <c r="N221" s="142"/>
      <c r="O221" s="142"/>
      <c r="P221" s="142"/>
      <c r="Q221" s="142"/>
      <c r="R221" s="142"/>
      <c r="S221" s="142"/>
      <c r="T221" s="143"/>
      <c r="U221" s="264"/>
    </row>
    <row r="222" spans="1:21" ht="12.75">
      <c r="A222" s="285"/>
      <c r="B222" s="287"/>
      <c r="C222" s="287"/>
      <c r="D222" s="319"/>
      <c r="E222" s="268"/>
      <c r="F222" s="267"/>
      <c r="G222" s="281">
        <f>G216+G219</f>
        <v>77214.2</v>
      </c>
      <c r="H222" s="139" t="s">
        <v>116</v>
      </c>
      <c r="I222" s="140"/>
      <c r="J222" s="141"/>
      <c r="K222" s="142">
        <f t="shared" si="48"/>
        <v>0</v>
      </c>
      <c r="L222" s="142"/>
      <c r="M222" s="142"/>
      <c r="N222" s="142"/>
      <c r="O222" s="142"/>
      <c r="P222" s="142"/>
      <c r="Q222" s="142"/>
      <c r="R222" s="142"/>
      <c r="S222" s="142"/>
      <c r="T222" s="143"/>
      <c r="U222" s="264"/>
    </row>
    <row r="223" spans="1:21" ht="12.75">
      <c r="A223" s="285"/>
      <c r="B223" s="287"/>
      <c r="C223" s="287"/>
      <c r="D223" s="319"/>
      <c r="E223" s="268"/>
      <c r="F223" s="267"/>
      <c r="G223" s="282"/>
      <c r="H223" s="139" t="s">
        <v>117</v>
      </c>
      <c r="I223" s="146">
        <f>I215+I217+I219+I221</f>
        <v>0</v>
      </c>
      <c r="J223" s="147">
        <f>J215+J217+J219+J221</f>
        <v>13802.199999999997</v>
      </c>
      <c r="K223" s="148">
        <f t="shared" si="48"/>
        <v>13802.199999999997</v>
      </c>
      <c r="L223" s="148">
        <f aca="true" t="shared" si="50" ref="L223:T223">L215+L217+L219+L221</f>
        <v>47969</v>
      </c>
      <c r="M223" s="148">
        <f t="shared" si="50"/>
        <v>15443</v>
      </c>
      <c r="N223" s="148">
        <f t="shared" si="50"/>
        <v>0</v>
      </c>
      <c r="O223" s="148">
        <f t="shared" si="50"/>
        <v>0</v>
      </c>
      <c r="P223" s="148">
        <f t="shared" si="50"/>
        <v>0</v>
      </c>
      <c r="Q223" s="148">
        <f t="shared" si="50"/>
        <v>0</v>
      </c>
      <c r="R223" s="148">
        <f t="shared" si="50"/>
        <v>0</v>
      </c>
      <c r="S223" s="148">
        <f t="shared" si="50"/>
        <v>0</v>
      </c>
      <c r="T223" s="149">
        <f t="shared" si="50"/>
        <v>0</v>
      </c>
      <c r="U223" s="264"/>
    </row>
    <row r="224" spans="1:21" ht="13.5" thickBot="1">
      <c r="A224" s="313"/>
      <c r="B224" s="287"/>
      <c r="C224" s="287"/>
      <c r="D224" s="320"/>
      <c r="E224" s="265"/>
      <c r="F224" s="310"/>
      <c r="G224" s="283"/>
      <c r="H224" s="150" t="s">
        <v>118</v>
      </c>
      <c r="I224" s="151">
        <f>I216+I218+I220+I222</f>
        <v>0</v>
      </c>
      <c r="J224" s="152">
        <f>J216+J218+J220+J222</f>
        <v>0</v>
      </c>
      <c r="K224" s="153">
        <f t="shared" si="48"/>
        <v>0</v>
      </c>
      <c r="L224" s="153">
        <f aca="true" t="shared" si="51" ref="L224:T224">L216+L218+L220+L222</f>
        <v>0</v>
      </c>
      <c r="M224" s="153">
        <f t="shared" si="51"/>
        <v>0</v>
      </c>
      <c r="N224" s="153">
        <f t="shared" si="51"/>
        <v>0</v>
      </c>
      <c r="O224" s="153">
        <f t="shared" si="51"/>
        <v>0</v>
      </c>
      <c r="P224" s="153">
        <f t="shared" si="51"/>
        <v>0</v>
      </c>
      <c r="Q224" s="153">
        <f t="shared" si="51"/>
        <v>0</v>
      </c>
      <c r="R224" s="153">
        <f t="shared" si="51"/>
        <v>0</v>
      </c>
      <c r="S224" s="153">
        <f t="shared" si="51"/>
        <v>0</v>
      </c>
      <c r="T224" s="154">
        <f t="shared" si="51"/>
        <v>0</v>
      </c>
      <c r="U224" s="307"/>
    </row>
    <row r="225" spans="1:21" ht="12.75" customHeight="1">
      <c r="A225" s="312">
        <f>A215+1</f>
        <v>23</v>
      </c>
      <c r="B225" s="286">
        <v>801</v>
      </c>
      <c r="C225" s="286">
        <v>80110</v>
      </c>
      <c r="D225" s="323" t="s">
        <v>141</v>
      </c>
      <c r="E225" s="335" t="s">
        <v>148</v>
      </c>
      <c r="F225" s="321">
        <v>2009</v>
      </c>
      <c r="G225" s="132" t="s">
        <v>106</v>
      </c>
      <c r="H225" s="133" t="s">
        <v>107</v>
      </c>
      <c r="I225" s="134"/>
      <c r="J225" s="135"/>
      <c r="K225" s="158">
        <f t="shared" si="48"/>
        <v>0</v>
      </c>
      <c r="L225" s="158"/>
      <c r="M225" s="136"/>
      <c r="N225" s="136"/>
      <c r="O225" s="136"/>
      <c r="P225" s="136"/>
      <c r="Q225" s="136"/>
      <c r="R225" s="136"/>
      <c r="S225" s="136"/>
      <c r="T225" s="137"/>
      <c r="U225" s="322">
        <f>M233+N233+O233+P233+Q233+R233+S233+M234+N234+O234+P234+Q234+R234+T233+T234+S234</f>
        <v>0</v>
      </c>
    </row>
    <row r="226" spans="1:21" ht="12.75">
      <c r="A226" s="285"/>
      <c r="B226" s="287"/>
      <c r="C226" s="287"/>
      <c r="D226" s="319"/>
      <c r="E226" s="268"/>
      <c r="F226" s="267"/>
      <c r="G226" s="281">
        <f>SUM(K233:T233)</f>
        <v>95674</v>
      </c>
      <c r="H226" s="139" t="s">
        <v>108</v>
      </c>
      <c r="I226" s="140"/>
      <c r="J226" s="141"/>
      <c r="K226" s="142">
        <f t="shared" si="48"/>
        <v>0</v>
      </c>
      <c r="L226" s="142"/>
      <c r="M226" s="142"/>
      <c r="N226" s="142"/>
      <c r="O226" s="142"/>
      <c r="P226" s="142"/>
      <c r="Q226" s="142"/>
      <c r="R226" s="142"/>
      <c r="S226" s="142"/>
      <c r="T226" s="143"/>
      <c r="U226" s="264"/>
    </row>
    <row r="227" spans="1:21" ht="12.75">
      <c r="A227" s="285"/>
      <c r="B227" s="287"/>
      <c r="C227" s="287"/>
      <c r="D227" s="319"/>
      <c r="E227" s="268"/>
      <c r="F227" s="267"/>
      <c r="G227" s="317"/>
      <c r="H227" s="139" t="s">
        <v>109</v>
      </c>
      <c r="I227" s="140"/>
      <c r="J227" s="141"/>
      <c r="K227" s="142">
        <f t="shared" si="48"/>
        <v>0</v>
      </c>
      <c r="L227" s="142"/>
      <c r="M227" s="142"/>
      <c r="N227" s="142"/>
      <c r="O227" s="142"/>
      <c r="P227" s="142"/>
      <c r="Q227" s="142"/>
      <c r="R227" s="142"/>
      <c r="S227" s="142"/>
      <c r="T227" s="143"/>
      <c r="U227" s="264"/>
    </row>
    <row r="228" spans="1:21" ht="12.75">
      <c r="A228" s="285"/>
      <c r="B228" s="287"/>
      <c r="C228" s="287"/>
      <c r="D228" s="319"/>
      <c r="E228" s="268"/>
      <c r="F228" s="267"/>
      <c r="G228" s="145" t="s">
        <v>110</v>
      </c>
      <c r="H228" s="139" t="s">
        <v>111</v>
      </c>
      <c r="I228" s="140"/>
      <c r="J228" s="141"/>
      <c r="K228" s="142">
        <f t="shared" si="48"/>
        <v>0</v>
      </c>
      <c r="L228" s="142"/>
      <c r="M228" s="142"/>
      <c r="N228" s="142"/>
      <c r="O228" s="142"/>
      <c r="P228" s="142"/>
      <c r="Q228" s="142"/>
      <c r="R228" s="142"/>
      <c r="S228" s="142"/>
      <c r="T228" s="143"/>
      <c r="U228" s="264"/>
    </row>
    <row r="229" spans="1:21" ht="12.75">
      <c r="A229" s="285"/>
      <c r="B229" s="287"/>
      <c r="C229" s="287"/>
      <c r="D229" s="319"/>
      <c r="E229" s="268"/>
      <c r="F229" s="267"/>
      <c r="G229" s="281">
        <f>SUM(K234:T234)</f>
        <v>0</v>
      </c>
      <c r="H229" s="139" t="s">
        <v>112</v>
      </c>
      <c r="I229" s="140">
        <f>76539-67197</f>
        <v>9342</v>
      </c>
      <c r="J229" s="141">
        <f>67197-37229</f>
        <v>29968</v>
      </c>
      <c r="K229" s="142">
        <f t="shared" si="48"/>
        <v>39310</v>
      </c>
      <c r="L229" s="142">
        <f>19135+37229</f>
        <v>56364</v>
      </c>
      <c r="M229" s="142"/>
      <c r="N229" s="142"/>
      <c r="O229" s="142"/>
      <c r="P229" s="142"/>
      <c r="Q229" s="142"/>
      <c r="R229" s="142"/>
      <c r="S229" s="142"/>
      <c r="T229" s="143"/>
      <c r="U229" s="264"/>
    </row>
    <row r="230" spans="1:21" ht="12.75">
      <c r="A230" s="285"/>
      <c r="B230" s="287"/>
      <c r="C230" s="287"/>
      <c r="D230" s="319"/>
      <c r="E230" s="268"/>
      <c r="F230" s="267">
        <v>2011</v>
      </c>
      <c r="G230" s="317"/>
      <c r="H230" s="139" t="s">
        <v>113</v>
      </c>
      <c r="I230" s="140"/>
      <c r="J230" s="141"/>
      <c r="K230" s="142">
        <f t="shared" si="48"/>
        <v>0</v>
      </c>
      <c r="L230" s="142"/>
      <c r="M230" s="142"/>
      <c r="N230" s="142"/>
      <c r="O230" s="142"/>
      <c r="P230" s="142"/>
      <c r="Q230" s="142"/>
      <c r="R230" s="142"/>
      <c r="S230" s="142"/>
      <c r="T230" s="143"/>
      <c r="U230" s="264"/>
    </row>
    <row r="231" spans="1:21" ht="12.75">
      <c r="A231" s="285"/>
      <c r="B231" s="287"/>
      <c r="C231" s="287"/>
      <c r="D231" s="319"/>
      <c r="E231" s="268"/>
      <c r="F231" s="267"/>
      <c r="G231" s="145" t="s">
        <v>114</v>
      </c>
      <c r="H231" s="139" t="s">
        <v>115</v>
      </c>
      <c r="I231" s="140"/>
      <c r="J231" s="141"/>
      <c r="K231" s="142">
        <f t="shared" si="48"/>
        <v>0</v>
      </c>
      <c r="L231" s="142"/>
      <c r="M231" s="142"/>
      <c r="N231" s="142"/>
      <c r="O231" s="142"/>
      <c r="P231" s="142"/>
      <c r="Q231" s="142"/>
      <c r="R231" s="142"/>
      <c r="S231" s="142"/>
      <c r="T231" s="143"/>
      <c r="U231" s="264"/>
    </row>
    <row r="232" spans="1:21" ht="12.75">
      <c r="A232" s="285"/>
      <c r="B232" s="287"/>
      <c r="C232" s="287"/>
      <c r="D232" s="319"/>
      <c r="E232" s="268"/>
      <c r="F232" s="267"/>
      <c r="G232" s="281">
        <f>G226+G229</f>
        <v>95674</v>
      </c>
      <c r="H232" s="139" t="s">
        <v>116</v>
      </c>
      <c r="I232" s="140"/>
      <c r="J232" s="141"/>
      <c r="K232" s="142">
        <f t="shared" si="48"/>
        <v>0</v>
      </c>
      <c r="L232" s="142"/>
      <c r="M232" s="142"/>
      <c r="N232" s="142"/>
      <c r="O232" s="142"/>
      <c r="P232" s="142"/>
      <c r="Q232" s="142"/>
      <c r="R232" s="142"/>
      <c r="S232" s="142"/>
      <c r="T232" s="143"/>
      <c r="U232" s="264"/>
    </row>
    <row r="233" spans="1:21" ht="12.75">
      <c r="A233" s="285"/>
      <c r="B233" s="287"/>
      <c r="C233" s="287"/>
      <c r="D233" s="319"/>
      <c r="E233" s="268"/>
      <c r="F233" s="267"/>
      <c r="G233" s="282"/>
      <c r="H233" s="139" t="s">
        <v>117</v>
      </c>
      <c r="I233" s="146">
        <f>I225+I227+I229+I231</f>
        <v>9342</v>
      </c>
      <c r="J233" s="147">
        <f>J225+J227+J229+J231</f>
        <v>29968</v>
      </c>
      <c r="K233" s="148">
        <f t="shared" si="48"/>
        <v>39310</v>
      </c>
      <c r="L233" s="148">
        <f aca="true" t="shared" si="52" ref="L233:T233">L225+L227+L229+L231</f>
        <v>56364</v>
      </c>
      <c r="M233" s="148">
        <f t="shared" si="52"/>
        <v>0</v>
      </c>
      <c r="N233" s="148">
        <f t="shared" si="52"/>
        <v>0</v>
      </c>
      <c r="O233" s="148">
        <f t="shared" si="52"/>
        <v>0</v>
      </c>
      <c r="P233" s="148">
        <f t="shared" si="52"/>
        <v>0</v>
      </c>
      <c r="Q233" s="148">
        <f t="shared" si="52"/>
        <v>0</v>
      </c>
      <c r="R233" s="148">
        <f t="shared" si="52"/>
        <v>0</v>
      </c>
      <c r="S233" s="148">
        <f t="shared" si="52"/>
        <v>0</v>
      </c>
      <c r="T233" s="149">
        <f t="shared" si="52"/>
        <v>0</v>
      </c>
      <c r="U233" s="264"/>
    </row>
    <row r="234" spans="1:21" ht="13.5" thickBot="1">
      <c r="A234" s="285"/>
      <c r="B234" s="287"/>
      <c r="C234" s="287"/>
      <c r="D234" s="320"/>
      <c r="E234" s="265"/>
      <c r="F234" s="310"/>
      <c r="G234" s="283"/>
      <c r="H234" s="150" t="s">
        <v>118</v>
      </c>
      <c r="I234" s="151">
        <f>I226+I228+I230+I232</f>
        <v>0</v>
      </c>
      <c r="J234" s="152">
        <f>J226+J228+J230+J232</f>
        <v>0</v>
      </c>
      <c r="K234" s="153">
        <f t="shared" si="48"/>
        <v>0</v>
      </c>
      <c r="L234" s="153">
        <f aca="true" t="shared" si="53" ref="L234:T234">L226+L228+L230+L232</f>
        <v>0</v>
      </c>
      <c r="M234" s="153">
        <f t="shared" si="53"/>
        <v>0</v>
      </c>
      <c r="N234" s="153">
        <f t="shared" si="53"/>
        <v>0</v>
      </c>
      <c r="O234" s="153">
        <f t="shared" si="53"/>
        <v>0</v>
      </c>
      <c r="P234" s="153">
        <f t="shared" si="53"/>
        <v>0</v>
      </c>
      <c r="Q234" s="153">
        <f t="shared" si="53"/>
        <v>0</v>
      </c>
      <c r="R234" s="153">
        <f t="shared" si="53"/>
        <v>0</v>
      </c>
      <c r="S234" s="153">
        <f t="shared" si="53"/>
        <v>0</v>
      </c>
      <c r="T234" s="154">
        <f t="shared" si="53"/>
        <v>0</v>
      </c>
      <c r="U234" s="307"/>
    </row>
    <row r="235" spans="1:21" ht="12.75" customHeight="1">
      <c r="A235" s="284">
        <f>A225+1</f>
        <v>24</v>
      </c>
      <c r="B235" s="286">
        <v>801</v>
      </c>
      <c r="C235" s="286">
        <v>80110</v>
      </c>
      <c r="D235" s="323" t="s">
        <v>149</v>
      </c>
      <c r="E235" s="335" t="s">
        <v>143</v>
      </c>
      <c r="F235" s="321">
        <v>2011</v>
      </c>
      <c r="G235" s="132" t="s">
        <v>106</v>
      </c>
      <c r="H235" s="133" t="s">
        <v>107</v>
      </c>
      <c r="I235" s="134"/>
      <c r="J235" s="135"/>
      <c r="K235" s="136">
        <f t="shared" si="48"/>
        <v>0</v>
      </c>
      <c r="L235" s="136"/>
      <c r="M235" s="136"/>
      <c r="N235" s="136"/>
      <c r="O235" s="136"/>
      <c r="P235" s="136"/>
      <c r="Q235" s="136"/>
      <c r="R235" s="136"/>
      <c r="S235" s="136"/>
      <c r="T235" s="137"/>
      <c r="U235" s="322">
        <f>M243+N243+O243+P243+Q243+R243+S243+M244+N244+O244+P244+Q244+R244+T243+T244+S244</f>
        <v>0</v>
      </c>
    </row>
    <row r="236" spans="1:21" ht="12.75">
      <c r="A236" s="285"/>
      <c r="B236" s="287"/>
      <c r="C236" s="287"/>
      <c r="D236" s="319"/>
      <c r="E236" s="268"/>
      <c r="F236" s="267"/>
      <c r="G236" s="281">
        <f>SUM(K243:T243)</f>
        <v>37149</v>
      </c>
      <c r="H236" s="139" t="s">
        <v>108</v>
      </c>
      <c r="I236" s="140"/>
      <c r="J236" s="141"/>
      <c r="K236" s="142">
        <f t="shared" si="48"/>
        <v>0</v>
      </c>
      <c r="L236" s="142"/>
      <c r="M236" s="142"/>
      <c r="N236" s="142"/>
      <c r="O236" s="142"/>
      <c r="P236" s="142"/>
      <c r="Q236" s="142"/>
      <c r="R236" s="142"/>
      <c r="S236" s="142"/>
      <c r="T236" s="143"/>
      <c r="U236" s="264"/>
    </row>
    <row r="237" spans="1:21" ht="12.75">
      <c r="A237" s="285"/>
      <c r="B237" s="287"/>
      <c r="C237" s="287"/>
      <c r="D237" s="319"/>
      <c r="E237" s="268"/>
      <c r="F237" s="267"/>
      <c r="G237" s="317"/>
      <c r="H237" s="139" t="s">
        <v>109</v>
      </c>
      <c r="I237" s="140"/>
      <c r="J237" s="141"/>
      <c r="K237" s="142">
        <f t="shared" si="48"/>
        <v>0</v>
      </c>
      <c r="L237" s="142"/>
      <c r="M237" s="142"/>
      <c r="N237" s="142"/>
      <c r="O237" s="142"/>
      <c r="P237" s="142"/>
      <c r="Q237" s="142"/>
      <c r="R237" s="142"/>
      <c r="S237" s="142"/>
      <c r="T237" s="143"/>
      <c r="U237" s="264"/>
    </row>
    <row r="238" spans="1:21" ht="12.75">
      <c r="A238" s="285"/>
      <c r="B238" s="287"/>
      <c r="C238" s="287"/>
      <c r="D238" s="319"/>
      <c r="E238" s="268"/>
      <c r="F238" s="267"/>
      <c r="G238" s="145" t="s">
        <v>110</v>
      </c>
      <c r="H238" s="139" t="s">
        <v>111</v>
      </c>
      <c r="I238" s="140"/>
      <c r="J238" s="141"/>
      <c r="K238" s="142">
        <f t="shared" si="48"/>
        <v>0</v>
      </c>
      <c r="L238" s="142"/>
      <c r="M238" s="142"/>
      <c r="N238" s="142"/>
      <c r="O238" s="142"/>
      <c r="P238" s="142"/>
      <c r="Q238" s="142"/>
      <c r="R238" s="142"/>
      <c r="S238" s="142"/>
      <c r="T238" s="143"/>
      <c r="U238" s="264"/>
    </row>
    <row r="239" spans="1:21" ht="12.75">
      <c r="A239" s="285"/>
      <c r="B239" s="287"/>
      <c r="C239" s="287"/>
      <c r="D239" s="319"/>
      <c r="E239" s="268"/>
      <c r="F239" s="267"/>
      <c r="G239" s="281">
        <f>SUM(K244:T244)</f>
        <v>0</v>
      </c>
      <c r="H239" s="139" t="s">
        <v>112</v>
      </c>
      <c r="I239" s="140">
        <f>24550-24550</f>
        <v>0</v>
      </c>
      <c r="J239" s="141"/>
      <c r="K239" s="142">
        <f t="shared" si="48"/>
        <v>0</v>
      </c>
      <c r="L239" s="142">
        <v>37149</v>
      </c>
      <c r="M239" s="142"/>
      <c r="N239" s="142"/>
      <c r="O239" s="142"/>
      <c r="P239" s="142"/>
      <c r="Q239" s="142"/>
      <c r="R239" s="142"/>
      <c r="S239" s="142"/>
      <c r="T239" s="143"/>
      <c r="U239" s="264"/>
    </row>
    <row r="240" spans="1:21" ht="12.75">
      <c r="A240" s="285"/>
      <c r="B240" s="287"/>
      <c r="C240" s="287"/>
      <c r="D240" s="319"/>
      <c r="E240" s="268"/>
      <c r="F240" s="267">
        <v>2011</v>
      </c>
      <c r="G240" s="317"/>
      <c r="H240" s="139" t="s">
        <v>113</v>
      </c>
      <c r="I240" s="140"/>
      <c r="J240" s="141"/>
      <c r="K240" s="142">
        <f t="shared" si="48"/>
        <v>0</v>
      </c>
      <c r="L240" s="142"/>
      <c r="M240" s="142"/>
      <c r="N240" s="142"/>
      <c r="O240" s="142"/>
      <c r="P240" s="142"/>
      <c r="Q240" s="142"/>
      <c r="R240" s="142"/>
      <c r="S240" s="142"/>
      <c r="T240" s="143"/>
      <c r="U240" s="264"/>
    </row>
    <row r="241" spans="1:21" ht="12.75">
      <c r="A241" s="285"/>
      <c r="B241" s="287"/>
      <c r="C241" s="287"/>
      <c r="D241" s="319"/>
      <c r="E241" s="268"/>
      <c r="F241" s="267"/>
      <c r="G241" s="145" t="s">
        <v>114</v>
      </c>
      <c r="H241" s="139" t="s">
        <v>115</v>
      </c>
      <c r="I241" s="140"/>
      <c r="J241" s="141"/>
      <c r="K241" s="142">
        <f t="shared" si="48"/>
        <v>0</v>
      </c>
      <c r="L241" s="142"/>
      <c r="M241" s="142"/>
      <c r="N241" s="142"/>
      <c r="O241" s="142"/>
      <c r="P241" s="142"/>
      <c r="Q241" s="142"/>
      <c r="R241" s="142"/>
      <c r="S241" s="142"/>
      <c r="T241" s="143"/>
      <c r="U241" s="264"/>
    </row>
    <row r="242" spans="1:21" ht="12.75">
      <c r="A242" s="285"/>
      <c r="B242" s="287"/>
      <c r="C242" s="287"/>
      <c r="D242" s="319"/>
      <c r="E242" s="268"/>
      <c r="F242" s="267"/>
      <c r="G242" s="281">
        <f>G236+G239</f>
        <v>37149</v>
      </c>
      <c r="H242" s="139" t="s">
        <v>116</v>
      </c>
      <c r="I242" s="140"/>
      <c r="J242" s="141"/>
      <c r="K242" s="142">
        <f t="shared" si="48"/>
        <v>0</v>
      </c>
      <c r="L242" s="142"/>
      <c r="M242" s="142"/>
      <c r="N242" s="142"/>
      <c r="O242" s="142"/>
      <c r="P242" s="142"/>
      <c r="Q242" s="142"/>
      <c r="R242" s="142"/>
      <c r="S242" s="142"/>
      <c r="T242" s="143"/>
      <c r="U242" s="264"/>
    </row>
    <row r="243" spans="1:21" ht="12.75">
      <c r="A243" s="285"/>
      <c r="B243" s="287"/>
      <c r="C243" s="287"/>
      <c r="D243" s="319"/>
      <c r="E243" s="268"/>
      <c r="F243" s="267"/>
      <c r="G243" s="282"/>
      <c r="H243" s="139" t="s">
        <v>117</v>
      </c>
      <c r="I243" s="146">
        <f>I235+I237+I239+I241</f>
        <v>0</v>
      </c>
      <c r="J243" s="147">
        <f>J235+J237+J239+J241</f>
        <v>0</v>
      </c>
      <c r="K243" s="148">
        <f t="shared" si="48"/>
        <v>0</v>
      </c>
      <c r="L243" s="148">
        <f aca="true" t="shared" si="54" ref="L243:T243">L235+L237+L239+L241</f>
        <v>37149</v>
      </c>
      <c r="M243" s="148">
        <f t="shared" si="54"/>
        <v>0</v>
      </c>
      <c r="N243" s="148">
        <f t="shared" si="54"/>
        <v>0</v>
      </c>
      <c r="O243" s="148">
        <f t="shared" si="54"/>
        <v>0</v>
      </c>
      <c r="P243" s="148">
        <f t="shared" si="54"/>
        <v>0</v>
      </c>
      <c r="Q243" s="148">
        <f t="shared" si="54"/>
        <v>0</v>
      </c>
      <c r="R243" s="148">
        <f t="shared" si="54"/>
        <v>0</v>
      </c>
      <c r="S243" s="148">
        <f t="shared" si="54"/>
        <v>0</v>
      </c>
      <c r="T243" s="149">
        <f t="shared" si="54"/>
        <v>0</v>
      </c>
      <c r="U243" s="264"/>
    </row>
    <row r="244" spans="1:21" ht="13.5" thickBot="1">
      <c r="A244" s="285"/>
      <c r="B244" s="287"/>
      <c r="C244" s="287"/>
      <c r="D244" s="320"/>
      <c r="E244" s="265"/>
      <c r="F244" s="310"/>
      <c r="G244" s="283"/>
      <c r="H244" s="150" t="s">
        <v>118</v>
      </c>
      <c r="I244" s="151">
        <f>I236+I238+I240+I242</f>
        <v>0</v>
      </c>
      <c r="J244" s="152">
        <f>J236+J238+J240+J242</f>
        <v>0</v>
      </c>
      <c r="K244" s="153">
        <f t="shared" si="48"/>
        <v>0</v>
      </c>
      <c r="L244" s="153">
        <f aca="true" t="shared" si="55" ref="L244:T244">L236+L238+L240+L242</f>
        <v>0</v>
      </c>
      <c r="M244" s="153">
        <f t="shared" si="55"/>
        <v>0</v>
      </c>
      <c r="N244" s="153">
        <f t="shared" si="55"/>
        <v>0</v>
      </c>
      <c r="O244" s="153">
        <f t="shared" si="55"/>
        <v>0</v>
      </c>
      <c r="P244" s="153">
        <f t="shared" si="55"/>
        <v>0</v>
      </c>
      <c r="Q244" s="153">
        <f t="shared" si="55"/>
        <v>0</v>
      </c>
      <c r="R244" s="153">
        <f t="shared" si="55"/>
        <v>0</v>
      </c>
      <c r="S244" s="153">
        <f t="shared" si="55"/>
        <v>0</v>
      </c>
      <c r="T244" s="154">
        <f t="shared" si="55"/>
        <v>0</v>
      </c>
      <c r="U244" s="307"/>
    </row>
    <row r="245" spans="1:21" ht="12.75">
      <c r="A245" s="284">
        <f>A235+1</f>
        <v>25</v>
      </c>
      <c r="B245" s="286">
        <v>801</v>
      </c>
      <c r="C245" s="286">
        <v>80110</v>
      </c>
      <c r="D245" s="323" t="s">
        <v>150</v>
      </c>
      <c r="E245" s="335" t="s">
        <v>143</v>
      </c>
      <c r="F245" s="321">
        <v>2011</v>
      </c>
      <c r="G245" s="132" t="s">
        <v>106</v>
      </c>
      <c r="H245" s="133" t="s">
        <v>107</v>
      </c>
      <c r="I245" s="134"/>
      <c r="J245" s="135"/>
      <c r="K245" s="136">
        <f t="shared" si="48"/>
        <v>0</v>
      </c>
      <c r="L245" s="136"/>
      <c r="M245" s="136"/>
      <c r="N245" s="136"/>
      <c r="O245" s="136"/>
      <c r="P245" s="136"/>
      <c r="Q245" s="136"/>
      <c r="R245" s="136"/>
      <c r="S245" s="136"/>
      <c r="T245" s="137"/>
      <c r="U245" s="322">
        <f>M253+N253+O253+P253+Q253+R253+S253+M254+N254+O254+P254+Q254+R254+T253+T254+S254</f>
        <v>0</v>
      </c>
    </row>
    <row r="246" spans="1:21" ht="12.75">
      <c r="A246" s="285"/>
      <c r="B246" s="287"/>
      <c r="C246" s="287"/>
      <c r="D246" s="319"/>
      <c r="E246" s="268"/>
      <c r="F246" s="267"/>
      <c r="G246" s="281">
        <f>SUM(K253:T253)</f>
        <v>66974</v>
      </c>
      <c r="H246" s="139" t="s">
        <v>108</v>
      </c>
      <c r="I246" s="140"/>
      <c r="J246" s="141"/>
      <c r="K246" s="142">
        <f aca="true" t="shared" si="56" ref="K246:K277">SUM(I246:J246)</f>
        <v>0</v>
      </c>
      <c r="L246" s="142"/>
      <c r="M246" s="142"/>
      <c r="N246" s="142"/>
      <c r="O246" s="142"/>
      <c r="P246" s="142"/>
      <c r="Q246" s="142"/>
      <c r="R246" s="142"/>
      <c r="S246" s="142"/>
      <c r="T246" s="143"/>
      <c r="U246" s="264"/>
    </row>
    <row r="247" spans="1:21" ht="12.75">
      <c r="A247" s="285"/>
      <c r="B247" s="287"/>
      <c r="C247" s="287"/>
      <c r="D247" s="319"/>
      <c r="E247" s="268"/>
      <c r="F247" s="267"/>
      <c r="G247" s="317"/>
      <c r="H247" s="139" t="s">
        <v>109</v>
      </c>
      <c r="I247" s="140"/>
      <c r="J247" s="141"/>
      <c r="K247" s="142">
        <f t="shared" si="56"/>
        <v>0</v>
      </c>
      <c r="L247" s="142"/>
      <c r="M247" s="142"/>
      <c r="N247" s="142"/>
      <c r="O247" s="142"/>
      <c r="P247" s="142"/>
      <c r="Q247" s="142"/>
      <c r="R247" s="142"/>
      <c r="S247" s="142"/>
      <c r="T247" s="143"/>
      <c r="U247" s="264"/>
    </row>
    <row r="248" spans="1:21" ht="12.75">
      <c r="A248" s="285"/>
      <c r="B248" s="287"/>
      <c r="C248" s="287"/>
      <c r="D248" s="319"/>
      <c r="E248" s="268"/>
      <c r="F248" s="267"/>
      <c r="G248" s="145" t="s">
        <v>110</v>
      </c>
      <c r="H248" s="139" t="s">
        <v>111</v>
      </c>
      <c r="I248" s="140"/>
      <c r="J248" s="141"/>
      <c r="K248" s="142">
        <f t="shared" si="56"/>
        <v>0</v>
      </c>
      <c r="L248" s="142"/>
      <c r="M248" s="142"/>
      <c r="N248" s="142"/>
      <c r="O248" s="142"/>
      <c r="P248" s="142"/>
      <c r="Q248" s="142"/>
      <c r="R248" s="142"/>
      <c r="S248" s="142"/>
      <c r="T248" s="143"/>
      <c r="U248" s="264"/>
    </row>
    <row r="249" spans="1:21" ht="12.75">
      <c r="A249" s="285"/>
      <c r="B249" s="287"/>
      <c r="C249" s="287"/>
      <c r="D249" s="319"/>
      <c r="E249" s="268"/>
      <c r="F249" s="267"/>
      <c r="G249" s="281">
        <f>SUM(K254:T254)</f>
        <v>0</v>
      </c>
      <c r="H249" s="139" t="s">
        <v>112</v>
      </c>
      <c r="I249" s="140">
        <f>24550-24550</f>
        <v>0</v>
      </c>
      <c r="J249" s="141"/>
      <c r="K249" s="142">
        <f t="shared" si="56"/>
        <v>0</v>
      </c>
      <c r="L249" s="142">
        <v>66974</v>
      </c>
      <c r="M249" s="142"/>
      <c r="N249" s="142"/>
      <c r="O249" s="142"/>
      <c r="P249" s="142"/>
      <c r="Q249" s="142"/>
      <c r="R249" s="142"/>
      <c r="S249" s="142"/>
      <c r="T249" s="143"/>
      <c r="U249" s="264"/>
    </row>
    <row r="250" spans="1:21" ht="12.75">
      <c r="A250" s="285"/>
      <c r="B250" s="287"/>
      <c r="C250" s="287"/>
      <c r="D250" s="319"/>
      <c r="E250" s="268"/>
      <c r="F250" s="267">
        <v>2011</v>
      </c>
      <c r="G250" s="317"/>
      <c r="H250" s="139" t="s">
        <v>113</v>
      </c>
      <c r="I250" s="140"/>
      <c r="J250" s="141"/>
      <c r="K250" s="142">
        <f t="shared" si="56"/>
        <v>0</v>
      </c>
      <c r="L250" s="142"/>
      <c r="M250" s="142"/>
      <c r="N250" s="142"/>
      <c r="O250" s="142"/>
      <c r="P250" s="142"/>
      <c r="Q250" s="142"/>
      <c r="R250" s="142"/>
      <c r="S250" s="142"/>
      <c r="T250" s="143"/>
      <c r="U250" s="264"/>
    </row>
    <row r="251" spans="1:21" ht="12.75">
      <c r="A251" s="285"/>
      <c r="B251" s="287"/>
      <c r="C251" s="287"/>
      <c r="D251" s="319"/>
      <c r="E251" s="268"/>
      <c r="F251" s="267"/>
      <c r="G251" s="145" t="s">
        <v>114</v>
      </c>
      <c r="H251" s="139" t="s">
        <v>115</v>
      </c>
      <c r="I251" s="140"/>
      <c r="J251" s="141"/>
      <c r="K251" s="142">
        <f t="shared" si="56"/>
        <v>0</v>
      </c>
      <c r="L251" s="142"/>
      <c r="M251" s="142"/>
      <c r="N251" s="142"/>
      <c r="O251" s="142"/>
      <c r="P251" s="142"/>
      <c r="Q251" s="142"/>
      <c r="R251" s="142"/>
      <c r="S251" s="142"/>
      <c r="T251" s="143"/>
      <c r="U251" s="264"/>
    </row>
    <row r="252" spans="1:21" ht="12.75">
      <c r="A252" s="285"/>
      <c r="B252" s="287"/>
      <c r="C252" s="287"/>
      <c r="D252" s="319"/>
      <c r="E252" s="268"/>
      <c r="F252" s="267"/>
      <c r="G252" s="281">
        <f>G246+G249</f>
        <v>66974</v>
      </c>
      <c r="H252" s="139" t="s">
        <v>116</v>
      </c>
      <c r="I252" s="140"/>
      <c r="J252" s="141"/>
      <c r="K252" s="142">
        <f t="shared" si="56"/>
        <v>0</v>
      </c>
      <c r="L252" s="142"/>
      <c r="M252" s="142"/>
      <c r="N252" s="142"/>
      <c r="O252" s="142"/>
      <c r="P252" s="142"/>
      <c r="Q252" s="142"/>
      <c r="R252" s="142"/>
      <c r="S252" s="142"/>
      <c r="T252" s="143"/>
      <c r="U252" s="264"/>
    </row>
    <row r="253" spans="1:21" ht="12.75">
      <c r="A253" s="285"/>
      <c r="B253" s="287"/>
      <c r="C253" s="287"/>
      <c r="D253" s="319"/>
      <c r="E253" s="268"/>
      <c r="F253" s="267"/>
      <c r="G253" s="282"/>
      <c r="H253" s="139" t="s">
        <v>117</v>
      </c>
      <c r="I253" s="146">
        <f>I245+I247+I249+I251</f>
        <v>0</v>
      </c>
      <c r="J253" s="147">
        <f>J245+J247+J249+J251</f>
        <v>0</v>
      </c>
      <c r="K253" s="148">
        <f t="shared" si="56"/>
        <v>0</v>
      </c>
      <c r="L253" s="148">
        <f aca="true" t="shared" si="57" ref="L253:T253">L245+L247+L249+L251</f>
        <v>66974</v>
      </c>
      <c r="M253" s="148">
        <f t="shared" si="57"/>
        <v>0</v>
      </c>
      <c r="N253" s="148">
        <f t="shared" si="57"/>
        <v>0</v>
      </c>
      <c r="O253" s="148">
        <f t="shared" si="57"/>
        <v>0</v>
      </c>
      <c r="P253" s="148">
        <f t="shared" si="57"/>
        <v>0</v>
      </c>
      <c r="Q253" s="148">
        <f t="shared" si="57"/>
        <v>0</v>
      </c>
      <c r="R253" s="148">
        <f t="shared" si="57"/>
        <v>0</v>
      </c>
      <c r="S253" s="148">
        <f t="shared" si="57"/>
        <v>0</v>
      </c>
      <c r="T253" s="149">
        <f t="shared" si="57"/>
        <v>0</v>
      </c>
      <c r="U253" s="264"/>
    </row>
    <row r="254" spans="1:21" ht="13.5" thickBot="1">
      <c r="A254" s="285"/>
      <c r="B254" s="287"/>
      <c r="C254" s="287"/>
      <c r="D254" s="320"/>
      <c r="E254" s="265"/>
      <c r="F254" s="310"/>
      <c r="G254" s="283"/>
      <c r="H254" s="150" t="s">
        <v>118</v>
      </c>
      <c r="I254" s="151">
        <f>I246+I248+I250+I252</f>
        <v>0</v>
      </c>
      <c r="J254" s="152">
        <f>J246+J248+J250+J252</f>
        <v>0</v>
      </c>
      <c r="K254" s="153">
        <f t="shared" si="56"/>
        <v>0</v>
      </c>
      <c r="L254" s="153">
        <f aca="true" t="shared" si="58" ref="L254:T254">L246+L248+L250+L252</f>
        <v>0</v>
      </c>
      <c r="M254" s="153">
        <f t="shared" si="58"/>
        <v>0</v>
      </c>
      <c r="N254" s="153">
        <f t="shared" si="58"/>
        <v>0</v>
      </c>
      <c r="O254" s="153">
        <f t="shared" si="58"/>
        <v>0</v>
      </c>
      <c r="P254" s="153">
        <f t="shared" si="58"/>
        <v>0</v>
      </c>
      <c r="Q254" s="153">
        <f t="shared" si="58"/>
        <v>0</v>
      </c>
      <c r="R254" s="153">
        <f t="shared" si="58"/>
        <v>0</v>
      </c>
      <c r="S254" s="153">
        <f t="shared" si="58"/>
        <v>0</v>
      </c>
      <c r="T254" s="154">
        <f t="shared" si="58"/>
        <v>0</v>
      </c>
      <c r="U254" s="307"/>
    </row>
    <row r="255" spans="1:21" ht="12.75">
      <c r="A255" s="284">
        <f>A245+1</f>
        <v>26</v>
      </c>
      <c r="B255" s="286">
        <v>801</v>
      </c>
      <c r="C255" s="286">
        <v>80110</v>
      </c>
      <c r="D255" s="323" t="s">
        <v>151</v>
      </c>
      <c r="E255" s="335" t="s">
        <v>152</v>
      </c>
      <c r="F255" s="321">
        <v>2011</v>
      </c>
      <c r="G255" s="132" t="s">
        <v>106</v>
      </c>
      <c r="H255" s="133" t="s">
        <v>107</v>
      </c>
      <c r="I255" s="134"/>
      <c r="J255" s="135"/>
      <c r="K255" s="158">
        <f t="shared" si="56"/>
        <v>0</v>
      </c>
      <c r="L255" s="158"/>
      <c r="M255" s="136"/>
      <c r="N255" s="136"/>
      <c r="O255" s="136"/>
      <c r="P255" s="136"/>
      <c r="Q255" s="136"/>
      <c r="R255" s="136"/>
      <c r="S255" s="136"/>
      <c r="T255" s="137"/>
      <c r="U255" s="322">
        <f>M263+N263+O263+P263+Q263+R263+S263+M264+N264+O264+P264+Q264+R264+T263+T264+S264</f>
        <v>16052</v>
      </c>
    </row>
    <row r="256" spans="1:21" ht="12.75">
      <c r="A256" s="285"/>
      <c r="B256" s="287"/>
      <c r="C256" s="287"/>
      <c r="D256" s="319"/>
      <c r="E256" s="268"/>
      <c r="F256" s="267"/>
      <c r="G256" s="281">
        <f>SUM(K263:T263)</f>
        <v>80258</v>
      </c>
      <c r="H256" s="139" t="s">
        <v>108</v>
      </c>
      <c r="I256" s="140"/>
      <c r="J256" s="141"/>
      <c r="K256" s="142">
        <f t="shared" si="56"/>
        <v>0</v>
      </c>
      <c r="L256" s="142"/>
      <c r="M256" s="142"/>
      <c r="N256" s="142"/>
      <c r="O256" s="142"/>
      <c r="P256" s="142"/>
      <c r="Q256" s="142"/>
      <c r="R256" s="142"/>
      <c r="S256" s="142"/>
      <c r="T256" s="143"/>
      <c r="U256" s="264"/>
    </row>
    <row r="257" spans="1:21" ht="12.75">
      <c r="A257" s="285"/>
      <c r="B257" s="287"/>
      <c r="C257" s="287"/>
      <c r="D257" s="319"/>
      <c r="E257" s="268"/>
      <c r="F257" s="267"/>
      <c r="G257" s="317"/>
      <c r="H257" s="139" t="s">
        <v>109</v>
      </c>
      <c r="I257" s="140"/>
      <c r="J257" s="141"/>
      <c r="K257" s="142">
        <f t="shared" si="56"/>
        <v>0</v>
      </c>
      <c r="L257" s="142"/>
      <c r="M257" s="142"/>
      <c r="N257" s="142"/>
      <c r="O257" s="142"/>
      <c r="P257" s="142"/>
      <c r="Q257" s="142"/>
      <c r="R257" s="142"/>
      <c r="S257" s="142"/>
      <c r="T257" s="143"/>
      <c r="U257" s="264"/>
    </row>
    <row r="258" spans="1:21" ht="12.75">
      <c r="A258" s="285"/>
      <c r="B258" s="287"/>
      <c r="C258" s="287"/>
      <c r="D258" s="319"/>
      <c r="E258" s="268"/>
      <c r="F258" s="267"/>
      <c r="G258" s="145" t="s">
        <v>110</v>
      </c>
      <c r="H258" s="139" t="s">
        <v>111</v>
      </c>
      <c r="I258" s="140"/>
      <c r="J258" s="141"/>
      <c r="K258" s="142">
        <f t="shared" si="56"/>
        <v>0</v>
      </c>
      <c r="L258" s="142"/>
      <c r="M258" s="142"/>
      <c r="N258" s="142"/>
      <c r="O258" s="142"/>
      <c r="P258" s="142"/>
      <c r="Q258" s="142"/>
      <c r="R258" s="142"/>
      <c r="S258" s="142"/>
      <c r="T258" s="143"/>
      <c r="U258" s="264"/>
    </row>
    <row r="259" spans="1:21" ht="12.75">
      <c r="A259" s="285"/>
      <c r="B259" s="287"/>
      <c r="C259" s="287"/>
      <c r="D259" s="319"/>
      <c r="E259" s="268"/>
      <c r="F259" s="267"/>
      <c r="G259" s="281">
        <f>SUM(K264:T264)</f>
        <v>0</v>
      </c>
      <c r="H259" s="139" t="s">
        <v>112</v>
      </c>
      <c r="I259" s="140"/>
      <c r="J259" s="141"/>
      <c r="K259" s="142">
        <f t="shared" si="56"/>
        <v>0</v>
      </c>
      <c r="L259" s="142">
        <v>64206</v>
      </c>
      <c r="M259" s="142"/>
      <c r="N259" s="142">
        <v>16052</v>
      </c>
      <c r="O259" s="142"/>
      <c r="P259" s="142"/>
      <c r="Q259" s="142"/>
      <c r="R259" s="142"/>
      <c r="S259" s="142"/>
      <c r="T259" s="143"/>
      <c r="U259" s="264"/>
    </row>
    <row r="260" spans="1:21" ht="12.75">
      <c r="A260" s="285"/>
      <c r="B260" s="287"/>
      <c r="C260" s="287"/>
      <c r="D260" s="319"/>
      <c r="E260" s="268"/>
      <c r="F260" s="267">
        <v>2013</v>
      </c>
      <c r="G260" s="317"/>
      <c r="H260" s="139" t="s">
        <v>113</v>
      </c>
      <c r="I260" s="140"/>
      <c r="J260" s="141"/>
      <c r="K260" s="142">
        <f t="shared" si="56"/>
        <v>0</v>
      </c>
      <c r="L260" s="142"/>
      <c r="M260" s="142"/>
      <c r="N260" s="142"/>
      <c r="O260" s="142"/>
      <c r="P260" s="142"/>
      <c r="Q260" s="142"/>
      <c r="R260" s="142"/>
      <c r="S260" s="142"/>
      <c r="T260" s="143"/>
      <c r="U260" s="264"/>
    </row>
    <row r="261" spans="1:21" ht="12.75">
      <c r="A261" s="285"/>
      <c r="B261" s="287"/>
      <c r="C261" s="287"/>
      <c r="D261" s="319"/>
      <c r="E261" s="268"/>
      <c r="F261" s="267"/>
      <c r="G261" s="145" t="s">
        <v>114</v>
      </c>
      <c r="H261" s="139" t="s">
        <v>115</v>
      </c>
      <c r="I261" s="140"/>
      <c r="J261" s="141"/>
      <c r="K261" s="142">
        <f t="shared" si="56"/>
        <v>0</v>
      </c>
      <c r="L261" s="142"/>
      <c r="M261" s="142"/>
      <c r="N261" s="142"/>
      <c r="O261" s="142"/>
      <c r="P261" s="142"/>
      <c r="Q261" s="142"/>
      <c r="R261" s="142"/>
      <c r="S261" s="142"/>
      <c r="T261" s="143"/>
      <c r="U261" s="264"/>
    </row>
    <row r="262" spans="1:21" ht="12.75">
      <c r="A262" s="285"/>
      <c r="B262" s="287"/>
      <c r="C262" s="287"/>
      <c r="D262" s="319"/>
      <c r="E262" s="268"/>
      <c r="F262" s="267"/>
      <c r="G262" s="281">
        <f>G256+G259</f>
        <v>80258</v>
      </c>
      <c r="H262" s="139" t="s">
        <v>116</v>
      </c>
      <c r="I262" s="140"/>
      <c r="J262" s="141"/>
      <c r="K262" s="142">
        <f t="shared" si="56"/>
        <v>0</v>
      </c>
      <c r="L262" s="142"/>
      <c r="M262" s="142"/>
      <c r="N262" s="142"/>
      <c r="O262" s="142"/>
      <c r="P262" s="142"/>
      <c r="Q262" s="142"/>
      <c r="R262" s="142"/>
      <c r="S262" s="142"/>
      <c r="T262" s="143"/>
      <c r="U262" s="264"/>
    </row>
    <row r="263" spans="1:21" ht="12.75">
      <c r="A263" s="285"/>
      <c r="B263" s="287"/>
      <c r="C263" s="287"/>
      <c r="D263" s="319"/>
      <c r="E263" s="268"/>
      <c r="F263" s="267"/>
      <c r="G263" s="282"/>
      <c r="H263" s="139" t="s">
        <v>117</v>
      </c>
      <c r="I263" s="146">
        <f>I255+I257+I259+I261</f>
        <v>0</v>
      </c>
      <c r="J263" s="147">
        <f>J255+J257+J259+J261</f>
        <v>0</v>
      </c>
      <c r="K263" s="148">
        <f t="shared" si="56"/>
        <v>0</v>
      </c>
      <c r="L263" s="148">
        <f aca="true" t="shared" si="59" ref="L263:T263">L255+L257+L259+L261</f>
        <v>64206</v>
      </c>
      <c r="M263" s="148">
        <f t="shared" si="59"/>
        <v>0</v>
      </c>
      <c r="N263" s="148">
        <f t="shared" si="59"/>
        <v>16052</v>
      </c>
      <c r="O263" s="148">
        <f t="shared" si="59"/>
        <v>0</v>
      </c>
      <c r="P263" s="148">
        <f t="shared" si="59"/>
        <v>0</v>
      </c>
      <c r="Q263" s="148">
        <f t="shared" si="59"/>
        <v>0</v>
      </c>
      <c r="R263" s="148">
        <f t="shared" si="59"/>
        <v>0</v>
      </c>
      <c r="S263" s="148">
        <f t="shared" si="59"/>
        <v>0</v>
      </c>
      <c r="T263" s="149">
        <f t="shared" si="59"/>
        <v>0</v>
      </c>
      <c r="U263" s="264"/>
    </row>
    <row r="264" spans="1:21" ht="13.5" thickBot="1">
      <c r="A264" s="285"/>
      <c r="B264" s="287"/>
      <c r="C264" s="287"/>
      <c r="D264" s="320"/>
      <c r="E264" s="265"/>
      <c r="F264" s="310"/>
      <c r="G264" s="283"/>
      <c r="H264" s="150" t="s">
        <v>118</v>
      </c>
      <c r="I264" s="151">
        <f>I256+I258+I260+I262</f>
        <v>0</v>
      </c>
      <c r="J264" s="152">
        <f>J256+J258+J260+J262</f>
        <v>0</v>
      </c>
      <c r="K264" s="153">
        <f t="shared" si="56"/>
        <v>0</v>
      </c>
      <c r="L264" s="153">
        <f aca="true" t="shared" si="60" ref="L264:T264">L256+L258+L260+L262</f>
        <v>0</v>
      </c>
      <c r="M264" s="153">
        <f t="shared" si="60"/>
        <v>0</v>
      </c>
      <c r="N264" s="153">
        <f t="shared" si="60"/>
        <v>0</v>
      </c>
      <c r="O264" s="153">
        <f t="shared" si="60"/>
        <v>0</v>
      </c>
      <c r="P264" s="153">
        <f t="shared" si="60"/>
        <v>0</v>
      </c>
      <c r="Q264" s="153">
        <f t="shared" si="60"/>
        <v>0</v>
      </c>
      <c r="R264" s="153">
        <f t="shared" si="60"/>
        <v>0</v>
      </c>
      <c r="S264" s="153">
        <f t="shared" si="60"/>
        <v>0</v>
      </c>
      <c r="T264" s="154">
        <f t="shared" si="60"/>
        <v>0</v>
      </c>
      <c r="U264" s="307"/>
    </row>
    <row r="265" spans="1:21" ht="12.75">
      <c r="A265" s="284">
        <f>A255+1</f>
        <v>27</v>
      </c>
      <c r="B265" s="286">
        <v>801</v>
      </c>
      <c r="C265" s="286">
        <v>80110</v>
      </c>
      <c r="D265" s="288" t="s">
        <v>153</v>
      </c>
      <c r="E265" s="335" t="s">
        <v>154</v>
      </c>
      <c r="F265" s="321">
        <v>2011</v>
      </c>
      <c r="G265" s="132" t="s">
        <v>106</v>
      </c>
      <c r="H265" s="133" t="s">
        <v>107</v>
      </c>
      <c r="I265" s="134"/>
      <c r="J265" s="135"/>
      <c r="K265" s="158">
        <f t="shared" si="56"/>
        <v>0</v>
      </c>
      <c r="L265" s="158"/>
      <c r="M265" s="136"/>
      <c r="N265" s="136"/>
      <c r="O265" s="136"/>
      <c r="P265" s="194"/>
      <c r="Q265" s="194"/>
      <c r="R265" s="194"/>
      <c r="S265" s="194"/>
      <c r="T265" s="195"/>
      <c r="U265" s="196"/>
    </row>
    <row r="266" spans="1:21" ht="12.75">
      <c r="A266" s="285"/>
      <c r="B266" s="287"/>
      <c r="C266" s="287"/>
      <c r="D266" s="289"/>
      <c r="E266" s="268"/>
      <c r="F266" s="267"/>
      <c r="G266" s="281">
        <f>SUM(K273:T273)</f>
        <v>4286</v>
      </c>
      <c r="H266" s="139" t="s">
        <v>108</v>
      </c>
      <c r="I266" s="140"/>
      <c r="J266" s="141"/>
      <c r="K266" s="142">
        <f t="shared" si="56"/>
        <v>0</v>
      </c>
      <c r="L266" s="142"/>
      <c r="M266" s="142"/>
      <c r="N266" s="142"/>
      <c r="O266" s="142"/>
      <c r="P266" s="194"/>
      <c r="Q266" s="194"/>
      <c r="R266" s="194"/>
      <c r="S266" s="194"/>
      <c r="T266" s="195"/>
      <c r="U266" s="196"/>
    </row>
    <row r="267" spans="1:21" ht="12.75">
      <c r="A267" s="285"/>
      <c r="B267" s="287"/>
      <c r="C267" s="287"/>
      <c r="D267" s="289"/>
      <c r="E267" s="268"/>
      <c r="F267" s="267"/>
      <c r="G267" s="317"/>
      <c r="H267" s="139" t="s">
        <v>109</v>
      </c>
      <c r="I267" s="140"/>
      <c r="J267" s="141"/>
      <c r="K267" s="142">
        <f t="shared" si="56"/>
        <v>0</v>
      </c>
      <c r="L267" s="142"/>
      <c r="M267" s="142"/>
      <c r="N267" s="142"/>
      <c r="O267" s="142"/>
      <c r="P267" s="194"/>
      <c r="Q267" s="194"/>
      <c r="R267" s="194"/>
      <c r="S267" s="194"/>
      <c r="T267" s="195"/>
      <c r="U267" s="196"/>
    </row>
    <row r="268" spans="1:21" ht="12.75">
      <c r="A268" s="285"/>
      <c r="B268" s="287"/>
      <c r="C268" s="287"/>
      <c r="D268" s="289"/>
      <c r="E268" s="268"/>
      <c r="F268" s="267"/>
      <c r="G268" s="145" t="s">
        <v>110</v>
      </c>
      <c r="H268" s="139" t="s">
        <v>111</v>
      </c>
      <c r="I268" s="140"/>
      <c r="J268" s="141"/>
      <c r="K268" s="142">
        <f t="shared" si="56"/>
        <v>0</v>
      </c>
      <c r="L268" s="142"/>
      <c r="M268" s="142"/>
      <c r="N268" s="142"/>
      <c r="O268" s="142"/>
      <c r="P268" s="194"/>
      <c r="Q268" s="194"/>
      <c r="R268" s="194"/>
      <c r="S268" s="194"/>
      <c r="T268" s="195"/>
      <c r="U268" s="196"/>
    </row>
    <row r="269" spans="1:21" ht="12.75">
      <c r="A269" s="285"/>
      <c r="B269" s="287"/>
      <c r="C269" s="287"/>
      <c r="D269" s="289"/>
      <c r="E269" s="268"/>
      <c r="F269" s="267"/>
      <c r="G269" s="281">
        <f>SUM(K274:T274)</f>
        <v>0</v>
      </c>
      <c r="H269" s="139" t="s">
        <v>112</v>
      </c>
      <c r="I269" s="140"/>
      <c r="J269" s="141"/>
      <c r="K269" s="142">
        <f t="shared" si="56"/>
        <v>0</v>
      </c>
      <c r="L269" s="142">
        <v>4286</v>
      </c>
      <c r="M269" s="142"/>
      <c r="N269" s="142"/>
      <c r="O269" s="142"/>
      <c r="P269" s="194"/>
      <c r="Q269" s="194"/>
      <c r="R269" s="194"/>
      <c r="S269" s="194"/>
      <c r="T269" s="195"/>
      <c r="U269" s="196"/>
    </row>
    <row r="270" spans="1:21" ht="12.75">
      <c r="A270" s="285"/>
      <c r="B270" s="287"/>
      <c r="C270" s="287"/>
      <c r="D270" s="289"/>
      <c r="E270" s="268"/>
      <c r="F270" s="267">
        <v>2011</v>
      </c>
      <c r="G270" s="317"/>
      <c r="H270" s="139" t="s">
        <v>113</v>
      </c>
      <c r="I270" s="140"/>
      <c r="J270" s="141"/>
      <c r="K270" s="142">
        <f t="shared" si="56"/>
        <v>0</v>
      </c>
      <c r="L270" s="142"/>
      <c r="M270" s="142"/>
      <c r="N270" s="142"/>
      <c r="O270" s="142"/>
      <c r="P270" s="194"/>
      <c r="Q270" s="194"/>
      <c r="R270" s="194"/>
      <c r="S270" s="194"/>
      <c r="T270" s="195"/>
      <c r="U270" s="196"/>
    </row>
    <row r="271" spans="1:21" ht="12.75">
      <c r="A271" s="285"/>
      <c r="B271" s="287"/>
      <c r="C271" s="287"/>
      <c r="D271" s="289"/>
      <c r="E271" s="268"/>
      <c r="F271" s="267"/>
      <c r="G271" s="145" t="s">
        <v>114</v>
      </c>
      <c r="H271" s="139" t="s">
        <v>115</v>
      </c>
      <c r="I271" s="140"/>
      <c r="J271" s="141"/>
      <c r="K271" s="142">
        <f t="shared" si="56"/>
        <v>0</v>
      </c>
      <c r="L271" s="142"/>
      <c r="M271" s="142"/>
      <c r="N271" s="142"/>
      <c r="O271" s="142"/>
      <c r="P271" s="194"/>
      <c r="Q271" s="194"/>
      <c r="R271" s="194"/>
      <c r="S271" s="194"/>
      <c r="T271" s="195"/>
      <c r="U271" s="196"/>
    </row>
    <row r="272" spans="1:21" ht="12.75">
      <c r="A272" s="285"/>
      <c r="B272" s="287"/>
      <c r="C272" s="287"/>
      <c r="D272" s="289"/>
      <c r="E272" s="268"/>
      <c r="F272" s="267"/>
      <c r="G272" s="281">
        <f>G266+G269</f>
        <v>4286</v>
      </c>
      <c r="H272" s="139" t="s">
        <v>116</v>
      </c>
      <c r="I272" s="140"/>
      <c r="J272" s="141"/>
      <c r="K272" s="142">
        <f t="shared" si="56"/>
        <v>0</v>
      </c>
      <c r="L272" s="142"/>
      <c r="M272" s="142"/>
      <c r="N272" s="142"/>
      <c r="O272" s="142"/>
      <c r="P272" s="194"/>
      <c r="Q272" s="194"/>
      <c r="R272" s="194"/>
      <c r="S272" s="194"/>
      <c r="T272" s="195"/>
      <c r="U272" s="196"/>
    </row>
    <row r="273" spans="1:21" ht="12.75">
      <c r="A273" s="285"/>
      <c r="B273" s="287"/>
      <c r="C273" s="287"/>
      <c r="D273" s="289"/>
      <c r="E273" s="268"/>
      <c r="F273" s="267"/>
      <c r="G273" s="282"/>
      <c r="H273" s="139" t="s">
        <v>117</v>
      </c>
      <c r="I273" s="146">
        <f>I265+I267+I269+I271</f>
        <v>0</v>
      </c>
      <c r="J273" s="147">
        <f>J265+J267+J269+J271</f>
        <v>0</v>
      </c>
      <c r="K273" s="148">
        <f t="shared" si="56"/>
        <v>0</v>
      </c>
      <c r="L273" s="148">
        <f aca="true" t="shared" si="61" ref="L273:O274">L265+L267+L269+L271</f>
        <v>4286</v>
      </c>
      <c r="M273" s="148">
        <f t="shared" si="61"/>
        <v>0</v>
      </c>
      <c r="N273" s="148">
        <f t="shared" si="61"/>
        <v>0</v>
      </c>
      <c r="O273" s="148">
        <f t="shared" si="61"/>
        <v>0</v>
      </c>
      <c r="P273" s="194"/>
      <c r="Q273" s="194"/>
      <c r="R273" s="194"/>
      <c r="S273" s="194"/>
      <c r="T273" s="195"/>
      <c r="U273" s="196"/>
    </row>
    <row r="274" spans="1:21" ht="13.5" thickBot="1">
      <c r="A274" s="285"/>
      <c r="B274" s="287"/>
      <c r="C274" s="287"/>
      <c r="D274" s="290"/>
      <c r="E274" s="265"/>
      <c r="F274" s="310"/>
      <c r="G274" s="283"/>
      <c r="H274" s="150" t="s">
        <v>118</v>
      </c>
      <c r="I274" s="151">
        <f>I266+I268+I270+I272</f>
        <v>0</v>
      </c>
      <c r="J274" s="152">
        <f>J266+J268+J270+J272</f>
        <v>0</v>
      </c>
      <c r="K274" s="153">
        <f t="shared" si="56"/>
        <v>0</v>
      </c>
      <c r="L274" s="153">
        <f t="shared" si="61"/>
        <v>0</v>
      </c>
      <c r="M274" s="153">
        <f t="shared" si="61"/>
        <v>0</v>
      </c>
      <c r="N274" s="153">
        <f t="shared" si="61"/>
        <v>0</v>
      </c>
      <c r="O274" s="153">
        <f t="shared" si="61"/>
        <v>0</v>
      </c>
      <c r="P274" s="194"/>
      <c r="Q274" s="194"/>
      <c r="R274" s="194"/>
      <c r="S274" s="194"/>
      <c r="T274" s="195"/>
      <c r="U274" s="196"/>
    </row>
    <row r="275" spans="1:21" ht="12.75" customHeight="1">
      <c r="A275" s="284">
        <f>A255+1</f>
        <v>27</v>
      </c>
      <c r="B275" s="286">
        <v>801</v>
      </c>
      <c r="C275" s="286">
        <v>80130</v>
      </c>
      <c r="D275" s="323" t="s">
        <v>141</v>
      </c>
      <c r="E275" s="335" t="s">
        <v>155</v>
      </c>
      <c r="F275" s="321">
        <v>2010</v>
      </c>
      <c r="G275" s="132" t="s">
        <v>106</v>
      </c>
      <c r="H275" s="133" t="s">
        <v>107</v>
      </c>
      <c r="I275" s="134"/>
      <c r="J275" s="135"/>
      <c r="K275" s="136">
        <f t="shared" si="56"/>
        <v>0</v>
      </c>
      <c r="L275" s="136"/>
      <c r="M275" s="136"/>
      <c r="N275" s="136"/>
      <c r="O275" s="136"/>
      <c r="P275" s="136"/>
      <c r="Q275" s="136"/>
      <c r="R275" s="136"/>
      <c r="S275" s="136"/>
      <c r="T275" s="137"/>
      <c r="U275" s="322">
        <f>M283+N283+O283+P283+Q283+R283+S283+M284+N284+O284+P284+Q284+R284+T283+T284+S284</f>
        <v>15254</v>
      </c>
    </row>
    <row r="276" spans="1:21" ht="12.75">
      <c r="A276" s="285"/>
      <c r="B276" s="287"/>
      <c r="C276" s="287"/>
      <c r="D276" s="319"/>
      <c r="E276" s="268"/>
      <c r="F276" s="267"/>
      <c r="G276" s="281">
        <f>SUM(K283:T283)</f>
        <v>76182</v>
      </c>
      <c r="H276" s="139" t="s">
        <v>108</v>
      </c>
      <c r="I276" s="140"/>
      <c r="J276" s="141"/>
      <c r="K276" s="142">
        <f t="shared" si="56"/>
        <v>0</v>
      </c>
      <c r="L276" s="142"/>
      <c r="M276" s="142"/>
      <c r="N276" s="142"/>
      <c r="O276" s="142"/>
      <c r="P276" s="142"/>
      <c r="Q276" s="142"/>
      <c r="R276" s="142"/>
      <c r="S276" s="142"/>
      <c r="T276" s="143"/>
      <c r="U276" s="264"/>
    </row>
    <row r="277" spans="1:21" ht="12.75">
      <c r="A277" s="285"/>
      <c r="B277" s="287"/>
      <c r="C277" s="287"/>
      <c r="D277" s="319"/>
      <c r="E277" s="268"/>
      <c r="F277" s="267"/>
      <c r="G277" s="317"/>
      <c r="H277" s="139" t="s">
        <v>109</v>
      </c>
      <c r="I277" s="140"/>
      <c r="J277" s="141"/>
      <c r="K277" s="142">
        <f t="shared" si="56"/>
        <v>0</v>
      </c>
      <c r="L277" s="142"/>
      <c r="M277" s="142"/>
      <c r="N277" s="142"/>
      <c r="O277" s="142"/>
      <c r="P277" s="142"/>
      <c r="Q277" s="142"/>
      <c r="R277" s="142"/>
      <c r="S277" s="142"/>
      <c r="T277" s="143"/>
      <c r="U277" s="264"/>
    </row>
    <row r="278" spans="1:21" ht="12.75">
      <c r="A278" s="285"/>
      <c r="B278" s="287"/>
      <c r="C278" s="287"/>
      <c r="D278" s="319"/>
      <c r="E278" s="268"/>
      <c r="F278" s="267"/>
      <c r="G278" s="145" t="s">
        <v>110</v>
      </c>
      <c r="H278" s="139" t="s">
        <v>111</v>
      </c>
      <c r="I278" s="140"/>
      <c r="J278" s="141"/>
      <c r="K278" s="142">
        <f aca="true" t="shared" si="62" ref="K278:K309">SUM(I278:J278)</f>
        <v>0</v>
      </c>
      <c r="L278" s="142"/>
      <c r="M278" s="142"/>
      <c r="N278" s="142"/>
      <c r="O278" s="142"/>
      <c r="P278" s="142"/>
      <c r="Q278" s="142"/>
      <c r="R278" s="142"/>
      <c r="S278" s="142"/>
      <c r="T278" s="143"/>
      <c r="U278" s="264"/>
    </row>
    <row r="279" spans="1:21" ht="12.75">
      <c r="A279" s="285"/>
      <c r="B279" s="287"/>
      <c r="C279" s="287"/>
      <c r="D279" s="319"/>
      <c r="E279" s="268"/>
      <c r="F279" s="267"/>
      <c r="G279" s="281">
        <f>SUM(K284:T284)</f>
        <v>0</v>
      </c>
      <c r="H279" s="139" t="s">
        <v>112</v>
      </c>
      <c r="I279" s="140">
        <f>62400-62400</f>
        <v>0</v>
      </c>
      <c r="J279" s="141">
        <v>6018</v>
      </c>
      <c r="K279" s="142">
        <f t="shared" si="62"/>
        <v>6018</v>
      </c>
      <c r="L279" s="142">
        <v>54910</v>
      </c>
      <c r="M279" s="142">
        <v>15254</v>
      </c>
      <c r="N279" s="142"/>
      <c r="O279" s="142"/>
      <c r="P279" s="142"/>
      <c r="Q279" s="142"/>
      <c r="R279" s="142"/>
      <c r="S279" s="142"/>
      <c r="T279" s="143"/>
      <c r="U279" s="264"/>
    </row>
    <row r="280" spans="1:21" ht="12.75">
      <c r="A280" s="285"/>
      <c r="B280" s="287"/>
      <c r="C280" s="287"/>
      <c r="D280" s="319"/>
      <c r="E280" s="268"/>
      <c r="F280" s="267">
        <v>2012</v>
      </c>
      <c r="G280" s="317"/>
      <c r="H280" s="139" t="s">
        <v>113</v>
      </c>
      <c r="I280" s="140"/>
      <c r="J280" s="141"/>
      <c r="K280" s="142">
        <f t="shared" si="62"/>
        <v>0</v>
      </c>
      <c r="L280" s="142"/>
      <c r="M280" s="142"/>
      <c r="N280" s="142"/>
      <c r="O280" s="142"/>
      <c r="P280" s="142"/>
      <c r="Q280" s="142"/>
      <c r="R280" s="142"/>
      <c r="S280" s="142"/>
      <c r="T280" s="143"/>
      <c r="U280" s="264"/>
    </row>
    <row r="281" spans="1:21" ht="12.75">
      <c r="A281" s="285"/>
      <c r="B281" s="287"/>
      <c r="C281" s="287"/>
      <c r="D281" s="319"/>
      <c r="E281" s="268"/>
      <c r="F281" s="267"/>
      <c r="G281" s="145" t="s">
        <v>114</v>
      </c>
      <c r="H281" s="139" t="s">
        <v>115</v>
      </c>
      <c r="I281" s="140"/>
      <c r="J281" s="141"/>
      <c r="K281" s="142">
        <f t="shared" si="62"/>
        <v>0</v>
      </c>
      <c r="L281" s="142"/>
      <c r="M281" s="142"/>
      <c r="N281" s="142"/>
      <c r="O281" s="142"/>
      <c r="P281" s="142"/>
      <c r="Q281" s="142"/>
      <c r="R281" s="142"/>
      <c r="S281" s="142"/>
      <c r="T281" s="143"/>
      <c r="U281" s="264"/>
    </row>
    <row r="282" spans="1:21" ht="12.75">
      <c r="A282" s="285"/>
      <c r="B282" s="287"/>
      <c r="C282" s="287"/>
      <c r="D282" s="319"/>
      <c r="E282" s="268"/>
      <c r="F282" s="267"/>
      <c r="G282" s="281">
        <f>G276+G279</f>
        <v>76182</v>
      </c>
      <c r="H282" s="139" t="s">
        <v>116</v>
      </c>
      <c r="I282" s="140"/>
      <c r="J282" s="141"/>
      <c r="K282" s="142">
        <f t="shared" si="62"/>
        <v>0</v>
      </c>
      <c r="L282" s="142"/>
      <c r="M282" s="142"/>
      <c r="N282" s="142"/>
      <c r="O282" s="142"/>
      <c r="P282" s="142"/>
      <c r="Q282" s="142"/>
      <c r="R282" s="142"/>
      <c r="S282" s="142"/>
      <c r="T282" s="143"/>
      <c r="U282" s="264"/>
    </row>
    <row r="283" spans="1:21" ht="12.75">
      <c r="A283" s="285"/>
      <c r="B283" s="287"/>
      <c r="C283" s="287"/>
      <c r="D283" s="319"/>
      <c r="E283" s="268"/>
      <c r="F283" s="267"/>
      <c r="G283" s="282"/>
      <c r="H283" s="139" t="s">
        <v>117</v>
      </c>
      <c r="I283" s="146">
        <f>I275+I277+I279+I281</f>
        <v>0</v>
      </c>
      <c r="J283" s="147">
        <f>J275+J277+J279+J281</f>
        <v>6018</v>
      </c>
      <c r="K283" s="148">
        <f t="shared" si="62"/>
        <v>6018</v>
      </c>
      <c r="L283" s="148">
        <f aca="true" t="shared" si="63" ref="L283:T283">L275+L277+L279+L281</f>
        <v>54910</v>
      </c>
      <c r="M283" s="148">
        <f t="shared" si="63"/>
        <v>15254</v>
      </c>
      <c r="N283" s="148">
        <f t="shared" si="63"/>
        <v>0</v>
      </c>
      <c r="O283" s="148">
        <f t="shared" si="63"/>
        <v>0</v>
      </c>
      <c r="P283" s="148">
        <f t="shared" si="63"/>
        <v>0</v>
      </c>
      <c r="Q283" s="148">
        <f t="shared" si="63"/>
        <v>0</v>
      </c>
      <c r="R283" s="148">
        <f t="shared" si="63"/>
        <v>0</v>
      </c>
      <c r="S283" s="148">
        <f t="shared" si="63"/>
        <v>0</v>
      </c>
      <c r="T283" s="149">
        <f t="shared" si="63"/>
        <v>0</v>
      </c>
      <c r="U283" s="264"/>
    </row>
    <row r="284" spans="1:21" ht="13.5" thickBot="1">
      <c r="A284" s="285"/>
      <c r="B284" s="287"/>
      <c r="C284" s="318"/>
      <c r="D284" s="320"/>
      <c r="E284" s="265"/>
      <c r="F284" s="310"/>
      <c r="G284" s="283"/>
      <c r="H284" s="150" t="s">
        <v>118</v>
      </c>
      <c r="I284" s="151">
        <f>I276+I278+I280+I282</f>
        <v>0</v>
      </c>
      <c r="J284" s="152">
        <f>J276+J278+J280+J282</f>
        <v>0</v>
      </c>
      <c r="K284" s="153">
        <f t="shared" si="62"/>
        <v>0</v>
      </c>
      <c r="L284" s="153">
        <f aca="true" t="shared" si="64" ref="L284:T284">L276+L278+L280+L282</f>
        <v>0</v>
      </c>
      <c r="M284" s="153">
        <f t="shared" si="64"/>
        <v>0</v>
      </c>
      <c r="N284" s="153">
        <f t="shared" si="64"/>
        <v>0</v>
      </c>
      <c r="O284" s="153">
        <f t="shared" si="64"/>
        <v>0</v>
      </c>
      <c r="P284" s="153">
        <f t="shared" si="64"/>
        <v>0</v>
      </c>
      <c r="Q284" s="153">
        <f t="shared" si="64"/>
        <v>0</v>
      </c>
      <c r="R284" s="153">
        <f t="shared" si="64"/>
        <v>0</v>
      </c>
      <c r="S284" s="153">
        <f t="shared" si="64"/>
        <v>0</v>
      </c>
      <c r="T284" s="154">
        <f t="shared" si="64"/>
        <v>0</v>
      </c>
      <c r="U284" s="307"/>
    </row>
    <row r="285" spans="1:21" ht="12.75" customHeight="1">
      <c r="A285" s="284">
        <f>A275+1</f>
        <v>28</v>
      </c>
      <c r="B285" s="286">
        <v>801</v>
      </c>
      <c r="C285" s="286">
        <v>80130</v>
      </c>
      <c r="D285" s="323" t="s">
        <v>149</v>
      </c>
      <c r="E285" s="335" t="s">
        <v>155</v>
      </c>
      <c r="F285" s="321">
        <v>2011</v>
      </c>
      <c r="G285" s="132" t="s">
        <v>106</v>
      </c>
      <c r="H285" s="133" t="s">
        <v>107</v>
      </c>
      <c r="I285" s="134"/>
      <c r="J285" s="135"/>
      <c r="K285" s="136">
        <f t="shared" si="62"/>
        <v>0</v>
      </c>
      <c r="L285" s="136"/>
      <c r="M285" s="136"/>
      <c r="N285" s="136"/>
      <c r="O285" s="136"/>
      <c r="P285" s="136"/>
      <c r="Q285" s="136"/>
      <c r="R285" s="136"/>
      <c r="S285" s="136"/>
      <c r="T285" s="137"/>
      <c r="U285" s="322">
        <f>M293+N293+O293+P293+Q293+R293+S293+M294+N294+O294+P294+Q294+R294+T293+T294+S294</f>
        <v>0</v>
      </c>
    </row>
    <row r="286" spans="1:21" ht="12.75">
      <c r="A286" s="285"/>
      <c r="B286" s="287"/>
      <c r="C286" s="287"/>
      <c r="D286" s="319"/>
      <c r="E286" s="268"/>
      <c r="F286" s="267"/>
      <c r="G286" s="281">
        <f>SUM(K293:T293)</f>
        <v>50688</v>
      </c>
      <c r="H286" s="139" t="s">
        <v>108</v>
      </c>
      <c r="I286" s="140"/>
      <c r="J286" s="141"/>
      <c r="K286" s="142">
        <f t="shared" si="62"/>
        <v>0</v>
      </c>
      <c r="L286" s="142"/>
      <c r="M286" s="142"/>
      <c r="N286" s="142"/>
      <c r="O286" s="142"/>
      <c r="P286" s="142"/>
      <c r="Q286" s="142"/>
      <c r="R286" s="142"/>
      <c r="S286" s="142"/>
      <c r="T286" s="143"/>
      <c r="U286" s="264"/>
    </row>
    <row r="287" spans="1:21" ht="12.75">
      <c r="A287" s="285"/>
      <c r="B287" s="287"/>
      <c r="C287" s="287"/>
      <c r="D287" s="319"/>
      <c r="E287" s="268"/>
      <c r="F287" s="267"/>
      <c r="G287" s="317"/>
      <c r="H287" s="139" t="s">
        <v>109</v>
      </c>
      <c r="I287" s="140"/>
      <c r="J287" s="141"/>
      <c r="K287" s="142">
        <f t="shared" si="62"/>
        <v>0</v>
      </c>
      <c r="L287" s="142"/>
      <c r="M287" s="142"/>
      <c r="N287" s="142"/>
      <c r="O287" s="142"/>
      <c r="P287" s="142"/>
      <c r="Q287" s="142"/>
      <c r="R287" s="142"/>
      <c r="S287" s="142"/>
      <c r="T287" s="143"/>
      <c r="U287" s="264"/>
    </row>
    <row r="288" spans="1:21" ht="12.75">
      <c r="A288" s="285"/>
      <c r="B288" s="287"/>
      <c r="C288" s="287"/>
      <c r="D288" s="319"/>
      <c r="E288" s="268"/>
      <c r="F288" s="267"/>
      <c r="G288" s="145" t="s">
        <v>110</v>
      </c>
      <c r="H288" s="139" t="s">
        <v>111</v>
      </c>
      <c r="I288" s="140"/>
      <c r="J288" s="141"/>
      <c r="K288" s="142">
        <f t="shared" si="62"/>
        <v>0</v>
      </c>
      <c r="L288" s="142"/>
      <c r="M288" s="142"/>
      <c r="N288" s="142"/>
      <c r="O288" s="142"/>
      <c r="P288" s="142"/>
      <c r="Q288" s="142"/>
      <c r="R288" s="142"/>
      <c r="S288" s="142"/>
      <c r="T288" s="143"/>
      <c r="U288" s="264"/>
    </row>
    <row r="289" spans="1:21" ht="12.75">
      <c r="A289" s="285"/>
      <c r="B289" s="287"/>
      <c r="C289" s="287"/>
      <c r="D289" s="319"/>
      <c r="E289" s="268"/>
      <c r="F289" s="267"/>
      <c r="G289" s="281">
        <f>SUM(K294:T294)</f>
        <v>0</v>
      </c>
      <c r="H289" s="139" t="s">
        <v>112</v>
      </c>
      <c r="I289" s="140">
        <f>24550-24550</f>
        <v>0</v>
      </c>
      <c r="J289" s="141"/>
      <c r="K289" s="142">
        <f t="shared" si="62"/>
        <v>0</v>
      </c>
      <c r="L289" s="142">
        <v>50688</v>
      </c>
      <c r="M289" s="142"/>
      <c r="N289" s="142"/>
      <c r="O289" s="142"/>
      <c r="P289" s="142"/>
      <c r="Q289" s="142"/>
      <c r="R289" s="142"/>
      <c r="S289" s="142"/>
      <c r="T289" s="143"/>
      <c r="U289" s="264"/>
    </row>
    <row r="290" spans="1:21" ht="12.75">
      <c r="A290" s="285"/>
      <c r="B290" s="287"/>
      <c r="C290" s="287"/>
      <c r="D290" s="319"/>
      <c r="E290" s="268"/>
      <c r="F290" s="267">
        <v>2011</v>
      </c>
      <c r="G290" s="317"/>
      <c r="H290" s="139" t="s">
        <v>113</v>
      </c>
      <c r="I290" s="140"/>
      <c r="J290" s="141"/>
      <c r="K290" s="142">
        <f t="shared" si="62"/>
        <v>0</v>
      </c>
      <c r="L290" s="142"/>
      <c r="M290" s="142"/>
      <c r="N290" s="142"/>
      <c r="O290" s="142"/>
      <c r="P290" s="142"/>
      <c r="Q290" s="142"/>
      <c r="R290" s="142"/>
      <c r="S290" s="142"/>
      <c r="T290" s="143"/>
      <c r="U290" s="264"/>
    </row>
    <row r="291" spans="1:21" ht="12.75">
      <c r="A291" s="285"/>
      <c r="B291" s="287"/>
      <c r="C291" s="287"/>
      <c r="D291" s="319"/>
      <c r="E291" s="268"/>
      <c r="F291" s="267"/>
      <c r="G291" s="145" t="s">
        <v>114</v>
      </c>
      <c r="H291" s="139" t="s">
        <v>115</v>
      </c>
      <c r="I291" s="140"/>
      <c r="J291" s="141"/>
      <c r="K291" s="142">
        <f t="shared" si="62"/>
        <v>0</v>
      </c>
      <c r="L291" s="142"/>
      <c r="M291" s="142"/>
      <c r="N291" s="142"/>
      <c r="O291" s="142"/>
      <c r="P291" s="142"/>
      <c r="Q291" s="142"/>
      <c r="R291" s="142"/>
      <c r="S291" s="142"/>
      <c r="T291" s="143"/>
      <c r="U291" s="264"/>
    </row>
    <row r="292" spans="1:21" ht="12.75">
      <c r="A292" s="285"/>
      <c r="B292" s="287"/>
      <c r="C292" s="287"/>
      <c r="D292" s="319"/>
      <c r="E292" s="268"/>
      <c r="F292" s="267"/>
      <c r="G292" s="281">
        <f>G286+G289</f>
        <v>50688</v>
      </c>
      <c r="H292" s="139" t="s">
        <v>116</v>
      </c>
      <c r="I292" s="140"/>
      <c r="J292" s="141"/>
      <c r="K292" s="142">
        <f t="shared" si="62"/>
        <v>0</v>
      </c>
      <c r="L292" s="142"/>
      <c r="M292" s="142"/>
      <c r="N292" s="142"/>
      <c r="O292" s="142"/>
      <c r="P292" s="142"/>
      <c r="Q292" s="142"/>
      <c r="R292" s="142"/>
      <c r="S292" s="142"/>
      <c r="T292" s="143"/>
      <c r="U292" s="264"/>
    </row>
    <row r="293" spans="1:21" ht="12.75">
      <c r="A293" s="285"/>
      <c r="B293" s="287"/>
      <c r="C293" s="287"/>
      <c r="D293" s="319"/>
      <c r="E293" s="268"/>
      <c r="F293" s="267"/>
      <c r="G293" s="282"/>
      <c r="H293" s="139" t="s">
        <v>117</v>
      </c>
      <c r="I293" s="146">
        <f>I285+I287+I289+I291</f>
        <v>0</v>
      </c>
      <c r="J293" s="147">
        <f>J285+J287+J289+J291</f>
        <v>0</v>
      </c>
      <c r="K293" s="148">
        <f t="shared" si="62"/>
        <v>0</v>
      </c>
      <c r="L293" s="148">
        <f aca="true" t="shared" si="65" ref="L293:T293">L285+L287+L289+L291</f>
        <v>50688</v>
      </c>
      <c r="M293" s="148">
        <f t="shared" si="65"/>
        <v>0</v>
      </c>
      <c r="N293" s="148">
        <f t="shared" si="65"/>
        <v>0</v>
      </c>
      <c r="O293" s="148">
        <f t="shared" si="65"/>
        <v>0</v>
      </c>
      <c r="P293" s="148">
        <f t="shared" si="65"/>
        <v>0</v>
      </c>
      <c r="Q293" s="148">
        <f t="shared" si="65"/>
        <v>0</v>
      </c>
      <c r="R293" s="148">
        <f t="shared" si="65"/>
        <v>0</v>
      </c>
      <c r="S293" s="148">
        <f t="shared" si="65"/>
        <v>0</v>
      </c>
      <c r="T293" s="149">
        <f t="shared" si="65"/>
        <v>0</v>
      </c>
      <c r="U293" s="264"/>
    </row>
    <row r="294" spans="1:21" ht="13.5" thickBot="1">
      <c r="A294" s="313"/>
      <c r="B294" s="287"/>
      <c r="C294" s="318"/>
      <c r="D294" s="320"/>
      <c r="E294" s="265"/>
      <c r="F294" s="310"/>
      <c r="G294" s="283"/>
      <c r="H294" s="150" t="s">
        <v>118</v>
      </c>
      <c r="I294" s="151">
        <f>I286+I288+I290+I292</f>
        <v>0</v>
      </c>
      <c r="J294" s="152">
        <f>J286+J288+J290+J292</f>
        <v>0</v>
      </c>
      <c r="K294" s="153">
        <f t="shared" si="62"/>
        <v>0</v>
      </c>
      <c r="L294" s="153">
        <f aca="true" t="shared" si="66" ref="L294:T294">L286+L288+L290+L292</f>
        <v>0</v>
      </c>
      <c r="M294" s="153">
        <f t="shared" si="66"/>
        <v>0</v>
      </c>
      <c r="N294" s="153">
        <f t="shared" si="66"/>
        <v>0</v>
      </c>
      <c r="O294" s="153">
        <f t="shared" si="66"/>
        <v>0</v>
      </c>
      <c r="P294" s="153">
        <f t="shared" si="66"/>
        <v>0</v>
      </c>
      <c r="Q294" s="153">
        <f t="shared" si="66"/>
        <v>0</v>
      </c>
      <c r="R294" s="153">
        <f t="shared" si="66"/>
        <v>0</v>
      </c>
      <c r="S294" s="153">
        <f t="shared" si="66"/>
        <v>0</v>
      </c>
      <c r="T294" s="154">
        <f t="shared" si="66"/>
        <v>0</v>
      </c>
      <c r="U294" s="307"/>
    </row>
    <row r="295" spans="1:21" ht="12.75">
      <c r="A295" s="284">
        <f>A285+1</f>
        <v>29</v>
      </c>
      <c r="B295" s="286">
        <v>801</v>
      </c>
      <c r="C295" s="286">
        <v>80130</v>
      </c>
      <c r="D295" s="323" t="s">
        <v>156</v>
      </c>
      <c r="E295" s="335" t="s">
        <v>157</v>
      </c>
      <c r="F295" s="321">
        <v>2011</v>
      </c>
      <c r="G295" s="132" t="s">
        <v>106</v>
      </c>
      <c r="H295" s="133" t="s">
        <v>107</v>
      </c>
      <c r="I295" s="134"/>
      <c r="J295" s="135"/>
      <c r="K295" s="136">
        <f t="shared" si="62"/>
        <v>0</v>
      </c>
      <c r="L295" s="136"/>
      <c r="M295" s="136"/>
      <c r="N295" s="136"/>
      <c r="O295" s="136"/>
      <c r="P295" s="136"/>
      <c r="Q295" s="136"/>
      <c r="R295" s="136"/>
      <c r="S295" s="136"/>
      <c r="T295" s="137"/>
      <c r="U295" s="322">
        <f>M303+N303+O303+P303+Q303+R303+S303+M304+N304+O304+P304+Q304+R304+T303+T304+S304</f>
        <v>0</v>
      </c>
    </row>
    <row r="296" spans="1:21" s="197" customFormat="1" ht="12.75" customHeight="1">
      <c r="A296" s="285"/>
      <c r="B296" s="287"/>
      <c r="C296" s="287"/>
      <c r="D296" s="319"/>
      <c r="E296" s="268"/>
      <c r="F296" s="267"/>
      <c r="G296" s="281">
        <f>SUM(K303:T303)</f>
        <v>6583</v>
      </c>
      <c r="H296" s="139" t="s">
        <v>108</v>
      </c>
      <c r="I296" s="140"/>
      <c r="J296" s="141"/>
      <c r="K296" s="142">
        <f t="shared" si="62"/>
        <v>0</v>
      </c>
      <c r="L296" s="142"/>
      <c r="M296" s="142"/>
      <c r="N296" s="142"/>
      <c r="O296" s="142"/>
      <c r="P296" s="142"/>
      <c r="Q296" s="142"/>
      <c r="R296" s="142"/>
      <c r="S296" s="142"/>
      <c r="T296" s="143"/>
      <c r="U296" s="264"/>
    </row>
    <row r="297" spans="1:21" s="197" customFormat="1" ht="12.75" customHeight="1">
      <c r="A297" s="285"/>
      <c r="B297" s="287"/>
      <c r="C297" s="287"/>
      <c r="D297" s="319"/>
      <c r="E297" s="268"/>
      <c r="F297" s="267"/>
      <c r="G297" s="317"/>
      <c r="H297" s="139" t="s">
        <v>109</v>
      </c>
      <c r="I297" s="140"/>
      <c r="J297" s="141"/>
      <c r="K297" s="142">
        <f t="shared" si="62"/>
        <v>0</v>
      </c>
      <c r="L297" s="142"/>
      <c r="M297" s="142"/>
      <c r="N297" s="142"/>
      <c r="O297" s="142"/>
      <c r="P297" s="142"/>
      <c r="Q297" s="142"/>
      <c r="R297" s="142"/>
      <c r="S297" s="142"/>
      <c r="T297" s="143"/>
      <c r="U297" s="264"/>
    </row>
    <row r="298" spans="1:21" ht="12.75">
      <c r="A298" s="285"/>
      <c r="B298" s="287"/>
      <c r="C298" s="287"/>
      <c r="D298" s="319"/>
      <c r="E298" s="268"/>
      <c r="F298" s="267"/>
      <c r="G298" s="145" t="s">
        <v>110</v>
      </c>
      <c r="H298" s="139" t="s">
        <v>111</v>
      </c>
      <c r="I298" s="140"/>
      <c r="J298" s="141"/>
      <c r="K298" s="142">
        <f t="shared" si="62"/>
        <v>0</v>
      </c>
      <c r="L298" s="142"/>
      <c r="M298" s="142"/>
      <c r="N298" s="142"/>
      <c r="O298" s="142"/>
      <c r="P298" s="142"/>
      <c r="Q298" s="142"/>
      <c r="R298" s="142"/>
      <c r="S298" s="142"/>
      <c r="T298" s="143"/>
      <c r="U298" s="264"/>
    </row>
    <row r="299" spans="1:21" ht="12.75">
      <c r="A299" s="285"/>
      <c r="B299" s="287"/>
      <c r="C299" s="287"/>
      <c r="D299" s="319"/>
      <c r="E299" s="268"/>
      <c r="F299" s="267"/>
      <c r="G299" s="281">
        <f>SUM(K304:T304)</f>
        <v>0</v>
      </c>
      <c r="H299" s="139" t="s">
        <v>112</v>
      </c>
      <c r="I299" s="140">
        <f>24550-24550</f>
        <v>0</v>
      </c>
      <c r="J299" s="141"/>
      <c r="K299" s="142">
        <f t="shared" si="62"/>
        <v>0</v>
      </c>
      <c r="L299" s="142">
        <v>6583</v>
      </c>
      <c r="M299" s="142"/>
      <c r="N299" s="142"/>
      <c r="O299" s="142"/>
      <c r="P299" s="142"/>
      <c r="Q299" s="142"/>
      <c r="R299" s="142"/>
      <c r="S299" s="142"/>
      <c r="T299" s="143"/>
      <c r="U299" s="264"/>
    </row>
    <row r="300" spans="1:21" ht="12.75">
      <c r="A300" s="285"/>
      <c r="B300" s="287"/>
      <c r="C300" s="287"/>
      <c r="D300" s="319"/>
      <c r="E300" s="268"/>
      <c r="F300" s="267">
        <v>2011</v>
      </c>
      <c r="G300" s="317"/>
      <c r="H300" s="139" t="s">
        <v>113</v>
      </c>
      <c r="I300" s="140"/>
      <c r="J300" s="141"/>
      <c r="K300" s="142">
        <f t="shared" si="62"/>
        <v>0</v>
      </c>
      <c r="L300" s="142"/>
      <c r="M300" s="142"/>
      <c r="N300" s="142"/>
      <c r="O300" s="142"/>
      <c r="P300" s="142"/>
      <c r="Q300" s="142"/>
      <c r="R300" s="142"/>
      <c r="S300" s="142"/>
      <c r="T300" s="143"/>
      <c r="U300" s="264"/>
    </row>
    <row r="301" spans="1:21" ht="12.75">
      <c r="A301" s="285"/>
      <c r="B301" s="287"/>
      <c r="C301" s="287"/>
      <c r="D301" s="319"/>
      <c r="E301" s="268"/>
      <c r="F301" s="267"/>
      <c r="G301" s="145" t="s">
        <v>114</v>
      </c>
      <c r="H301" s="139" t="s">
        <v>115</v>
      </c>
      <c r="I301" s="140"/>
      <c r="J301" s="141"/>
      <c r="K301" s="142">
        <f t="shared" si="62"/>
        <v>0</v>
      </c>
      <c r="L301" s="142"/>
      <c r="M301" s="142"/>
      <c r="N301" s="142"/>
      <c r="O301" s="142"/>
      <c r="P301" s="142"/>
      <c r="Q301" s="142"/>
      <c r="R301" s="142"/>
      <c r="S301" s="142"/>
      <c r="T301" s="143"/>
      <c r="U301" s="264"/>
    </row>
    <row r="302" spans="1:21" ht="12.75">
      <c r="A302" s="285"/>
      <c r="B302" s="287"/>
      <c r="C302" s="287"/>
      <c r="D302" s="319"/>
      <c r="E302" s="268"/>
      <c r="F302" s="267"/>
      <c r="G302" s="281">
        <f>G296+G299</f>
        <v>6583</v>
      </c>
      <c r="H302" s="139" t="s">
        <v>116</v>
      </c>
      <c r="I302" s="140"/>
      <c r="J302" s="141"/>
      <c r="K302" s="142">
        <f t="shared" si="62"/>
        <v>0</v>
      </c>
      <c r="L302" s="142"/>
      <c r="M302" s="142"/>
      <c r="N302" s="142"/>
      <c r="O302" s="142"/>
      <c r="P302" s="142"/>
      <c r="Q302" s="142"/>
      <c r="R302" s="142"/>
      <c r="S302" s="142"/>
      <c r="T302" s="143"/>
      <c r="U302" s="264"/>
    </row>
    <row r="303" spans="1:21" ht="12.75">
      <c r="A303" s="285"/>
      <c r="B303" s="287"/>
      <c r="C303" s="287"/>
      <c r="D303" s="319"/>
      <c r="E303" s="268"/>
      <c r="F303" s="267"/>
      <c r="G303" s="282"/>
      <c r="H303" s="139" t="s">
        <v>117</v>
      </c>
      <c r="I303" s="146">
        <f>I295+I297+I299+I301</f>
        <v>0</v>
      </c>
      <c r="J303" s="147">
        <f>J295+J297+J299+J301</f>
        <v>0</v>
      </c>
      <c r="K303" s="148">
        <f t="shared" si="62"/>
        <v>0</v>
      </c>
      <c r="L303" s="148">
        <f aca="true" t="shared" si="67" ref="L303:T303">L295+L297+L299+L301</f>
        <v>6583</v>
      </c>
      <c r="M303" s="148">
        <f t="shared" si="67"/>
        <v>0</v>
      </c>
      <c r="N303" s="148">
        <f t="shared" si="67"/>
        <v>0</v>
      </c>
      <c r="O303" s="148">
        <f t="shared" si="67"/>
        <v>0</v>
      </c>
      <c r="P303" s="148">
        <f t="shared" si="67"/>
        <v>0</v>
      </c>
      <c r="Q303" s="148">
        <f t="shared" si="67"/>
        <v>0</v>
      </c>
      <c r="R303" s="148">
        <f t="shared" si="67"/>
        <v>0</v>
      </c>
      <c r="S303" s="148">
        <f t="shared" si="67"/>
        <v>0</v>
      </c>
      <c r="T303" s="149">
        <f t="shared" si="67"/>
        <v>0</v>
      </c>
      <c r="U303" s="264"/>
    </row>
    <row r="304" spans="1:21" ht="13.5" thickBot="1">
      <c r="A304" s="285"/>
      <c r="B304" s="287"/>
      <c r="C304" s="318"/>
      <c r="D304" s="320"/>
      <c r="E304" s="265"/>
      <c r="F304" s="310"/>
      <c r="G304" s="283"/>
      <c r="H304" s="150" t="s">
        <v>118</v>
      </c>
      <c r="I304" s="151">
        <f>I296+I298+I300+I302</f>
        <v>0</v>
      </c>
      <c r="J304" s="152">
        <f>J296+J298+J300+J302</f>
        <v>0</v>
      </c>
      <c r="K304" s="153">
        <f t="shared" si="62"/>
        <v>0</v>
      </c>
      <c r="L304" s="153">
        <f aca="true" t="shared" si="68" ref="L304:T304">L296+L298+L300+L302</f>
        <v>0</v>
      </c>
      <c r="M304" s="153">
        <f t="shared" si="68"/>
        <v>0</v>
      </c>
      <c r="N304" s="153">
        <f t="shared" si="68"/>
        <v>0</v>
      </c>
      <c r="O304" s="153">
        <f t="shared" si="68"/>
        <v>0</v>
      </c>
      <c r="P304" s="153">
        <f t="shared" si="68"/>
        <v>0</v>
      </c>
      <c r="Q304" s="153">
        <f t="shared" si="68"/>
        <v>0</v>
      </c>
      <c r="R304" s="153">
        <f t="shared" si="68"/>
        <v>0</v>
      </c>
      <c r="S304" s="153">
        <f t="shared" si="68"/>
        <v>0</v>
      </c>
      <c r="T304" s="154">
        <f t="shared" si="68"/>
        <v>0</v>
      </c>
      <c r="U304" s="307"/>
    </row>
    <row r="305" spans="1:21" ht="12.75">
      <c r="A305" s="284">
        <f>A295+1</f>
        <v>30</v>
      </c>
      <c r="B305" s="286">
        <v>801</v>
      </c>
      <c r="C305" s="286">
        <v>80130</v>
      </c>
      <c r="D305" s="323" t="s">
        <v>156</v>
      </c>
      <c r="E305" s="335" t="s">
        <v>158</v>
      </c>
      <c r="F305" s="321">
        <v>2011</v>
      </c>
      <c r="G305" s="132" t="s">
        <v>106</v>
      </c>
      <c r="H305" s="133" t="s">
        <v>107</v>
      </c>
      <c r="I305" s="134"/>
      <c r="J305" s="135"/>
      <c r="K305" s="136">
        <f t="shared" si="62"/>
        <v>0</v>
      </c>
      <c r="L305" s="136"/>
      <c r="M305" s="136"/>
      <c r="N305" s="136"/>
      <c r="O305" s="136"/>
      <c r="P305" s="136"/>
      <c r="Q305" s="136"/>
      <c r="R305" s="136"/>
      <c r="S305" s="136"/>
      <c r="T305" s="137"/>
      <c r="U305" s="322">
        <f>M313+N313+O313+P313+Q313+R313+S313+M314+N314+O314+P314+Q314+R314+T313+T314+S314</f>
        <v>169254</v>
      </c>
    </row>
    <row r="306" spans="1:21" ht="12.75">
      <c r="A306" s="285"/>
      <c r="B306" s="287"/>
      <c r="C306" s="287"/>
      <c r="D306" s="319"/>
      <c r="E306" s="268"/>
      <c r="F306" s="267"/>
      <c r="G306" s="281">
        <f>SUM(K313:T313)</f>
        <v>423134</v>
      </c>
      <c r="H306" s="139" t="s">
        <v>108</v>
      </c>
      <c r="I306" s="140"/>
      <c r="J306" s="141"/>
      <c r="K306" s="142">
        <f t="shared" si="62"/>
        <v>0</v>
      </c>
      <c r="L306" s="142"/>
      <c r="M306" s="142"/>
      <c r="N306" s="142"/>
      <c r="O306" s="142"/>
      <c r="P306" s="142"/>
      <c r="Q306" s="142"/>
      <c r="R306" s="142"/>
      <c r="S306" s="142"/>
      <c r="T306" s="143"/>
      <c r="U306" s="264"/>
    </row>
    <row r="307" spans="1:21" ht="12.75">
      <c r="A307" s="285"/>
      <c r="B307" s="287"/>
      <c r="C307" s="287"/>
      <c r="D307" s="319"/>
      <c r="E307" s="268"/>
      <c r="F307" s="267"/>
      <c r="G307" s="317"/>
      <c r="H307" s="139" t="s">
        <v>109</v>
      </c>
      <c r="I307" s="140"/>
      <c r="J307" s="141"/>
      <c r="K307" s="142">
        <f t="shared" si="62"/>
        <v>0</v>
      </c>
      <c r="L307" s="142"/>
      <c r="M307" s="142"/>
      <c r="N307" s="142"/>
      <c r="O307" s="142"/>
      <c r="P307" s="142"/>
      <c r="Q307" s="142"/>
      <c r="R307" s="142"/>
      <c r="S307" s="142"/>
      <c r="T307" s="143"/>
      <c r="U307" s="264"/>
    </row>
    <row r="308" spans="1:21" ht="12.75">
      <c r="A308" s="285"/>
      <c r="B308" s="287"/>
      <c r="C308" s="287"/>
      <c r="D308" s="319"/>
      <c r="E308" s="268"/>
      <c r="F308" s="267"/>
      <c r="G308" s="145" t="s">
        <v>110</v>
      </c>
      <c r="H308" s="139" t="s">
        <v>111</v>
      </c>
      <c r="I308" s="140"/>
      <c r="J308" s="141"/>
      <c r="K308" s="142">
        <f t="shared" si="62"/>
        <v>0</v>
      </c>
      <c r="L308" s="142"/>
      <c r="M308" s="142"/>
      <c r="N308" s="142"/>
      <c r="O308" s="142"/>
      <c r="P308" s="142"/>
      <c r="Q308" s="142"/>
      <c r="R308" s="142"/>
      <c r="S308" s="142"/>
      <c r="T308" s="143"/>
      <c r="U308" s="264"/>
    </row>
    <row r="309" spans="1:21" ht="12.75">
      <c r="A309" s="285"/>
      <c r="B309" s="287"/>
      <c r="C309" s="287"/>
      <c r="D309" s="319"/>
      <c r="E309" s="268"/>
      <c r="F309" s="267"/>
      <c r="G309" s="281">
        <f>SUM(K314:T314)</f>
        <v>0</v>
      </c>
      <c r="H309" s="139" t="s">
        <v>112</v>
      </c>
      <c r="I309" s="140">
        <f>24550-24550</f>
        <v>0</v>
      </c>
      <c r="J309" s="141"/>
      <c r="K309" s="142">
        <f t="shared" si="62"/>
        <v>0</v>
      </c>
      <c r="L309" s="142">
        <v>253880</v>
      </c>
      <c r="M309" s="142">
        <v>169254</v>
      </c>
      <c r="N309" s="142"/>
      <c r="O309" s="142"/>
      <c r="P309" s="142"/>
      <c r="Q309" s="142"/>
      <c r="R309" s="142"/>
      <c r="S309" s="142"/>
      <c r="T309" s="143"/>
      <c r="U309" s="264"/>
    </row>
    <row r="310" spans="1:21" ht="12.75">
      <c r="A310" s="285"/>
      <c r="B310" s="287"/>
      <c r="C310" s="287"/>
      <c r="D310" s="319"/>
      <c r="E310" s="268"/>
      <c r="F310" s="267">
        <v>2012</v>
      </c>
      <c r="G310" s="317"/>
      <c r="H310" s="139" t="s">
        <v>113</v>
      </c>
      <c r="I310" s="140"/>
      <c r="J310" s="141"/>
      <c r="K310" s="142">
        <f aca="true" t="shared" si="69" ref="K310:K333">SUM(I310:J310)</f>
        <v>0</v>
      </c>
      <c r="L310" s="142"/>
      <c r="M310" s="142"/>
      <c r="N310" s="142"/>
      <c r="O310" s="142"/>
      <c r="P310" s="142"/>
      <c r="Q310" s="142"/>
      <c r="R310" s="142"/>
      <c r="S310" s="142"/>
      <c r="T310" s="143"/>
      <c r="U310" s="264"/>
    </row>
    <row r="311" spans="1:21" ht="12.75">
      <c r="A311" s="285"/>
      <c r="B311" s="287"/>
      <c r="C311" s="287"/>
      <c r="D311" s="319"/>
      <c r="E311" s="268"/>
      <c r="F311" s="267"/>
      <c r="G311" s="145" t="s">
        <v>114</v>
      </c>
      <c r="H311" s="139" t="s">
        <v>115</v>
      </c>
      <c r="I311" s="140"/>
      <c r="J311" s="141"/>
      <c r="K311" s="142">
        <f t="shared" si="69"/>
        <v>0</v>
      </c>
      <c r="L311" s="142"/>
      <c r="M311" s="142"/>
      <c r="N311" s="142"/>
      <c r="O311" s="142"/>
      <c r="P311" s="142"/>
      <c r="Q311" s="142"/>
      <c r="R311" s="142"/>
      <c r="S311" s="142"/>
      <c r="T311" s="143"/>
      <c r="U311" s="264"/>
    </row>
    <row r="312" spans="1:21" ht="12.75">
      <c r="A312" s="285"/>
      <c r="B312" s="287"/>
      <c r="C312" s="287"/>
      <c r="D312" s="319"/>
      <c r="E312" s="268"/>
      <c r="F312" s="267"/>
      <c r="G312" s="281">
        <f>G306+G309</f>
        <v>423134</v>
      </c>
      <c r="H312" s="139" t="s">
        <v>116</v>
      </c>
      <c r="I312" s="140"/>
      <c r="J312" s="141"/>
      <c r="K312" s="142">
        <f t="shared" si="69"/>
        <v>0</v>
      </c>
      <c r="L312" s="142"/>
      <c r="M312" s="142"/>
      <c r="N312" s="142"/>
      <c r="O312" s="142"/>
      <c r="P312" s="142"/>
      <c r="Q312" s="142"/>
      <c r="R312" s="142"/>
      <c r="S312" s="142"/>
      <c r="T312" s="143"/>
      <c r="U312" s="264"/>
    </row>
    <row r="313" spans="1:21" ht="12.75">
      <c r="A313" s="285"/>
      <c r="B313" s="287"/>
      <c r="C313" s="287"/>
      <c r="D313" s="319"/>
      <c r="E313" s="268"/>
      <c r="F313" s="267"/>
      <c r="G313" s="282"/>
      <c r="H313" s="139" t="s">
        <v>117</v>
      </c>
      <c r="I313" s="146">
        <f>I305+I307+I309+I311</f>
        <v>0</v>
      </c>
      <c r="J313" s="147">
        <f>J305+J307+J309+J311</f>
        <v>0</v>
      </c>
      <c r="K313" s="148">
        <f t="shared" si="69"/>
        <v>0</v>
      </c>
      <c r="L313" s="148">
        <f aca="true" t="shared" si="70" ref="L313:T313">L305+L307+L309+L311</f>
        <v>253880</v>
      </c>
      <c r="M313" s="148">
        <f t="shared" si="70"/>
        <v>169254</v>
      </c>
      <c r="N313" s="148">
        <f t="shared" si="70"/>
        <v>0</v>
      </c>
      <c r="O313" s="148">
        <f t="shared" si="70"/>
        <v>0</v>
      </c>
      <c r="P313" s="148">
        <f t="shared" si="70"/>
        <v>0</v>
      </c>
      <c r="Q313" s="148">
        <f t="shared" si="70"/>
        <v>0</v>
      </c>
      <c r="R313" s="148">
        <f t="shared" si="70"/>
        <v>0</v>
      </c>
      <c r="S313" s="148">
        <f t="shared" si="70"/>
        <v>0</v>
      </c>
      <c r="T313" s="149">
        <f t="shared" si="70"/>
        <v>0</v>
      </c>
      <c r="U313" s="264"/>
    </row>
    <row r="314" spans="1:21" ht="13.5" thickBot="1">
      <c r="A314" s="285"/>
      <c r="B314" s="287"/>
      <c r="C314" s="318"/>
      <c r="D314" s="320"/>
      <c r="E314" s="265"/>
      <c r="F314" s="310"/>
      <c r="G314" s="283"/>
      <c r="H314" s="150" t="s">
        <v>118</v>
      </c>
      <c r="I314" s="151">
        <f>I306+I308+I310+I312</f>
        <v>0</v>
      </c>
      <c r="J314" s="152">
        <f>J306+J308+J310+J312</f>
        <v>0</v>
      </c>
      <c r="K314" s="153">
        <f t="shared" si="69"/>
        <v>0</v>
      </c>
      <c r="L314" s="153">
        <f aca="true" t="shared" si="71" ref="L314:T314">L306+L308+L310+L312</f>
        <v>0</v>
      </c>
      <c r="M314" s="153">
        <f t="shared" si="71"/>
        <v>0</v>
      </c>
      <c r="N314" s="153">
        <f t="shared" si="71"/>
        <v>0</v>
      </c>
      <c r="O314" s="153">
        <f t="shared" si="71"/>
        <v>0</v>
      </c>
      <c r="P314" s="153">
        <f t="shared" si="71"/>
        <v>0</v>
      </c>
      <c r="Q314" s="153">
        <f t="shared" si="71"/>
        <v>0</v>
      </c>
      <c r="R314" s="153">
        <f t="shared" si="71"/>
        <v>0</v>
      </c>
      <c r="S314" s="153">
        <f t="shared" si="71"/>
        <v>0</v>
      </c>
      <c r="T314" s="154">
        <f t="shared" si="71"/>
        <v>0</v>
      </c>
      <c r="U314" s="307"/>
    </row>
    <row r="315" spans="1:21" ht="12.75">
      <c r="A315" s="304">
        <f>A305+1</f>
        <v>31</v>
      </c>
      <c r="B315" s="306">
        <v>801</v>
      </c>
      <c r="C315" s="306">
        <v>80130</v>
      </c>
      <c r="D315" s="272" t="s">
        <v>141</v>
      </c>
      <c r="E315" s="291" t="s">
        <v>159</v>
      </c>
      <c r="F315" s="294">
        <v>2011</v>
      </c>
      <c r="G315" s="198" t="s">
        <v>106</v>
      </c>
      <c r="H315" s="199" t="s">
        <v>107</v>
      </c>
      <c r="I315" s="168"/>
      <c r="J315" s="160"/>
      <c r="K315" s="170">
        <f t="shared" si="69"/>
        <v>0</v>
      </c>
      <c r="L315" s="170"/>
      <c r="M315" s="170"/>
      <c r="N315" s="170"/>
      <c r="O315" s="170"/>
      <c r="P315" s="170"/>
      <c r="Q315" s="170"/>
      <c r="R315" s="170"/>
      <c r="S315" s="170"/>
      <c r="T315" s="171"/>
      <c r="U315" s="296">
        <f>M323+N323+O323+P323+Q323+R323+S323+M324+N324+O324+P324+Q324+R324+T323+T324+S324</f>
        <v>16000</v>
      </c>
    </row>
    <row r="316" spans="1:21" ht="12.75">
      <c r="A316" s="305"/>
      <c r="B316" s="270"/>
      <c r="C316" s="270"/>
      <c r="D316" s="273"/>
      <c r="E316" s="292"/>
      <c r="F316" s="295"/>
      <c r="G316" s="299">
        <f>SUM(K323:T323)</f>
        <v>80000</v>
      </c>
      <c r="H316" s="200" t="s">
        <v>108</v>
      </c>
      <c r="I316" s="172"/>
      <c r="J316" s="161"/>
      <c r="K316" s="173">
        <f t="shared" si="69"/>
        <v>0</v>
      </c>
      <c r="L316" s="173"/>
      <c r="M316" s="173"/>
      <c r="N316" s="173"/>
      <c r="O316" s="173"/>
      <c r="P316" s="173"/>
      <c r="Q316" s="173"/>
      <c r="R316" s="173"/>
      <c r="S316" s="173"/>
      <c r="T316" s="174"/>
      <c r="U316" s="297"/>
    </row>
    <row r="317" spans="1:21" ht="12.75">
      <c r="A317" s="305"/>
      <c r="B317" s="270"/>
      <c r="C317" s="270"/>
      <c r="D317" s="273"/>
      <c r="E317" s="292"/>
      <c r="F317" s="295"/>
      <c r="G317" s="300"/>
      <c r="H317" s="200" t="s">
        <v>109</v>
      </c>
      <c r="I317" s="172"/>
      <c r="J317" s="161"/>
      <c r="K317" s="173">
        <f t="shared" si="69"/>
        <v>0</v>
      </c>
      <c r="L317" s="173"/>
      <c r="M317" s="173"/>
      <c r="N317" s="173"/>
      <c r="O317" s="173"/>
      <c r="P317" s="173"/>
      <c r="Q317" s="173"/>
      <c r="R317" s="173"/>
      <c r="S317" s="173"/>
      <c r="T317" s="174"/>
      <c r="U317" s="297"/>
    </row>
    <row r="318" spans="1:21" ht="12.75">
      <c r="A318" s="305"/>
      <c r="B318" s="270"/>
      <c r="C318" s="270"/>
      <c r="D318" s="273"/>
      <c r="E318" s="292"/>
      <c r="F318" s="295"/>
      <c r="G318" s="201" t="s">
        <v>110</v>
      </c>
      <c r="H318" s="200" t="s">
        <v>111</v>
      </c>
      <c r="I318" s="172"/>
      <c r="J318" s="161"/>
      <c r="K318" s="173">
        <f t="shared" si="69"/>
        <v>0</v>
      </c>
      <c r="L318" s="173"/>
      <c r="M318" s="173"/>
      <c r="N318" s="173"/>
      <c r="O318" s="173"/>
      <c r="P318" s="173"/>
      <c r="Q318" s="173"/>
      <c r="R318" s="173"/>
      <c r="S318" s="173"/>
      <c r="T318" s="174"/>
      <c r="U318" s="297"/>
    </row>
    <row r="319" spans="1:21" ht="12.75">
      <c r="A319" s="305"/>
      <c r="B319" s="270"/>
      <c r="C319" s="270"/>
      <c r="D319" s="273"/>
      <c r="E319" s="292"/>
      <c r="F319" s="295"/>
      <c r="G319" s="299">
        <f>SUM(K324:T324)</f>
        <v>0</v>
      </c>
      <c r="H319" s="200" t="s">
        <v>112</v>
      </c>
      <c r="I319" s="172">
        <f>62400-62400</f>
        <v>0</v>
      </c>
      <c r="J319" s="161"/>
      <c r="K319" s="173">
        <f t="shared" si="69"/>
        <v>0</v>
      </c>
      <c r="L319" s="173">
        <v>64000</v>
      </c>
      <c r="M319" s="173"/>
      <c r="N319" s="173">
        <v>16000</v>
      </c>
      <c r="O319" s="173"/>
      <c r="P319" s="173"/>
      <c r="Q319" s="173"/>
      <c r="R319" s="173"/>
      <c r="S319" s="173"/>
      <c r="T319" s="174"/>
      <c r="U319" s="297"/>
    </row>
    <row r="320" spans="1:21" ht="12.75">
      <c r="A320" s="305"/>
      <c r="B320" s="270"/>
      <c r="C320" s="270"/>
      <c r="D320" s="273"/>
      <c r="E320" s="292"/>
      <c r="F320" s="295">
        <v>2013</v>
      </c>
      <c r="G320" s="300"/>
      <c r="H320" s="200" t="s">
        <v>113</v>
      </c>
      <c r="I320" s="172"/>
      <c r="J320" s="161"/>
      <c r="K320" s="173">
        <f t="shared" si="69"/>
        <v>0</v>
      </c>
      <c r="L320" s="173"/>
      <c r="M320" s="173"/>
      <c r="N320" s="173"/>
      <c r="O320" s="173"/>
      <c r="P320" s="173"/>
      <c r="Q320" s="173"/>
      <c r="R320" s="173"/>
      <c r="S320" s="173"/>
      <c r="T320" s="174"/>
      <c r="U320" s="297"/>
    </row>
    <row r="321" spans="1:21" ht="12.75">
      <c r="A321" s="305"/>
      <c r="B321" s="270"/>
      <c r="C321" s="270"/>
      <c r="D321" s="273"/>
      <c r="E321" s="292"/>
      <c r="F321" s="295"/>
      <c r="G321" s="201" t="s">
        <v>114</v>
      </c>
      <c r="H321" s="200" t="s">
        <v>115</v>
      </c>
      <c r="I321" s="172"/>
      <c r="J321" s="161"/>
      <c r="K321" s="173">
        <f t="shared" si="69"/>
        <v>0</v>
      </c>
      <c r="L321" s="173"/>
      <c r="M321" s="173"/>
      <c r="N321" s="173"/>
      <c r="O321" s="173"/>
      <c r="P321" s="173"/>
      <c r="Q321" s="173"/>
      <c r="R321" s="173"/>
      <c r="S321" s="173"/>
      <c r="T321" s="174"/>
      <c r="U321" s="297"/>
    </row>
    <row r="322" spans="1:21" ht="12.75">
      <c r="A322" s="305"/>
      <c r="B322" s="270"/>
      <c r="C322" s="270"/>
      <c r="D322" s="273"/>
      <c r="E322" s="292"/>
      <c r="F322" s="295"/>
      <c r="G322" s="299">
        <f>G316+G319</f>
        <v>80000</v>
      </c>
      <c r="H322" s="200" t="s">
        <v>116</v>
      </c>
      <c r="I322" s="172"/>
      <c r="J322" s="161"/>
      <c r="K322" s="173">
        <f t="shared" si="69"/>
        <v>0</v>
      </c>
      <c r="L322" s="173"/>
      <c r="M322" s="173"/>
      <c r="N322" s="173"/>
      <c r="O322" s="173"/>
      <c r="P322" s="173"/>
      <c r="Q322" s="173"/>
      <c r="R322" s="173"/>
      <c r="S322" s="173"/>
      <c r="T322" s="174"/>
      <c r="U322" s="297"/>
    </row>
    <row r="323" spans="1:21" ht="12.75">
      <c r="A323" s="305"/>
      <c r="B323" s="270"/>
      <c r="C323" s="270"/>
      <c r="D323" s="273"/>
      <c r="E323" s="292"/>
      <c r="F323" s="295"/>
      <c r="G323" s="302"/>
      <c r="H323" s="200" t="s">
        <v>117</v>
      </c>
      <c r="I323" s="175">
        <f>I315+I317+I319+I321</f>
        <v>0</v>
      </c>
      <c r="J323" s="162">
        <f>J315+J317+J319+J321</f>
        <v>0</v>
      </c>
      <c r="K323" s="176">
        <f t="shared" si="69"/>
        <v>0</v>
      </c>
      <c r="L323" s="176">
        <f aca="true" t="shared" si="72" ref="L323:T323">L315+L317+L319+L321</f>
        <v>64000</v>
      </c>
      <c r="M323" s="176">
        <f t="shared" si="72"/>
        <v>0</v>
      </c>
      <c r="N323" s="176">
        <f t="shared" si="72"/>
        <v>16000</v>
      </c>
      <c r="O323" s="176">
        <f t="shared" si="72"/>
        <v>0</v>
      </c>
      <c r="P323" s="176">
        <f t="shared" si="72"/>
        <v>0</v>
      </c>
      <c r="Q323" s="176">
        <f t="shared" si="72"/>
        <v>0</v>
      </c>
      <c r="R323" s="176">
        <f t="shared" si="72"/>
        <v>0</v>
      </c>
      <c r="S323" s="176">
        <f t="shared" si="72"/>
        <v>0</v>
      </c>
      <c r="T323" s="177">
        <f t="shared" si="72"/>
        <v>0</v>
      </c>
      <c r="U323" s="297"/>
    </row>
    <row r="324" spans="1:21" ht="13.5" thickBot="1">
      <c r="A324" s="305"/>
      <c r="B324" s="270"/>
      <c r="C324" s="271"/>
      <c r="D324" s="274"/>
      <c r="E324" s="293"/>
      <c r="F324" s="301"/>
      <c r="G324" s="303"/>
      <c r="H324" s="202" t="s">
        <v>118</v>
      </c>
      <c r="I324" s="178">
        <f>I316+I318+I320+I322</f>
        <v>0</v>
      </c>
      <c r="J324" s="163">
        <f>J316+J318+J320+J322</f>
        <v>0</v>
      </c>
      <c r="K324" s="179">
        <f t="shared" si="69"/>
        <v>0</v>
      </c>
      <c r="L324" s="179">
        <f aca="true" t="shared" si="73" ref="L324:T324">L316+L318+L320+L322</f>
        <v>0</v>
      </c>
      <c r="M324" s="179">
        <f t="shared" si="73"/>
        <v>0</v>
      </c>
      <c r="N324" s="179">
        <f t="shared" si="73"/>
        <v>0</v>
      </c>
      <c r="O324" s="179">
        <f t="shared" si="73"/>
        <v>0</v>
      </c>
      <c r="P324" s="179">
        <f t="shared" si="73"/>
        <v>0</v>
      </c>
      <c r="Q324" s="179">
        <f t="shared" si="73"/>
        <v>0</v>
      </c>
      <c r="R324" s="179">
        <f t="shared" si="73"/>
        <v>0</v>
      </c>
      <c r="S324" s="179">
        <f t="shared" si="73"/>
        <v>0</v>
      </c>
      <c r="T324" s="180">
        <f t="shared" si="73"/>
        <v>0</v>
      </c>
      <c r="U324" s="298"/>
    </row>
    <row r="325" spans="1:21" ht="12.75">
      <c r="A325" s="284">
        <f>A305+1</f>
        <v>31</v>
      </c>
      <c r="B325" s="286">
        <v>801</v>
      </c>
      <c r="C325" s="286">
        <v>80195</v>
      </c>
      <c r="D325" s="329" t="s">
        <v>160</v>
      </c>
      <c r="E325" s="332" t="s">
        <v>161</v>
      </c>
      <c r="F325" s="321">
        <v>2011</v>
      </c>
      <c r="G325" s="132" t="s">
        <v>106</v>
      </c>
      <c r="H325" s="133" t="s">
        <v>107</v>
      </c>
      <c r="I325" s="134"/>
      <c r="J325" s="135"/>
      <c r="K325" s="136">
        <f t="shared" si="69"/>
        <v>0</v>
      </c>
      <c r="L325" s="136"/>
      <c r="M325" s="136"/>
      <c r="N325" s="136"/>
      <c r="O325" s="136"/>
      <c r="P325" s="136"/>
      <c r="Q325" s="136"/>
      <c r="R325" s="136"/>
      <c r="S325" s="136"/>
      <c r="T325" s="137"/>
      <c r="U325" s="370">
        <f>M333+N333+O333+P333+Q333+R333+S333+M344+N344+O344+P344+Q344+R344+T333+T344+S344</f>
        <v>21820</v>
      </c>
    </row>
    <row r="326" spans="1:21" ht="12.75">
      <c r="A326" s="285"/>
      <c r="B326" s="287"/>
      <c r="C326" s="287"/>
      <c r="D326" s="330"/>
      <c r="E326" s="333"/>
      <c r="F326" s="267"/>
      <c r="G326" s="281">
        <f>SUM(K333:T333)</f>
        <v>33060</v>
      </c>
      <c r="H326" s="139" t="s">
        <v>108</v>
      </c>
      <c r="I326" s="140"/>
      <c r="J326" s="141"/>
      <c r="K326" s="142">
        <f t="shared" si="69"/>
        <v>0</v>
      </c>
      <c r="L326" s="142"/>
      <c r="M326" s="142"/>
      <c r="N326" s="142"/>
      <c r="O326" s="142"/>
      <c r="P326" s="142"/>
      <c r="Q326" s="142"/>
      <c r="R326" s="142"/>
      <c r="S326" s="142"/>
      <c r="T326" s="143"/>
      <c r="U326" s="371"/>
    </row>
    <row r="327" spans="1:21" ht="12.75">
      <c r="A327" s="285"/>
      <c r="B327" s="287"/>
      <c r="C327" s="287"/>
      <c r="D327" s="330"/>
      <c r="E327" s="333"/>
      <c r="F327" s="267"/>
      <c r="G327" s="317"/>
      <c r="H327" s="139" t="s">
        <v>109</v>
      </c>
      <c r="I327" s="140"/>
      <c r="J327" s="141"/>
      <c r="K327" s="142">
        <f t="shared" si="69"/>
        <v>0</v>
      </c>
      <c r="L327" s="142">
        <v>1686</v>
      </c>
      <c r="M327" s="142">
        <v>1326</v>
      </c>
      <c r="N327" s="142">
        <v>1326</v>
      </c>
      <c r="O327" s="142">
        <v>621</v>
      </c>
      <c r="P327" s="142"/>
      <c r="Q327" s="142"/>
      <c r="R327" s="142"/>
      <c r="S327" s="142"/>
      <c r="T327" s="143"/>
      <c r="U327" s="371"/>
    </row>
    <row r="328" spans="1:21" ht="12.75">
      <c r="A328" s="285"/>
      <c r="B328" s="287"/>
      <c r="C328" s="287"/>
      <c r="D328" s="330"/>
      <c r="E328" s="333"/>
      <c r="F328" s="267"/>
      <c r="G328" s="145" t="s">
        <v>110</v>
      </c>
      <c r="H328" s="139" t="s">
        <v>111</v>
      </c>
      <c r="I328" s="140"/>
      <c r="J328" s="141"/>
      <c r="K328" s="142">
        <f t="shared" si="69"/>
        <v>0</v>
      </c>
      <c r="L328" s="142"/>
      <c r="M328" s="142"/>
      <c r="N328" s="142"/>
      <c r="O328" s="142"/>
      <c r="P328" s="142"/>
      <c r="Q328" s="142"/>
      <c r="R328" s="142"/>
      <c r="S328" s="142"/>
      <c r="T328" s="143"/>
      <c r="U328" s="371"/>
    </row>
    <row r="329" spans="1:21" ht="12.75">
      <c r="A329" s="285"/>
      <c r="B329" s="287"/>
      <c r="C329" s="287"/>
      <c r="D329" s="330"/>
      <c r="E329" s="333"/>
      <c r="F329" s="267"/>
      <c r="G329" s="281">
        <f>SUM(K344:T344)</f>
        <v>0</v>
      </c>
      <c r="H329" s="139" t="s">
        <v>112</v>
      </c>
      <c r="I329" s="140">
        <f>24550-24550</f>
        <v>0</v>
      </c>
      <c r="J329" s="141"/>
      <c r="K329" s="142">
        <f t="shared" si="69"/>
        <v>0</v>
      </c>
      <c r="L329" s="142">
        <v>9554</v>
      </c>
      <c r="M329" s="142">
        <v>7514</v>
      </c>
      <c r="N329" s="142">
        <v>7514</v>
      </c>
      <c r="O329" s="142">
        <v>3519</v>
      </c>
      <c r="P329" s="142"/>
      <c r="Q329" s="142"/>
      <c r="R329" s="142"/>
      <c r="S329" s="142"/>
      <c r="T329" s="143"/>
      <c r="U329" s="371"/>
    </row>
    <row r="330" spans="1:21" ht="12.75">
      <c r="A330" s="285"/>
      <c r="B330" s="287"/>
      <c r="C330" s="287"/>
      <c r="D330" s="330"/>
      <c r="E330" s="333"/>
      <c r="F330" s="336">
        <v>2014</v>
      </c>
      <c r="G330" s="317"/>
      <c r="H330" s="139" t="s">
        <v>113</v>
      </c>
      <c r="I330" s="140"/>
      <c r="J330" s="141"/>
      <c r="K330" s="142">
        <f t="shared" si="69"/>
        <v>0</v>
      </c>
      <c r="L330" s="142"/>
      <c r="M330" s="142"/>
      <c r="N330" s="142"/>
      <c r="O330" s="142"/>
      <c r="P330" s="142"/>
      <c r="Q330" s="142"/>
      <c r="R330" s="142"/>
      <c r="S330" s="142"/>
      <c r="T330" s="143"/>
      <c r="U330" s="371"/>
    </row>
    <row r="331" spans="1:21" ht="12.75">
      <c r="A331" s="285"/>
      <c r="B331" s="287"/>
      <c r="C331" s="287"/>
      <c r="D331" s="330"/>
      <c r="E331" s="333"/>
      <c r="F331" s="354"/>
      <c r="G331" s="145" t="s">
        <v>114</v>
      </c>
      <c r="H331" s="139" t="s">
        <v>115</v>
      </c>
      <c r="I331" s="140"/>
      <c r="J331" s="141"/>
      <c r="K331" s="142">
        <f t="shared" si="69"/>
        <v>0</v>
      </c>
      <c r="L331" s="142"/>
      <c r="M331" s="142"/>
      <c r="N331" s="142"/>
      <c r="O331" s="142"/>
      <c r="P331" s="142"/>
      <c r="Q331" s="142"/>
      <c r="R331" s="142"/>
      <c r="S331" s="142"/>
      <c r="T331" s="143"/>
      <c r="U331" s="371"/>
    </row>
    <row r="332" spans="1:21" ht="12.75">
      <c r="A332" s="285"/>
      <c r="B332" s="287"/>
      <c r="C332" s="287"/>
      <c r="D332" s="330"/>
      <c r="E332" s="333"/>
      <c r="F332" s="354"/>
      <c r="G332" s="373">
        <f>G326+G329</f>
        <v>33060</v>
      </c>
      <c r="H332" s="139" t="s">
        <v>116</v>
      </c>
      <c r="I332" s="140"/>
      <c r="J332" s="141"/>
      <c r="K332" s="142">
        <f t="shared" si="69"/>
        <v>0</v>
      </c>
      <c r="L332" s="142"/>
      <c r="M332" s="142"/>
      <c r="N332" s="142"/>
      <c r="O332" s="142"/>
      <c r="P332" s="142"/>
      <c r="Q332" s="142"/>
      <c r="R332" s="142"/>
      <c r="S332" s="142"/>
      <c r="T332" s="143"/>
      <c r="U332" s="371"/>
    </row>
    <row r="333" spans="1:21" ht="12.75">
      <c r="A333" s="285"/>
      <c r="B333" s="287"/>
      <c r="C333" s="287"/>
      <c r="D333" s="330"/>
      <c r="E333" s="333"/>
      <c r="F333" s="354"/>
      <c r="G333" s="374"/>
      <c r="H333" s="139" t="s">
        <v>117</v>
      </c>
      <c r="I333" s="146">
        <f>I325+I327+I329+I331</f>
        <v>0</v>
      </c>
      <c r="J333" s="147">
        <f>J325+J327+J329+J331</f>
        <v>0</v>
      </c>
      <c r="K333" s="148">
        <f t="shared" si="69"/>
        <v>0</v>
      </c>
      <c r="L333" s="148">
        <f aca="true" t="shared" si="74" ref="L333:T333">L325+L327+L329+L331</f>
        <v>11240</v>
      </c>
      <c r="M333" s="148">
        <f t="shared" si="74"/>
        <v>8840</v>
      </c>
      <c r="N333" s="148">
        <f t="shared" si="74"/>
        <v>8840</v>
      </c>
      <c r="O333" s="148">
        <f t="shared" si="74"/>
        <v>4140</v>
      </c>
      <c r="P333" s="148">
        <f t="shared" si="74"/>
        <v>0</v>
      </c>
      <c r="Q333" s="148">
        <f t="shared" si="74"/>
        <v>0</v>
      </c>
      <c r="R333" s="148">
        <f t="shared" si="74"/>
        <v>0</v>
      </c>
      <c r="S333" s="148">
        <f t="shared" si="74"/>
        <v>0</v>
      </c>
      <c r="T333" s="149">
        <f t="shared" si="74"/>
        <v>0</v>
      </c>
      <c r="U333" s="371"/>
    </row>
    <row r="334" spans="1:21" ht="13.5" thickBot="1">
      <c r="A334" s="285"/>
      <c r="B334" s="287"/>
      <c r="C334" s="318"/>
      <c r="D334" s="331"/>
      <c r="E334" s="334"/>
      <c r="F334" s="355"/>
      <c r="G334" s="375"/>
      <c r="H334" s="150" t="s">
        <v>118</v>
      </c>
      <c r="I334" s="151"/>
      <c r="J334" s="152"/>
      <c r="K334" s="153"/>
      <c r="L334" s="153"/>
      <c r="M334" s="153"/>
      <c r="N334" s="153"/>
      <c r="O334" s="153"/>
      <c r="P334" s="153"/>
      <c r="Q334" s="153"/>
      <c r="R334" s="153"/>
      <c r="S334" s="153"/>
      <c r="T334" s="154"/>
      <c r="U334" s="372"/>
    </row>
    <row r="335" spans="1:21" ht="12.75" customHeight="1">
      <c r="A335" s="284">
        <f>A325+1</f>
        <v>32</v>
      </c>
      <c r="B335" s="286">
        <v>853</v>
      </c>
      <c r="C335" s="286">
        <v>85333</v>
      </c>
      <c r="D335" s="323" t="s">
        <v>162</v>
      </c>
      <c r="E335" s="335" t="s">
        <v>105</v>
      </c>
      <c r="F335" s="321">
        <v>2011</v>
      </c>
      <c r="G335" s="132" t="s">
        <v>106</v>
      </c>
      <c r="H335" s="133" t="s">
        <v>107</v>
      </c>
      <c r="I335" s="134"/>
      <c r="J335" s="135"/>
      <c r="K335" s="136">
        <v>0</v>
      </c>
      <c r="L335" s="136">
        <v>22681</v>
      </c>
      <c r="M335" s="136"/>
      <c r="N335" s="136"/>
      <c r="O335" s="136"/>
      <c r="P335" s="136"/>
      <c r="Q335" s="136"/>
      <c r="R335" s="136"/>
      <c r="S335" s="136"/>
      <c r="T335" s="137"/>
      <c r="U335" s="322">
        <f>M343+N343+O343+P343+Q343+R343+S343+M344+N344+O344+P344+Q344+R344+T343+T344+S344</f>
        <v>0</v>
      </c>
    </row>
    <row r="336" spans="1:21" ht="12.75" customHeight="1">
      <c r="A336" s="285"/>
      <c r="B336" s="287"/>
      <c r="C336" s="287"/>
      <c r="D336" s="319"/>
      <c r="E336" s="268"/>
      <c r="F336" s="267"/>
      <c r="G336" s="281">
        <f>SUM(K343:T343)</f>
        <v>151202</v>
      </c>
      <c r="H336" s="139" t="s">
        <v>108</v>
      </c>
      <c r="I336" s="140"/>
      <c r="J336" s="141"/>
      <c r="K336" s="142">
        <f aca="true" t="shared" si="75" ref="K336:K367">SUM(I336:J336)</f>
        <v>0</v>
      </c>
      <c r="L336" s="142"/>
      <c r="M336" s="142"/>
      <c r="N336" s="142"/>
      <c r="O336" s="142"/>
      <c r="P336" s="142"/>
      <c r="Q336" s="142"/>
      <c r="R336" s="142"/>
      <c r="S336" s="142"/>
      <c r="T336" s="143"/>
      <c r="U336" s="264"/>
    </row>
    <row r="337" spans="1:21" ht="12.75" customHeight="1">
      <c r="A337" s="285"/>
      <c r="B337" s="287"/>
      <c r="C337" s="287"/>
      <c r="D337" s="319"/>
      <c r="E337" s="268"/>
      <c r="F337" s="267"/>
      <c r="G337" s="317"/>
      <c r="H337" s="139" t="s">
        <v>109</v>
      </c>
      <c r="I337" s="140"/>
      <c r="J337" s="141"/>
      <c r="K337" s="142">
        <f t="shared" si="75"/>
        <v>0</v>
      </c>
      <c r="L337" s="142"/>
      <c r="M337" s="142"/>
      <c r="N337" s="142"/>
      <c r="O337" s="142"/>
      <c r="P337" s="142"/>
      <c r="Q337" s="142"/>
      <c r="R337" s="142"/>
      <c r="S337" s="142"/>
      <c r="T337" s="143"/>
      <c r="U337" s="264"/>
    </row>
    <row r="338" spans="1:21" ht="12.75">
      <c r="A338" s="285"/>
      <c r="B338" s="287"/>
      <c r="C338" s="287"/>
      <c r="D338" s="319"/>
      <c r="E338" s="268"/>
      <c r="F338" s="267"/>
      <c r="G338" s="145" t="s">
        <v>110</v>
      </c>
      <c r="H338" s="139" t="s">
        <v>111</v>
      </c>
      <c r="I338" s="140"/>
      <c r="J338" s="141"/>
      <c r="K338" s="142">
        <f t="shared" si="75"/>
        <v>0</v>
      </c>
      <c r="L338" s="142"/>
      <c r="M338" s="142"/>
      <c r="N338" s="142"/>
      <c r="O338" s="142"/>
      <c r="P338" s="142"/>
      <c r="Q338" s="142"/>
      <c r="R338" s="142"/>
      <c r="S338" s="142"/>
      <c r="T338" s="143"/>
      <c r="U338" s="264"/>
    </row>
    <row r="339" spans="1:21" ht="12.75">
      <c r="A339" s="285"/>
      <c r="B339" s="287"/>
      <c r="C339" s="287"/>
      <c r="D339" s="319"/>
      <c r="E339" s="268"/>
      <c r="F339" s="267"/>
      <c r="G339" s="281">
        <f>SUM(K344:T344)</f>
        <v>0</v>
      </c>
      <c r="H339" s="139" t="s">
        <v>112</v>
      </c>
      <c r="I339" s="140"/>
      <c r="J339" s="141"/>
      <c r="K339" s="142">
        <f t="shared" si="75"/>
        <v>0</v>
      </c>
      <c r="L339" s="142">
        <v>128521</v>
      </c>
      <c r="M339" s="142"/>
      <c r="N339" s="142"/>
      <c r="O339" s="142"/>
      <c r="P339" s="142"/>
      <c r="Q339" s="142"/>
      <c r="R339" s="142"/>
      <c r="S339" s="142"/>
      <c r="T339" s="143"/>
      <c r="U339" s="264"/>
    </row>
    <row r="340" spans="1:21" ht="12.75">
      <c r="A340" s="285"/>
      <c r="B340" s="287"/>
      <c r="C340" s="287"/>
      <c r="D340" s="319"/>
      <c r="E340" s="268"/>
      <c r="F340" s="267">
        <v>2011</v>
      </c>
      <c r="G340" s="317"/>
      <c r="H340" s="139" t="s">
        <v>113</v>
      </c>
      <c r="I340" s="140"/>
      <c r="J340" s="141"/>
      <c r="K340" s="142">
        <f t="shared" si="75"/>
        <v>0</v>
      </c>
      <c r="L340" s="142"/>
      <c r="M340" s="142"/>
      <c r="N340" s="142"/>
      <c r="O340" s="142"/>
      <c r="P340" s="142"/>
      <c r="Q340" s="142"/>
      <c r="R340" s="142"/>
      <c r="S340" s="142"/>
      <c r="T340" s="143"/>
      <c r="U340" s="264"/>
    </row>
    <row r="341" spans="1:21" ht="12.75">
      <c r="A341" s="285"/>
      <c r="B341" s="287"/>
      <c r="C341" s="287"/>
      <c r="D341" s="319"/>
      <c r="E341" s="268"/>
      <c r="F341" s="267"/>
      <c r="G341" s="145" t="s">
        <v>114</v>
      </c>
      <c r="H341" s="139" t="s">
        <v>115</v>
      </c>
      <c r="I341" s="140"/>
      <c r="J341" s="141"/>
      <c r="K341" s="142">
        <f t="shared" si="75"/>
        <v>0</v>
      </c>
      <c r="L341" s="142"/>
      <c r="M341" s="142"/>
      <c r="N341" s="142"/>
      <c r="O341" s="142"/>
      <c r="P341" s="142"/>
      <c r="Q341" s="142"/>
      <c r="R341" s="142"/>
      <c r="S341" s="142"/>
      <c r="T341" s="143"/>
      <c r="U341" s="264"/>
    </row>
    <row r="342" spans="1:21" ht="12.75">
      <c r="A342" s="285"/>
      <c r="B342" s="287"/>
      <c r="C342" s="287"/>
      <c r="D342" s="319"/>
      <c r="E342" s="268"/>
      <c r="F342" s="267"/>
      <c r="G342" s="281">
        <f>G336+G339</f>
        <v>151202</v>
      </c>
      <c r="H342" s="139" t="s">
        <v>116</v>
      </c>
      <c r="I342" s="140"/>
      <c r="J342" s="141"/>
      <c r="K342" s="142">
        <f t="shared" si="75"/>
        <v>0</v>
      </c>
      <c r="L342" s="142"/>
      <c r="M342" s="142"/>
      <c r="N342" s="142"/>
      <c r="O342" s="142"/>
      <c r="P342" s="142"/>
      <c r="Q342" s="142"/>
      <c r="R342" s="142"/>
      <c r="S342" s="142"/>
      <c r="T342" s="143"/>
      <c r="U342" s="264"/>
    </row>
    <row r="343" spans="1:21" ht="12.75">
      <c r="A343" s="285"/>
      <c r="B343" s="287"/>
      <c r="C343" s="287"/>
      <c r="D343" s="319"/>
      <c r="E343" s="268"/>
      <c r="F343" s="267"/>
      <c r="G343" s="282"/>
      <c r="H343" s="139" t="s">
        <v>117</v>
      </c>
      <c r="I343" s="146">
        <f>I335+I337+I339+I341</f>
        <v>0</v>
      </c>
      <c r="J343" s="147">
        <f>J335+J337+J339+J341</f>
        <v>0</v>
      </c>
      <c r="K343" s="148">
        <f t="shared" si="75"/>
        <v>0</v>
      </c>
      <c r="L343" s="148">
        <f aca="true" t="shared" si="76" ref="L343:T343">L335+L337+L339+L341</f>
        <v>151202</v>
      </c>
      <c r="M343" s="148">
        <f t="shared" si="76"/>
        <v>0</v>
      </c>
      <c r="N343" s="148">
        <f t="shared" si="76"/>
        <v>0</v>
      </c>
      <c r="O343" s="148">
        <f t="shared" si="76"/>
        <v>0</v>
      </c>
      <c r="P343" s="148">
        <f t="shared" si="76"/>
        <v>0</v>
      </c>
      <c r="Q343" s="148">
        <f t="shared" si="76"/>
        <v>0</v>
      </c>
      <c r="R343" s="148">
        <f t="shared" si="76"/>
        <v>0</v>
      </c>
      <c r="S343" s="148">
        <f t="shared" si="76"/>
        <v>0</v>
      </c>
      <c r="T343" s="149">
        <f t="shared" si="76"/>
        <v>0</v>
      </c>
      <c r="U343" s="264"/>
    </row>
    <row r="344" spans="1:21" ht="13.5" thickBot="1">
      <c r="A344" s="285"/>
      <c r="B344" s="318"/>
      <c r="C344" s="318"/>
      <c r="D344" s="320"/>
      <c r="E344" s="265"/>
      <c r="F344" s="310"/>
      <c r="G344" s="283"/>
      <c r="H344" s="150" t="s">
        <v>118</v>
      </c>
      <c r="I344" s="151">
        <f>I336+I338+I340+I342</f>
        <v>0</v>
      </c>
      <c r="J344" s="152">
        <f>J336+J338+J340+J342</f>
        <v>0</v>
      </c>
      <c r="K344" s="153">
        <f t="shared" si="75"/>
        <v>0</v>
      </c>
      <c r="L344" s="153">
        <f aca="true" t="shared" si="77" ref="L344:T344">L336+L338+L340+L342</f>
        <v>0</v>
      </c>
      <c r="M344" s="153">
        <f t="shared" si="77"/>
        <v>0</v>
      </c>
      <c r="N344" s="153">
        <f t="shared" si="77"/>
        <v>0</v>
      </c>
      <c r="O344" s="153">
        <f t="shared" si="77"/>
        <v>0</v>
      </c>
      <c r="P344" s="153">
        <f t="shared" si="77"/>
        <v>0</v>
      </c>
      <c r="Q344" s="153">
        <f t="shared" si="77"/>
        <v>0</v>
      </c>
      <c r="R344" s="153">
        <f t="shared" si="77"/>
        <v>0</v>
      </c>
      <c r="S344" s="153">
        <f t="shared" si="77"/>
        <v>0</v>
      </c>
      <c r="T344" s="154">
        <f t="shared" si="77"/>
        <v>0</v>
      </c>
      <c r="U344" s="307"/>
    </row>
    <row r="345" spans="1:21" ht="12.75">
      <c r="A345" s="284">
        <f>A335+1</f>
        <v>33</v>
      </c>
      <c r="B345" s="286">
        <v>853</v>
      </c>
      <c r="C345" s="286">
        <v>85395</v>
      </c>
      <c r="D345" s="323" t="s">
        <v>163</v>
      </c>
      <c r="E345" s="335" t="s">
        <v>164</v>
      </c>
      <c r="F345" s="321">
        <v>2011</v>
      </c>
      <c r="G345" s="132" t="s">
        <v>106</v>
      </c>
      <c r="H345" s="133" t="s">
        <v>107</v>
      </c>
      <c r="I345" s="134"/>
      <c r="J345" s="135"/>
      <c r="K345" s="136">
        <f t="shared" si="75"/>
        <v>0</v>
      </c>
      <c r="L345" s="136">
        <v>404467</v>
      </c>
      <c r="M345" s="136"/>
      <c r="N345" s="136"/>
      <c r="O345" s="136"/>
      <c r="P345" s="136"/>
      <c r="Q345" s="136"/>
      <c r="R345" s="136"/>
      <c r="S345" s="136"/>
      <c r="T345" s="137"/>
      <c r="U345" s="322">
        <f>M353+N353+O353+P353+Q353+R353+S353+M354+N354+O354+P354+Q354+R354+T353+T354+S354</f>
        <v>0</v>
      </c>
    </row>
    <row r="346" spans="1:21" ht="12.75">
      <c r="A346" s="285"/>
      <c r="B346" s="287"/>
      <c r="C346" s="287"/>
      <c r="D346" s="319"/>
      <c r="E346" s="268"/>
      <c r="F346" s="267"/>
      <c r="G346" s="281">
        <f>SUM(K353:T353)</f>
        <v>4148400</v>
      </c>
      <c r="H346" s="139" t="s">
        <v>108</v>
      </c>
      <c r="I346" s="140"/>
      <c r="J346" s="141"/>
      <c r="K346" s="142">
        <f t="shared" si="75"/>
        <v>0</v>
      </c>
      <c r="L346" s="142"/>
      <c r="M346" s="142"/>
      <c r="N346" s="142"/>
      <c r="O346" s="142"/>
      <c r="P346" s="142"/>
      <c r="Q346" s="142"/>
      <c r="R346" s="142"/>
      <c r="S346" s="142"/>
      <c r="T346" s="143"/>
      <c r="U346" s="264"/>
    </row>
    <row r="347" spans="1:21" ht="12.75">
      <c r="A347" s="285"/>
      <c r="B347" s="287"/>
      <c r="C347" s="287"/>
      <c r="D347" s="319"/>
      <c r="E347" s="268"/>
      <c r="F347" s="267"/>
      <c r="G347" s="317"/>
      <c r="H347" s="139" t="s">
        <v>109</v>
      </c>
      <c r="I347" s="140"/>
      <c r="J347" s="141"/>
      <c r="K347" s="142">
        <f t="shared" si="75"/>
        <v>0</v>
      </c>
      <c r="L347" s="142">
        <v>217897</v>
      </c>
      <c r="M347" s="142"/>
      <c r="N347" s="142"/>
      <c r="O347" s="142"/>
      <c r="P347" s="142"/>
      <c r="Q347" s="142"/>
      <c r="R347" s="142"/>
      <c r="S347" s="142"/>
      <c r="T347" s="143"/>
      <c r="U347" s="264"/>
    </row>
    <row r="348" spans="1:21" ht="12.75">
      <c r="A348" s="285"/>
      <c r="B348" s="287"/>
      <c r="C348" s="287"/>
      <c r="D348" s="319"/>
      <c r="E348" s="268"/>
      <c r="F348" s="267"/>
      <c r="G348" s="145" t="s">
        <v>110</v>
      </c>
      <c r="H348" s="139" t="s">
        <v>111</v>
      </c>
      <c r="I348" s="140"/>
      <c r="J348" s="141"/>
      <c r="K348" s="142">
        <f t="shared" si="75"/>
        <v>0</v>
      </c>
      <c r="L348" s="142"/>
      <c r="M348" s="142"/>
      <c r="N348" s="142"/>
      <c r="O348" s="142"/>
      <c r="P348" s="142"/>
      <c r="Q348" s="142"/>
      <c r="R348" s="142"/>
      <c r="S348" s="142"/>
      <c r="T348" s="143"/>
      <c r="U348" s="264"/>
    </row>
    <row r="349" spans="1:21" ht="12.75">
      <c r="A349" s="285"/>
      <c r="B349" s="287"/>
      <c r="C349" s="287"/>
      <c r="D349" s="319"/>
      <c r="E349" s="268"/>
      <c r="F349" s="267"/>
      <c r="G349" s="281">
        <f>SUM(K354:T354)</f>
        <v>0</v>
      </c>
      <c r="H349" s="139" t="s">
        <v>112</v>
      </c>
      <c r="I349" s="140">
        <f>24550-24550</f>
        <v>0</v>
      </c>
      <c r="J349" s="141"/>
      <c r="K349" s="142">
        <f t="shared" si="75"/>
        <v>0</v>
      </c>
      <c r="L349" s="142">
        <v>3526036</v>
      </c>
      <c r="M349" s="142"/>
      <c r="N349" s="142"/>
      <c r="O349" s="142"/>
      <c r="P349" s="142"/>
      <c r="Q349" s="142"/>
      <c r="R349" s="142"/>
      <c r="S349" s="142"/>
      <c r="T349" s="143"/>
      <c r="U349" s="264"/>
    </row>
    <row r="350" spans="1:21" ht="12.75">
      <c r="A350" s="285"/>
      <c r="B350" s="287"/>
      <c r="C350" s="287"/>
      <c r="D350" s="319"/>
      <c r="E350" s="268"/>
      <c r="F350" s="267">
        <v>2011</v>
      </c>
      <c r="G350" s="317"/>
      <c r="H350" s="139" t="s">
        <v>113</v>
      </c>
      <c r="I350" s="140"/>
      <c r="J350" s="141"/>
      <c r="K350" s="142">
        <f t="shared" si="75"/>
        <v>0</v>
      </c>
      <c r="L350" s="142"/>
      <c r="M350" s="142"/>
      <c r="N350" s="142"/>
      <c r="O350" s="142"/>
      <c r="P350" s="142"/>
      <c r="Q350" s="142"/>
      <c r="R350" s="142"/>
      <c r="S350" s="142"/>
      <c r="T350" s="143"/>
      <c r="U350" s="264"/>
    </row>
    <row r="351" spans="1:21" ht="12.75">
      <c r="A351" s="285"/>
      <c r="B351" s="287"/>
      <c r="C351" s="287"/>
      <c r="D351" s="319"/>
      <c r="E351" s="268"/>
      <c r="F351" s="267"/>
      <c r="G351" s="145" t="s">
        <v>114</v>
      </c>
      <c r="H351" s="139" t="s">
        <v>115</v>
      </c>
      <c r="I351" s="140"/>
      <c r="J351" s="141"/>
      <c r="K351" s="142">
        <f t="shared" si="75"/>
        <v>0</v>
      </c>
      <c r="L351" s="142"/>
      <c r="M351" s="142"/>
      <c r="N351" s="142"/>
      <c r="O351" s="142"/>
      <c r="P351" s="142"/>
      <c r="Q351" s="142"/>
      <c r="R351" s="142"/>
      <c r="S351" s="142"/>
      <c r="T351" s="143"/>
      <c r="U351" s="264"/>
    </row>
    <row r="352" spans="1:21" ht="12.75">
      <c r="A352" s="285"/>
      <c r="B352" s="287"/>
      <c r="C352" s="287"/>
      <c r="D352" s="319"/>
      <c r="E352" s="268"/>
      <c r="F352" s="267"/>
      <c r="G352" s="281">
        <f>G346+G349</f>
        <v>4148400</v>
      </c>
      <c r="H352" s="139" t="s">
        <v>116</v>
      </c>
      <c r="I352" s="140"/>
      <c r="J352" s="141"/>
      <c r="K352" s="142">
        <f t="shared" si="75"/>
        <v>0</v>
      </c>
      <c r="L352" s="142"/>
      <c r="M352" s="142"/>
      <c r="N352" s="142"/>
      <c r="O352" s="142"/>
      <c r="P352" s="142"/>
      <c r="Q352" s="142"/>
      <c r="R352" s="142"/>
      <c r="S352" s="142"/>
      <c r="T352" s="143"/>
      <c r="U352" s="264"/>
    </row>
    <row r="353" spans="1:21" ht="12.75">
      <c r="A353" s="285"/>
      <c r="B353" s="287"/>
      <c r="C353" s="287"/>
      <c r="D353" s="319"/>
      <c r="E353" s="268"/>
      <c r="F353" s="267"/>
      <c r="G353" s="282"/>
      <c r="H353" s="139" t="s">
        <v>117</v>
      </c>
      <c r="I353" s="146">
        <f>I345+I347+I349+I351</f>
        <v>0</v>
      </c>
      <c r="J353" s="147">
        <f>J345+J347+J349+J351</f>
        <v>0</v>
      </c>
      <c r="K353" s="148">
        <f t="shared" si="75"/>
        <v>0</v>
      </c>
      <c r="L353" s="148">
        <f aca="true" t="shared" si="78" ref="L353:T353">L345+L347+L349+L351</f>
        <v>4148400</v>
      </c>
      <c r="M353" s="148">
        <f t="shared" si="78"/>
        <v>0</v>
      </c>
      <c r="N353" s="148">
        <f t="shared" si="78"/>
        <v>0</v>
      </c>
      <c r="O353" s="148">
        <f t="shared" si="78"/>
        <v>0</v>
      </c>
      <c r="P353" s="148">
        <f t="shared" si="78"/>
        <v>0</v>
      </c>
      <c r="Q353" s="148">
        <f t="shared" si="78"/>
        <v>0</v>
      </c>
      <c r="R353" s="148">
        <f t="shared" si="78"/>
        <v>0</v>
      </c>
      <c r="S353" s="148">
        <f t="shared" si="78"/>
        <v>0</v>
      </c>
      <c r="T353" s="149">
        <f t="shared" si="78"/>
        <v>0</v>
      </c>
      <c r="U353" s="264"/>
    </row>
    <row r="354" spans="1:21" ht="13.5" thickBot="1">
      <c r="A354" s="285"/>
      <c r="B354" s="318"/>
      <c r="C354" s="287"/>
      <c r="D354" s="320"/>
      <c r="E354" s="265"/>
      <c r="F354" s="310"/>
      <c r="G354" s="283"/>
      <c r="H354" s="150" t="s">
        <v>118</v>
      </c>
      <c r="I354" s="151">
        <f>I346+I348+I350+I352</f>
        <v>0</v>
      </c>
      <c r="J354" s="152">
        <f>J346+J348+J350+J352</f>
        <v>0</v>
      </c>
      <c r="K354" s="153">
        <f t="shared" si="75"/>
        <v>0</v>
      </c>
      <c r="L354" s="153">
        <f aca="true" t="shared" si="79" ref="L354:T354">L346+L348+L350+L352</f>
        <v>0</v>
      </c>
      <c r="M354" s="153">
        <f t="shared" si="79"/>
        <v>0</v>
      </c>
      <c r="N354" s="153">
        <f t="shared" si="79"/>
        <v>0</v>
      </c>
      <c r="O354" s="153">
        <f t="shared" si="79"/>
        <v>0</v>
      </c>
      <c r="P354" s="153">
        <f t="shared" si="79"/>
        <v>0</v>
      </c>
      <c r="Q354" s="153">
        <f t="shared" si="79"/>
        <v>0</v>
      </c>
      <c r="R354" s="153">
        <f t="shared" si="79"/>
        <v>0</v>
      </c>
      <c r="S354" s="153">
        <f t="shared" si="79"/>
        <v>0</v>
      </c>
      <c r="T354" s="154">
        <f t="shared" si="79"/>
        <v>0</v>
      </c>
      <c r="U354" s="307"/>
    </row>
    <row r="355" spans="1:21" ht="12.75">
      <c r="A355" s="284">
        <f>A345+1</f>
        <v>34</v>
      </c>
      <c r="B355" s="286">
        <v>853</v>
      </c>
      <c r="C355" s="286">
        <v>85395</v>
      </c>
      <c r="D355" s="329" t="s">
        <v>165</v>
      </c>
      <c r="E355" s="332" t="s">
        <v>161</v>
      </c>
      <c r="F355" s="321">
        <v>2011</v>
      </c>
      <c r="G355" s="132" t="s">
        <v>106</v>
      </c>
      <c r="H355" s="133" t="s">
        <v>107</v>
      </c>
      <c r="I355" s="134"/>
      <c r="J355" s="135"/>
      <c r="K355" s="136">
        <f t="shared" si="75"/>
        <v>0</v>
      </c>
      <c r="L355" s="136"/>
      <c r="M355" s="136"/>
      <c r="N355" s="136"/>
      <c r="O355" s="136"/>
      <c r="P355" s="136"/>
      <c r="Q355" s="136"/>
      <c r="R355" s="136"/>
      <c r="S355" s="136"/>
      <c r="T355" s="137"/>
      <c r="U355" s="322">
        <f>M363+N363+O363+P363+Q363+R363+S363+M364+N364+O364+P364+Q364+R364+T363+T364+S364</f>
        <v>1794184</v>
      </c>
    </row>
    <row r="356" spans="1:21" ht="12.75">
      <c r="A356" s="285"/>
      <c r="B356" s="287"/>
      <c r="C356" s="287"/>
      <c r="D356" s="330"/>
      <c r="E356" s="333"/>
      <c r="F356" s="267"/>
      <c r="G356" s="281">
        <f>SUM(K363:T363)</f>
        <v>2717521</v>
      </c>
      <c r="H356" s="139" t="s">
        <v>108</v>
      </c>
      <c r="I356" s="140"/>
      <c r="J356" s="141"/>
      <c r="K356" s="142">
        <f t="shared" si="75"/>
        <v>0</v>
      </c>
      <c r="L356" s="142"/>
      <c r="M356" s="142"/>
      <c r="N356" s="142"/>
      <c r="O356" s="142"/>
      <c r="P356" s="142"/>
      <c r="Q356" s="142"/>
      <c r="R356" s="142"/>
      <c r="S356" s="142"/>
      <c r="T356" s="143"/>
      <c r="U356" s="264"/>
    </row>
    <row r="357" spans="1:21" ht="12.75">
      <c r="A357" s="285"/>
      <c r="B357" s="287"/>
      <c r="C357" s="287"/>
      <c r="D357" s="330"/>
      <c r="E357" s="333"/>
      <c r="F357" s="267"/>
      <c r="G357" s="317"/>
      <c r="H357" s="139" t="s">
        <v>109</v>
      </c>
      <c r="I357" s="140"/>
      <c r="J357" s="141"/>
      <c r="K357" s="142">
        <f t="shared" si="75"/>
        <v>0</v>
      </c>
      <c r="L357" s="142">
        <v>138501</v>
      </c>
      <c r="M357" s="142">
        <v>180136</v>
      </c>
      <c r="N357" s="142">
        <v>88992</v>
      </c>
      <c r="O357" s="142"/>
      <c r="P357" s="142"/>
      <c r="Q357" s="142"/>
      <c r="R357" s="142"/>
      <c r="S357" s="142"/>
      <c r="T357" s="143"/>
      <c r="U357" s="264"/>
    </row>
    <row r="358" spans="1:21" ht="12.75">
      <c r="A358" s="285"/>
      <c r="B358" s="287"/>
      <c r="C358" s="287"/>
      <c r="D358" s="330"/>
      <c r="E358" s="333"/>
      <c r="F358" s="267"/>
      <c r="G358" s="145" t="s">
        <v>110</v>
      </c>
      <c r="H358" s="139" t="s">
        <v>111</v>
      </c>
      <c r="I358" s="140"/>
      <c r="J358" s="141"/>
      <c r="K358" s="142">
        <f t="shared" si="75"/>
        <v>0</v>
      </c>
      <c r="L358" s="142"/>
      <c r="M358" s="142"/>
      <c r="N358" s="142"/>
      <c r="O358" s="142"/>
      <c r="P358" s="142"/>
      <c r="Q358" s="142"/>
      <c r="R358" s="142"/>
      <c r="S358" s="142"/>
      <c r="T358" s="143"/>
      <c r="U358" s="264"/>
    </row>
    <row r="359" spans="1:21" ht="12.75">
      <c r="A359" s="285"/>
      <c r="B359" s="287"/>
      <c r="C359" s="287"/>
      <c r="D359" s="330"/>
      <c r="E359" s="333"/>
      <c r="F359" s="267"/>
      <c r="G359" s="281">
        <f>SUM(K364:T364)</f>
        <v>0</v>
      </c>
      <c r="H359" s="139" t="s">
        <v>112</v>
      </c>
      <c r="I359" s="140">
        <f>24550-24550</f>
        <v>0</v>
      </c>
      <c r="J359" s="141"/>
      <c r="K359" s="142">
        <f t="shared" si="75"/>
        <v>0</v>
      </c>
      <c r="L359" s="142">
        <v>784836</v>
      </c>
      <c r="M359" s="142">
        <v>1020768</v>
      </c>
      <c r="N359" s="142">
        <v>504288</v>
      </c>
      <c r="O359" s="142"/>
      <c r="P359" s="142"/>
      <c r="Q359" s="142"/>
      <c r="R359" s="142"/>
      <c r="S359" s="142"/>
      <c r="T359" s="143"/>
      <c r="U359" s="264"/>
    </row>
    <row r="360" spans="1:21" ht="12.75">
      <c r="A360" s="285"/>
      <c r="B360" s="287"/>
      <c r="C360" s="287"/>
      <c r="D360" s="330"/>
      <c r="E360" s="333"/>
      <c r="F360" s="267">
        <v>2013</v>
      </c>
      <c r="G360" s="317"/>
      <c r="H360" s="139" t="s">
        <v>113</v>
      </c>
      <c r="I360" s="140"/>
      <c r="J360" s="141"/>
      <c r="K360" s="142">
        <f t="shared" si="75"/>
        <v>0</v>
      </c>
      <c r="L360" s="142"/>
      <c r="M360" s="142"/>
      <c r="N360" s="142"/>
      <c r="O360" s="142"/>
      <c r="P360" s="142"/>
      <c r="Q360" s="142"/>
      <c r="R360" s="142"/>
      <c r="S360" s="142"/>
      <c r="T360" s="143"/>
      <c r="U360" s="264"/>
    </row>
    <row r="361" spans="1:21" ht="12.75">
      <c r="A361" s="285"/>
      <c r="B361" s="287"/>
      <c r="C361" s="287"/>
      <c r="D361" s="330"/>
      <c r="E361" s="333"/>
      <c r="F361" s="267"/>
      <c r="G361" s="145" t="s">
        <v>114</v>
      </c>
      <c r="H361" s="139" t="s">
        <v>115</v>
      </c>
      <c r="I361" s="140"/>
      <c r="J361" s="141"/>
      <c r="K361" s="142">
        <f t="shared" si="75"/>
        <v>0</v>
      </c>
      <c r="L361" s="142"/>
      <c r="M361" s="142"/>
      <c r="N361" s="142"/>
      <c r="O361" s="142"/>
      <c r="P361" s="142"/>
      <c r="Q361" s="142"/>
      <c r="R361" s="142"/>
      <c r="S361" s="142"/>
      <c r="T361" s="143"/>
      <c r="U361" s="264"/>
    </row>
    <row r="362" spans="1:21" ht="12.75">
      <c r="A362" s="285"/>
      <c r="B362" s="287"/>
      <c r="C362" s="287"/>
      <c r="D362" s="330"/>
      <c r="E362" s="333"/>
      <c r="F362" s="267"/>
      <c r="G362" s="281">
        <f>G356+G359</f>
        <v>2717521</v>
      </c>
      <c r="H362" s="139" t="s">
        <v>116</v>
      </c>
      <c r="I362" s="140"/>
      <c r="J362" s="141"/>
      <c r="K362" s="142">
        <f t="shared" si="75"/>
        <v>0</v>
      </c>
      <c r="L362" s="142"/>
      <c r="M362" s="142"/>
      <c r="N362" s="142"/>
      <c r="O362" s="142"/>
      <c r="P362" s="142"/>
      <c r="Q362" s="142"/>
      <c r="R362" s="142"/>
      <c r="S362" s="142"/>
      <c r="T362" s="143"/>
      <c r="U362" s="264"/>
    </row>
    <row r="363" spans="1:21" ht="12.75">
      <c r="A363" s="285"/>
      <c r="B363" s="287"/>
      <c r="C363" s="287"/>
      <c r="D363" s="330"/>
      <c r="E363" s="333"/>
      <c r="F363" s="267"/>
      <c r="G363" s="282"/>
      <c r="H363" s="139" t="s">
        <v>117</v>
      </c>
      <c r="I363" s="146">
        <f>I355+I357+I359+I361</f>
        <v>0</v>
      </c>
      <c r="J363" s="147">
        <f>J355+J357+J359+J361</f>
        <v>0</v>
      </c>
      <c r="K363" s="148">
        <f t="shared" si="75"/>
        <v>0</v>
      </c>
      <c r="L363" s="148">
        <f aca="true" t="shared" si="80" ref="L363:T363">L355+L357+L359+L361</f>
        <v>923337</v>
      </c>
      <c r="M363" s="148">
        <f t="shared" si="80"/>
        <v>1200904</v>
      </c>
      <c r="N363" s="148">
        <f t="shared" si="80"/>
        <v>593280</v>
      </c>
      <c r="O363" s="148">
        <f t="shared" si="80"/>
        <v>0</v>
      </c>
      <c r="P363" s="148">
        <f t="shared" si="80"/>
        <v>0</v>
      </c>
      <c r="Q363" s="148">
        <f t="shared" si="80"/>
        <v>0</v>
      </c>
      <c r="R363" s="148">
        <f t="shared" si="80"/>
        <v>0</v>
      </c>
      <c r="S363" s="148">
        <f t="shared" si="80"/>
        <v>0</v>
      </c>
      <c r="T363" s="149">
        <f t="shared" si="80"/>
        <v>0</v>
      </c>
      <c r="U363" s="264"/>
    </row>
    <row r="364" spans="1:21" ht="13.5" thickBot="1">
      <c r="A364" s="285"/>
      <c r="B364" s="318"/>
      <c r="C364" s="287"/>
      <c r="D364" s="331"/>
      <c r="E364" s="334"/>
      <c r="F364" s="310"/>
      <c r="G364" s="283"/>
      <c r="H364" s="150" t="s">
        <v>118</v>
      </c>
      <c r="I364" s="151">
        <f>I356+I358+I360+I362</f>
        <v>0</v>
      </c>
      <c r="J364" s="152">
        <f>J356+J358+J360+J362</f>
        <v>0</v>
      </c>
      <c r="K364" s="153">
        <f t="shared" si="75"/>
        <v>0</v>
      </c>
      <c r="L364" s="153">
        <f aca="true" t="shared" si="81" ref="L364:T364">L356+L358+L360+L362</f>
        <v>0</v>
      </c>
      <c r="M364" s="153">
        <f t="shared" si="81"/>
        <v>0</v>
      </c>
      <c r="N364" s="153">
        <f t="shared" si="81"/>
        <v>0</v>
      </c>
      <c r="O364" s="153">
        <f t="shared" si="81"/>
        <v>0</v>
      </c>
      <c r="P364" s="153">
        <f t="shared" si="81"/>
        <v>0</v>
      </c>
      <c r="Q364" s="153">
        <f t="shared" si="81"/>
        <v>0</v>
      </c>
      <c r="R364" s="153">
        <f t="shared" si="81"/>
        <v>0</v>
      </c>
      <c r="S364" s="153">
        <f t="shared" si="81"/>
        <v>0</v>
      </c>
      <c r="T364" s="154">
        <f t="shared" si="81"/>
        <v>0</v>
      </c>
      <c r="U364" s="307"/>
    </row>
    <row r="365" spans="1:21" ht="12.75">
      <c r="A365" s="284">
        <f>A355+1</f>
        <v>35</v>
      </c>
      <c r="B365" s="286">
        <v>854</v>
      </c>
      <c r="C365" s="286">
        <v>85407</v>
      </c>
      <c r="D365" s="323" t="s">
        <v>149</v>
      </c>
      <c r="E365" s="335" t="s">
        <v>166</v>
      </c>
      <c r="F365" s="321">
        <v>2011</v>
      </c>
      <c r="G365" s="132" t="s">
        <v>106</v>
      </c>
      <c r="H365" s="133" t="s">
        <v>107</v>
      </c>
      <c r="I365" s="134"/>
      <c r="J365" s="135"/>
      <c r="K365" s="136">
        <f t="shared" si="75"/>
        <v>0</v>
      </c>
      <c r="L365" s="136"/>
      <c r="M365" s="136"/>
      <c r="N365" s="136"/>
      <c r="O365" s="136"/>
      <c r="P365" s="136"/>
      <c r="Q365" s="136"/>
      <c r="R365" s="136"/>
      <c r="S365" s="136"/>
      <c r="T365" s="137"/>
      <c r="U365" s="322">
        <f>M373+N373+O373+P373+Q373+R373+S373+M374+N374+O374+P374+Q374+R374+T373+T374+S374</f>
        <v>0</v>
      </c>
    </row>
    <row r="366" spans="1:21" ht="12.75">
      <c r="A366" s="285"/>
      <c r="B366" s="287"/>
      <c r="C366" s="287"/>
      <c r="D366" s="319"/>
      <c r="E366" s="268"/>
      <c r="F366" s="267"/>
      <c r="G366" s="281">
        <f>SUM(K373:T373)</f>
        <v>48015</v>
      </c>
      <c r="H366" s="139" t="s">
        <v>108</v>
      </c>
      <c r="I366" s="140"/>
      <c r="J366" s="141"/>
      <c r="K366" s="142">
        <f t="shared" si="75"/>
        <v>0</v>
      </c>
      <c r="L366" s="142"/>
      <c r="M366" s="142"/>
      <c r="N366" s="142"/>
      <c r="O366" s="142"/>
      <c r="P366" s="142"/>
      <c r="Q366" s="142"/>
      <c r="R366" s="142"/>
      <c r="S366" s="142"/>
      <c r="T366" s="143"/>
      <c r="U366" s="264"/>
    </row>
    <row r="367" spans="1:21" ht="12.75">
      <c r="A367" s="285"/>
      <c r="B367" s="287"/>
      <c r="C367" s="287"/>
      <c r="D367" s="319"/>
      <c r="E367" s="268"/>
      <c r="F367" s="267"/>
      <c r="G367" s="317"/>
      <c r="H367" s="139" t="s">
        <v>109</v>
      </c>
      <c r="I367" s="140"/>
      <c r="J367" s="141"/>
      <c r="K367" s="142">
        <f t="shared" si="75"/>
        <v>0</v>
      </c>
      <c r="L367" s="142"/>
      <c r="M367" s="142"/>
      <c r="N367" s="142"/>
      <c r="O367" s="142"/>
      <c r="P367" s="142"/>
      <c r="Q367" s="142"/>
      <c r="R367" s="142"/>
      <c r="S367" s="142"/>
      <c r="T367" s="143"/>
      <c r="U367" s="264"/>
    </row>
    <row r="368" spans="1:21" ht="12.75">
      <c r="A368" s="285"/>
      <c r="B368" s="287"/>
      <c r="C368" s="287"/>
      <c r="D368" s="319"/>
      <c r="E368" s="268"/>
      <c r="F368" s="267"/>
      <c r="G368" s="145" t="s">
        <v>110</v>
      </c>
      <c r="H368" s="139" t="s">
        <v>111</v>
      </c>
      <c r="I368" s="140"/>
      <c r="J368" s="141"/>
      <c r="K368" s="142">
        <f aca="true" t="shared" si="82" ref="K368:K399">SUM(I368:J368)</f>
        <v>0</v>
      </c>
      <c r="L368" s="142"/>
      <c r="M368" s="142"/>
      <c r="N368" s="142"/>
      <c r="O368" s="142"/>
      <c r="P368" s="142"/>
      <c r="Q368" s="142"/>
      <c r="R368" s="142"/>
      <c r="S368" s="142"/>
      <c r="T368" s="143"/>
      <c r="U368" s="264"/>
    </row>
    <row r="369" spans="1:21" ht="12.75">
      <c r="A369" s="285"/>
      <c r="B369" s="287"/>
      <c r="C369" s="287"/>
      <c r="D369" s="319"/>
      <c r="E369" s="268"/>
      <c r="F369" s="267"/>
      <c r="G369" s="281">
        <f>SUM(K374:T374)</f>
        <v>0</v>
      </c>
      <c r="H369" s="139" t="s">
        <v>112</v>
      </c>
      <c r="I369" s="140">
        <f>24550-24550</f>
        <v>0</v>
      </c>
      <c r="J369" s="141"/>
      <c r="K369" s="142">
        <f t="shared" si="82"/>
        <v>0</v>
      </c>
      <c r="L369" s="142">
        <v>48015</v>
      </c>
      <c r="M369" s="142"/>
      <c r="N369" s="142"/>
      <c r="O369" s="142"/>
      <c r="P369" s="142"/>
      <c r="Q369" s="142"/>
      <c r="R369" s="142"/>
      <c r="S369" s="142"/>
      <c r="T369" s="143"/>
      <c r="U369" s="264"/>
    </row>
    <row r="370" spans="1:21" ht="12.75">
      <c r="A370" s="285"/>
      <c r="B370" s="287"/>
      <c r="C370" s="287"/>
      <c r="D370" s="319"/>
      <c r="E370" s="268"/>
      <c r="F370" s="267">
        <v>2011</v>
      </c>
      <c r="G370" s="317"/>
      <c r="H370" s="139" t="s">
        <v>113</v>
      </c>
      <c r="I370" s="140"/>
      <c r="J370" s="141"/>
      <c r="K370" s="142">
        <f t="shared" si="82"/>
        <v>0</v>
      </c>
      <c r="L370" s="142"/>
      <c r="M370" s="142"/>
      <c r="N370" s="142"/>
      <c r="O370" s="142"/>
      <c r="P370" s="142"/>
      <c r="Q370" s="142"/>
      <c r="R370" s="142"/>
      <c r="S370" s="142"/>
      <c r="T370" s="143"/>
      <c r="U370" s="264"/>
    </row>
    <row r="371" spans="1:21" ht="12.75">
      <c r="A371" s="285"/>
      <c r="B371" s="287"/>
      <c r="C371" s="287"/>
      <c r="D371" s="319"/>
      <c r="E371" s="268"/>
      <c r="F371" s="267"/>
      <c r="G371" s="145" t="s">
        <v>114</v>
      </c>
      <c r="H371" s="139" t="s">
        <v>115</v>
      </c>
      <c r="I371" s="140"/>
      <c r="J371" s="141"/>
      <c r="K371" s="142">
        <f t="shared" si="82"/>
        <v>0</v>
      </c>
      <c r="L371" s="142"/>
      <c r="M371" s="142"/>
      <c r="N371" s="142"/>
      <c r="O371" s="142"/>
      <c r="P371" s="142"/>
      <c r="Q371" s="142"/>
      <c r="R371" s="142"/>
      <c r="S371" s="142"/>
      <c r="T371" s="143"/>
      <c r="U371" s="264"/>
    </row>
    <row r="372" spans="1:21" ht="12.75">
      <c r="A372" s="285"/>
      <c r="B372" s="287"/>
      <c r="C372" s="287"/>
      <c r="D372" s="319"/>
      <c r="E372" s="268"/>
      <c r="F372" s="267"/>
      <c r="G372" s="281">
        <f>G366+G369</f>
        <v>48015</v>
      </c>
      <c r="H372" s="139" t="s">
        <v>116</v>
      </c>
      <c r="I372" s="140"/>
      <c r="J372" s="141"/>
      <c r="K372" s="142">
        <f t="shared" si="82"/>
        <v>0</v>
      </c>
      <c r="L372" s="142"/>
      <c r="M372" s="142"/>
      <c r="N372" s="142"/>
      <c r="O372" s="142"/>
      <c r="P372" s="142"/>
      <c r="Q372" s="142"/>
      <c r="R372" s="142"/>
      <c r="S372" s="142"/>
      <c r="T372" s="143"/>
      <c r="U372" s="264"/>
    </row>
    <row r="373" spans="1:21" ht="12.75">
      <c r="A373" s="285"/>
      <c r="B373" s="287"/>
      <c r="C373" s="287"/>
      <c r="D373" s="319"/>
      <c r="E373" s="268"/>
      <c r="F373" s="267"/>
      <c r="G373" s="282"/>
      <c r="H373" s="139" t="s">
        <v>117</v>
      </c>
      <c r="I373" s="146">
        <f>I365+I367+I369+I371</f>
        <v>0</v>
      </c>
      <c r="J373" s="147">
        <f>J365+J367+J369+J371</f>
        <v>0</v>
      </c>
      <c r="K373" s="148">
        <f t="shared" si="82"/>
        <v>0</v>
      </c>
      <c r="L373" s="148">
        <f aca="true" t="shared" si="83" ref="L373:T373">L365+L367+L369+L371</f>
        <v>48015</v>
      </c>
      <c r="M373" s="148">
        <f t="shared" si="83"/>
        <v>0</v>
      </c>
      <c r="N373" s="148">
        <f t="shared" si="83"/>
        <v>0</v>
      </c>
      <c r="O373" s="148">
        <f t="shared" si="83"/>
        <v>0</v>
      </c>
      <c r="P373" s="148">
        <f t="shared" si="83"/>
        <v>0</v>
      </c>
      <c r="Q373" s="148">
        <f t="shared" si="83"/>
        <v>0</v>
      </c>
      <c r="R373" s="148">
        <f t="shared" si="83"/>
        <v>0</v>
      </c>
      <c r="S373" s="148">
        <f t="shared" si="83"/>
        <v>0</v>
      </c>
      <c r="T373" s="149">
        <f t="shared" si="83"/>
        <v>0</v>
      </c>
      <c r="U373" s="264"/>
    </row>
    <row r="374" spans="1:21" ht="13.5" thickBot="1">
      <c r="A374" s="285"/>
      <c r="B374" s="318"/>
      <c r="C374" s="318"/>
      <c r="D374" s="320"/>
      <c r="E374" s="265"/>
      <c r="F374" s="310"/>
      <c r="G374" s="283"/>
      <c r="H374" s="150" t="s">
        <v>118</v>
      </c>
      <c r="I374" s="151">
        <f>I366+I368+I370+I372</f>
        <v>0</v>
      </c>
      <c r="J374" s="152">
        <f>J366+J368+J370+J372</f>
        <v>0</v>
      </c>
      <c r="K374" s="153">
        <f t="shared" si="82"/>
        <v>0</v>
      </c>
      <c r="L374" s="153">
        <f aca="true" t="shared" si="84" ref="L374:T374">L366+L368+L370+L372</f>
        <v>0</v>
      </c>
      <c r="M374" s="153">
        <f t="shared" si="84"/>
        <v>0</v>
      </c>
      <c r="N374" s="153">
        <f t="shared" si="84"/>
        <v>0</v>
      </c>
      <c r="O374" s="153">
        <f t="shared" si="84"/>
        <v>0</v>
      </c>
      <c r="P374" s="153">
        <f t="shared" si="84"/>
        <v>0</v>
      </c>
      <c r="Q374" s="153">
        <f t="shared" si="84"/>
        <v>0</v>
      </c>
      <c r="R374" s="153">
        <f t="shared" si="84"/>
        <v>0</v>
      </c>
      <c r="S374" s="153">
        <f t="shared" si="84"/>
        <v>0</v>
      </c>
      <c r="T374" s="154">
        <f t="shared" si="84"/>
        <v>0</v>
      </c>
      <c r="U374" s="307"/>
    </row>
    <row r="375" spans="1:21" ht="13.5" thickBot="1">
      <c r="A375" s="284">
        <f>A365+1</f>
        <v>36</v>
      </c>
      <c r="B375" s="286">
        <v>900</v>
      </c>
      <c r="C375" s="286">
        <v>90001</v>
      </c>
      <c r="D375" s="328" t="s">
        <v>167</v>
      </c>
      <c r="E375" s="324" t="s">
        <v>168</v>
      </c>
      <c r="F375" s="321">
        <v>2009</v>
      </c>
      <c r="G375" s="132" t="s">
        <v>106</v>
      </c>
      <c r="H375" s="133" t="s">
        <v>107</v>
      </c>
      <c r="I375" s="134">
        <f>49992-49992</f>
        <v>0</v>
      </c>
      <c r="J375" s="135"/>
      <c r="K375" s="136">
        <f t="shared" si="82"/>
        <v>0</v>
      </c>
      <c r="L375" s="136"/>
      <c r="M375" s="136"/>
      <c r="N375" s="136"/>
      <c r="O375" s="136"/>
      <c r="P375" s="136"/>
      <c r="Q375" s="136"/>
      <c r="R375" s="136"/>
      <c r="S375" s="136"/>
      <c r="T375" s="137"/>
      <c r="U375" s="322">
        <f>M383+N383+O383+P383+Q383+R383+S383+M384+N384+O384+P384+Q384+R384+T383+T384+S384</f>
        <v>37610510</v>
      </c>
    </row>
    <row r="376" spans="1:21" ht="13.5" thickBot="1">
      <c r="A376" s="285"/>
      <c r="B376" s="287"/>
      <c r="C376" s="287"/>
      <c r="D376" s="315"/>
      <c r="E376" s="324"/>
      <c r="F376" s="267"/>
      <c r="G376" s="281">
        <f>SUM(K383:T383)</f>
        <v>0</v>
      </c>
      <c r="H376" s="139" t="s">
        <v>108</v>
      </c>
      <c r="I376" s="140">
        <v>3317952</v>
      </c>
      <c r="J376" s="141"/>
      <c r="K376" s="142">
        <f t="shared" si="82"/>
        <v>3317952</v>
      </c>
      <c r="L376" s="142">
        <f>2609540-2087632</f>
        <v>521908</v>
      </c>
      <c r="M376" s="142">
        <v>10490666</v>
      </c>
      <c r="N376" s="142">
        <v>14045865</v>
      </c>
      <c r="O376" s="142"/>
      <c r="P376" s="142"/>
      <c r="Q376" s="142"/>
      <c r="R376" s="142"/>
      <c r="S376" s="142"/>
      <c r="T376" s="143"/>
      <c r="U376" s="264"/>
    </row>
    <row r="377" spans="1:21" ht="13.5" thickBot="1">
      <c r="A377" s="285"/>
      <c r="B377" s="287"/>
      <c r="C377" s="287"/>
      <c r="D377" s="315"/>
      <c r="E377" s="324"/>
      <c r="F377" s="267"/>
      <c r="G377" s="317"/>
      <c r="H377" s="139" t="s">
        <v>109</v>
      </c>
      <c r="I377" s="140"/>
      <c r="J377" s="141"/>
      <c r="K377" s="142">
        <f t="shared" si="82"/>
        <v>0</v>
      </c>
      <c r="L377" s="142"/>
      <c r="M377" s="142"/>
      <c r="N377" s="142"/>
      <c r="O377" s="142"/>
      <c r="P377" s="142"/>
      <c r="Q377" s="142"/>
      <c r="R377" s="142"/>
      <c r="S377" s="142"/>
      <c r="T377" s="143"/>
      <c r="U377" s="264"/>
    </row>
    <row r="378" spans="1:21" ht="13.5" thickBot="1">
      <c r="A378" s="285"/>
      <c r="B378" s="287"/>
      <c r="C378" s="287"/>
      <c r="D378" s="315"/>
      <c r="E378" s="324"/>
      <c r="F378" s="267"/>
      <c r="G378" s="145" t="s">
        <v>110</v>
      </c>
      <c r="H378" s="139" t="s">
        <v>111</v>
      </c>
      <c r="I378" s="140"/>
      <c r="J378" s="141"/>
      <c r="K378" s="142">
        <f t="shared" si="82"/>
        <v>0</v>
      </c>
      <c r="L378" s="142"/>
      <c r="M378" s="142"/>
      <c r="N378" s="142"/>
      <c r="O378" s="142"/>
      <c r="P378" s="142"/>
      <c r="Q378" s="142"/>
      <c r="R378" s="142"/>
      <c r="S378" s="142"/>
      <c r="T378" s="143"/>
      <c r="U378" s="264"/>
    </row>
    <row r="379" spans="1:21" ht="13.5" thickBot="1">
      <c r="A379" s="285"/>
      <c r="B379" s="287"/>
      <c r="C379" s="287"/>
      <c r="D379" s="315"/>
      <c r="E379" s="324"/>
      <c r="F379" s="267"/>
      <c r="G379" s="281">
        <f>SUM(K384:T384)</f>
        <v>43496391</v>
      </c>
      <c r="H379" s="139" t="s">
        <v>112</v>
      </c>
      <c r="I379" s="140"/>
      <c r="J379" s="141"/>
      <c r="K379" s="142">
        <f t="shared" si="82"/>
        <v>0</v>
      </c>
      <c r="L379" s="142"/>
      <c r="M379" s="142"/>
      <c r="N379" s="142"/>
      <c r="O379" s="142"/>
      <c r="P379" s="142"/>
      <c r="Q379" s="142"/>
      <c r="R379" s="142"/>
      <c r="S379" s="142"/>
      <c r="T379" s="143"/>
      <c r="U379" s="264"/>
    </row>
    <row r="380" spans="1:21" ht="13.5" thickBot="1">
      <c r="A380" s="285"/>
      <c r="B380" s="287"/>
      <c r="C380" s="287"/>
      <c r="D380" s="315"/>
      <c r="E380" s="324"/>
      <c r="F380" s="267">
        <v>2012</v>
      </c>
      <c r="G380" s="317"/>
      <c r="H380" s="139" t="s">
        <v>113</v>
      </c>
      <c r="I380" s="140">
        <v>1767929</v>
      </c>
      <c r="J380" s="141"/>
      <c r="K380" s="142">
        <f t="shared" si="82"/>
        <v>1767929</v>
      </c>
      <c r="L380" s="142">
        <f>1390460-1112368</f>
        <v>278092</v>
      </c>
      <c r="M380" s="142">
        <v>5589819</v>
      </c>
      <c r="N380" s="142">
        <v>7484160</v>
      </c>
      <c r="O380" s="142"/>
      <c r="P380" s="142"/>
      <c r="Q380" s="142"/>
      <c r="R380" s="142"/>
      <c r="S380" s="142"/>
      <c r="T380" s="143"/>
      <c r="U380" s="264"/>
    </row>
    <row r="381" spans="1:21" ht="13.5" thickBot="1">
      <c r="A381" s="285"/>
      <c r="B381" s="287"/>
      <c r="C381" s="287"/>
      <c r="D381" s="315"/>
      <c r="E381" s="324"/>
      <c r="F381" s="267"/>
      <c r="G381" s="145" t="s">
        <v>114</v>
      </c>
      <c r="H381" s="139" t="s">
        <v>115</v>
      </c>
      <c r="I381" s="140"/>
      <c r="J381" s="141"/>
      <c r="K381" s="142">
        <f t="shared" si="82"/>
        <v>0</v>
      </c>
      <c r="L381" s="142"/>
      <c r="M381" s="142"/>
      <c r="N381" s="142"/>
      <c r="O381" s="142"/>
      <c r="P381" s="142"/>
      <c r="Q381" s="142"/>
      <c r="R381" s="142"/>
      <c r="S381" s="142"/>
      <c r="T381" s="143"/>
      <c r="U381" s="264"/>
    </row>
    <row r="382" spans="1:21" ht="13.5" thickBot="1">
      <c r="A382" s="285"/>
      <c r="B382" s="287"/>
      <c r="C382" s="287"/>
      <c r="D382" s="315"/>
      <c r="E382" s="324"/>
      <c r="F382" s="267"/>
      <c r="G382" s="281">
        <f>G376+G379</f>
        <v>43496391</v>
      </c>
      <c r="H382" s="139" t="s">
        <v>116</v>
      </c>
      <c r="I382" s="140"/>
      <c r="J382" s="141"/>
      <c r="K382" s="142">
        <f t="shared" si="82"/>
        <v>0</v>
      </c>
      <c r="L382" s="142"/>
      <c r="M382" s="142"/>
      <c r="N382" s="142"/>
      <c r="O382" s="142"/>
      <c r="P382" s="142"/>
      <c r="Q382" s="142"/>
      <c r="R382" s="142"/>
      <c r="S382" s="142"/>
      <c r="T382" s="143"/>
      <c r="U382" s="264"/>
    </row>
    <row r="383" spans="1:21" ht="13.5" thickBot="1">
      <c r="A383" s="285"/>
      <c r="B383" s="287"/>
      <c r="C383" s="287"/>
      <c r="D383" s="315"/>
      <c r="E383" s="324"/>
      <c r="F383" s="267"/>
      <c r="G383" s="282"/>
      <c r="H383" s="139" t="s">
        <v>117</v>
      </c>
      <c r="I383" s="146">
        <f>I375+I377+I379+I381</f>
        <v>0</v>
      </c>
      <c r="J383" s="147">
        <f>J375+J377+J379+J381</f>
        <v>0</v>
      </c>
      <c r="K383" s="148">
        <f t="shared" si="82"/>
        <v>0</v>
      </c>
      <c r="L383" s="148">
        <f aca="true" t="shared" si="85" ref="L383:T383">L375+L377+L379+L381</f>
        <v>0</v>
      </c>
      <c r="M383" s="148">
        <f t="shared" si="85"/>
        <v>0</v>
      </c>
      <c r="N383" s="148">
        <f t="shared" si="85"/>
        <v>0</v>
      </c>
      <c r="O383" s="148">
        <f t="shared" si="85"/>
        <v>0</v>
      </c>
      <c r="P383" s="148">
        <f t="shared" si="85"/>
        <v>0</v>
      </c>
      <c r="Q383" s="148">
        <f t="shared" si="85"/>
        <v>0</v>
      </c>
      <c r="R383" s="148">
        <f t="shared" si="85"/>
        <v>0</v>
      </c>
      <c r="S383" s="148">
        <f t="shared" si="85"/>
        <v>0</v>
      </c>
      <c r="T383" s="149">
        <f t="shared" si="85"/>
        <v>0</v>
      </c>
      <c r="U383" s="264"/>
    </row>
    <row r="384" spans="1:21" ht="13.5" thickBot="1">
      <c r="A384" s="285"/>
      <c r="B384" s="318"/>
      <c r="C384" s="318"/>
      <c r="D384" s="316"/>
      <c r="E384" s="324"/>
      <c r="F384" s="310"/>
      <c r="G384" s="283"/>
      <c r="H384" s="150" t="s">
        <v>118</v>
      </c>
      <c r="I384" s="151">
        <f>I376+I378+I380+I382</f>
        <v>5085881</v>
      </c>
      <c r="J384" s="152">
        <f>J376+J378+J380+J382</f>
        <v>0</v>
      </c>
      <c r="K384" s="153">
        <f t="shared" si="82"/>
        <v>5085881</v>
      </c>
      <c r="L384" s="153">
        <f aca="true" t="shared" si="86" ref="L384:T384">L376+L378+L380+L382</f>
        <v>800000</v>
      </c>
      <c r="M384" s="153">
        <f t="shared" si="86"/>
        <v>16080485</v>
      </c>
      <c r="N384" s="153">
        <f t="shared" si="86"/>
        <v>21530025</v>
      </c>
      <c r="O384" s="153">
        <f t="shared" si="86"/>
        <v>0</v>
      </c>
      <c r="P384" s="153">
        <f t="shared" si="86"/>
        <v>0</v>
      </c>
      <c r="Q384" s="153">
        <f t="shared" si="86"/>
        <v>0</v>
      </c>
      <c r="R384" s="153">
        <f t="shared" si="86"/>
        <v>0</v>
      </c>
      <c r="S384" s="153">
        <f t="shared" si="86"/>
        <v>0</v>
      </c>
      <c r="T384" s="154">
        <f t="shared" si="86"/>
        <v>0</v>
      </c>
      <c r="U384" s="307"/>
    </row>
    <row r="385" spans="1:21" ht="12.75" customHeight="1" thickBot="1">
      <c r="A385" s="284">
        <f>A375+1</f>
        <v>37</v>
      </c>
      <c r="B385" s="286">
        <v>900</v>
      </c>
      <c r="C385" s="286">
        <v>90004</v>
      </c>
      <c r="D385" s="323" t="s">
        <v>169</v>
      </c>
      <c r="E385" s="324" t="s">
        <v>168</v>
      </c>
      <c r="F385" s="321">
        <v>2011</v>
      </c>
      <c r="G385" s="132" t="s">
        <v>106</v>
      </c>
      <c r="H385" s="133" t="s">
        <v>107</v>
      </c>
      <c r="I385" s="134"/>
      <c r="J385" s="135"/>
      <c r="K385" s="136">
        <f t="shared" si="82"/>
        <v>0</v>
      </c>
      <c r="L385" s="136"/>
      <c r="M385" s="136"/>
      <c r="N385" s="136"/>
      <c r="O385" s="136"/>
      <c r="P385" s="136"/>
      <c r="Q385" s="136"/>
      <c r="R385" s="136"/>
      <c r="S385" s="136"/>
      <c r="T385" s="137"/>
      <c r="U385" s="322">
        <f>M393+N393+O393+P393+Q393+R393+S393+M394+N394+O394+P394+Q394+R394+T393+T394+S394</f>
        <v>256403</v>
      </c>
    </row>
    <row r="386" spans="1:21" ht="13.5" thickBot="1">
      <c r="A386" s="285"/>
      <c r="B386" s="287"/>
      <c r="C386" s="287"/>
      <c r="D386" s="319"/>
      <c r="E386" s="324"/>
      <c r="F386" s="267"/>
      <c r="G386" s="281">
        <f>SUM(K393:T393)</f>
        <v>0</v>
      </c>
      <c r="H386" s="139" t="s">
        <v>108</v>
      </c>
      <c r="I386" s="140"/>
      <c r="J386" s="141"/>
      <c r="K386" s="142">
        <f t="shared" si="82"/>
        <v>0</v>
      </c>
      <c r="L386" s="142">
        <v>8026</v>
      </c>
      <c r="M386" s="142">
        <v>256403</v>
      </c>
      <c r="N386" s="142"/>
      <c r="O386" s="142"/>
      <c r="P386" s="142"/>
      <c r="Q386" s="142"/>
      <c r="R386" s="142"/>
      <c r="S386" s="142"/>
      <c r="T386" s="143"/>
      <c r="U386" s="264"/>
    </row>
    <row r="387" spans="1:21" ht="13.5" thickBot="1">
      <c r="A387" s="285"/>
      <c r="B387" s="287"/>
      <c r="C387" s="287"/>
      <c r="D387" s="319"/>
      <c r="E387" s="324"/>
      <c r="F387" s="267"/>
      <c r="G387" s="317"/>
      <c r="H387" s="139" t="s">
        <v>109</v>
      </c>
      <c r="I387" s="140"/>
      <c r="J387" s="141"/>
      <c r="K387" s="142">
        <f t="shared" si="82"/>
        <v>0</v>
      </c>
      <c r="L387" s="142"/>
      <c r="M387" s="142"/>
      <c r="N387" s="142"/>
      <c r="O387" s="142"/>
      <c r="P387" s="142"/>
      <c r="Q387" s="142"/>
      <c r="R387" s="142"/>
      <c r="S387" s="142"/>
      <c r="T387" s="143"/>
      <c r="U387" s="264"/>
    </row>
    <row r="388" spans="1:21" ht="13.5" thickBot="1">
      <c r="A388" s="285"/>
      <c r="B388" s="287"/>
      <c r="C388" s="287"/>
      <c r="D388" s="319"/>
      <c r="E388" s="324"/>
      <c r="F388" s="267"/>
      <c r="G388" s="145" t="s">
        <v>110</v>
      </c>
      <c r="H388" s="139" t="s">
        <v>111</v>
      </c>
      <c r="I388" s="140"/>
      <c r="J388" s="141"/>
      <c r="K388" s="142">
        <f t="shared" si="82"/>
        <v>0</v>
      </c>
      <c r="L388" s="142"/>
      <c r="M388" s="142"/>
      <c r="N388" s="142"/>
      <c r="O388" s="142"/>
      <c r="P388" s="142"/>
      <c r="Q388" s="142"/>
      <c r="R388" s="142"/>
      <c r="S388" s="142"/>
      <c r="T388" s="143"/>
      <c r="U388" s="264"/>
    </row>
    <row r="389" spans="1:21" ht="13.5" thickBot="1">
      <c r="A389" s="285"/>
      <c r="B389" s="287"/>
      <c r="C389" s="287"/>
      <c r="D389" s="319"/>
      <c r="E389" s="324"/>
      <c r="F389" s="267"/>
      <c r="G389" s="281">
        <f>SUM(K394:T394)</f>
        <v>264429</v>
      </c>
      <c r="H389" s="139" t="s">
        <v>112</v>
      </c>
      <c r="I389" s="140">
        <f>24550-24550</f>
        <v>0</v>
      </c>
      <c r="J389" s="141"/>
      <c r="K389" s="142">
        <f t="shared" si="82"/>
        <v>0</v>
      </c>
      <c r="L389" s="142"/>
      <c r="M389" s="142"/>
      <c r="N389" s="142"/>
      <c r="O389" s="142"/>
      <c r="P389" s="142"/>
      <c r="Q389" s="142"/>
      <c r="R389" s="142"/>
      <c r="S389" s="142"/>
      <c r="T389" s="143"/>
      <c r="U389" s="264"/>
    </row>
    <row r="390" spans="1:21" ht="13.5" thickBot="1">
      <c r="A390" s="285"/>
      <c r="B390" s="287"/>
      <c r="C390" s="287"/>
      <c r="D390" s="319"/>
      <c r="E390" s="324"/>
      <c r="F390" s="267">
        <v>2011</v>
      </c>
      <c r="G390" s="317"/>
      <c r="H390" s="139" t="s">
        <v>113</v>
      </c>
      <c r="I390" s="140"/>
      <c r="J390" s="141"/>
      <c r="K390" s="142">
        <f t="shared" si="82"/>
        <v>0</v>
      </c>
      <c r="L390" s="142"/>
      <c r="M390" s="142"/>
      <c r="N390" s="142"/>
      <c r="O390" s="142"/>
      <c r="P390" s="142"/>
      <c r="Q390" s="142"/>
      <c r="R390" s="142"/>
      <c r="S390" s="142"/>
      <c r="T390" s="143"/>
      <c r="U390" s="264"/>
    </row>
    <row r="391" spans="1:21" ht="13.5" thickBot="1">
      <c r="A391" s="285"/>
      <c r="B391" s="287"/>
      <c r="C391" s="287"/>
      <c r="D391" s="319"/>
      <c r="E391" s="324"/>
      <c r="F391" s="267"/>
      <c r="G391" s="145" t="s">
        <v>114</v>
      </c>
      <c r="H391" s="139" t="s">
        <v>115</v>
      </c>
      <c r="I391" s="140"/>
      <c r="J391" s="141"/>
      <c r="K391" s="142">
        <f t="shared" si="82"/>
        <v>0</v>
      </c>
      <c r="L391" s="142"/>
      <c r="M391" s="142"/>
      <c r="N391" s="142"/>
      <c r="O391" s="142"/>
      <c r="P391" s="142"/>
      <c r="Q391" s="142"/>
      <c r="R391" s="142"/>
      <c r="S391" s="142"/>
      <c r="T391" s="143"/>
      <c r="U391" s="264"/>
    </row>
    <row r="392" spans="1:21" ht="13.5" thickBot="1">
      <c r="A392" s="285"/>
      <c r="B392" s="287"/>
      <c r="C392" s="287"/>
      <c r="D392" s="319"/>
      <c r="E392" s="324"/>
      <c r="F392" s="267"/>
      <c r="G392" s="281">
        <f>G386+G389</f>
        <v>264429</v>
      </c>
      <c r="H392" s="139" t="s">
        <v>116</v>
      </c>
      <c r="I392" s="140"/>
      <c r="J392" s="141"/>
      <c r="K392" s="142">
        <f t="shared" si="82"/>
        <v>0</v>
      </c>
      <c r="L392" s="142"/>
      <c r="M392" s="142"/>
      <c r="N392" s="142"/>
      <c r="O392" s="142"/>
      <c r="P392" s="142"/>
      <c r="Q392" s="142"/>
      <c r="R392" s="142"/>
      <c r="S392" s="142"/>
      <c r="T392" s="143"/>
      <c r="U392" s="264"/>
    </row>
    <row r="393" spans="1:21" ht="13.5" thickBot="1">
      <c r="A393" s="285"/>
      <c r="B393" s="287"/>
      <c r="C393" s="287"/>
      <c r="D393" s="319"/>
      <c r="E393" s="324"/>
      <c r="F393" s="267"/>
      <c r="G393" s="282"/>
      <c r="H393" s="139" t="s">
        <v>117</v>
      </c>
      <c r="I393" s="146">
        <f>I385+I387+I389+I391</f>
        <v>0</v>
      </c>
      <c r="J393" s="147">
        <f>J385+J387+J389+J391</f>
        <v>0</v>
      </c>
      <c r="K393" s="148">
        <f t="shared" si="82"/>
        <v>0</v>
      </c>
      <c r="L393" s="148">
        <f aca="true" t="shared" si="87" ref="L393:T393">L385+L387+L389+L391</f>
        <v>0</v>
      </c>
      <c r="M393" s="148">
        <f t="shared" si="87"/>
        <v>0</v>
      </c>
      <c r="N393" s="148">
        <f t="shared" si="87"/>
        <v>0</v>
      </c>
      <c r="O393" s="148">
        <f t="shared" si="87"/>
        <v>0</v>
      </c>
      <c r="P393" s="148">
        <f t="shared" si="87"/>
        <v>0</v>
      </c>
      <c r="Q393" s="148">
        <f t="shared" si="87"/>
        <v>0</v>
      </c>
      <c r="R393" s="148">
        <f t="shared" si="87"/>
        <v>0</v>
      </c>
      <c r="S393" s="148">
        <f t="shared" si="87"/>
        <v>0</v>
      </c>
      <c r="T393" s="149">
        <f t="shared" si="87"/>
        <v>0</v>
      </c>
      <c r="U393" s="264"/>
    </row>
    <row r="394" spans="1:21" ht="13.5" thickBot="1">
      <c r="A394" s="285"/>
      <c r="B394" s="318"/>
      <c r="C394" s="318"/>
      <c r="D394" s="320"/>
      <c r="E394" s="324"/>
      <c r="F394" s="310"/>
      <c r="G394" s="283"/>
      <c r="H394" s="150" t="s">
        <v>118</v>
      </c>
      <c r="I394" s="151">
        <f>I386+I388+I390+I392</f>
        <v>0</v>
      </c>
      <c r="J394" s="152">
        <f>J386+J388+J390+J392</f>
        <v>0</v>
      </c>
      <c r="K394" s="153">
        <f t="shared" si="82"/>
        <v>0</v>
      </c>
      <c r="L394" s="153">
        <f aca="true" t="shared" si="88" ref="L394:T394">L386+L388+L390+L392</f>
        <v>8026</v>
      </c>
      <c r="M394" s="153">
        <f t="shared" si="88"/>
        <v>256403</v>
      </c>
      <c r="N394" s="153">
        <f t="shared" si="88"/>
        <v>0</v>
      </c>
      <c r="O394" s="153">
        <f t="shared" si="88"/>
        <v>0</v>
      </c>
      <c r="P394" s="153">
        <f t="shared" si="88"/>
        <v>0</v>
      </c>
      <c r="Q394" s="153">
        <f t="shared" si="88"/>
        <v>0</v>
      </c>
      <c r="R394" s="153">
        <f t="shared" si="88"/>
        <v>0</v>
      </c>
      <c r="S394" s="153">
        <f t="shared" si="88"/>
        <v>0</v>
      </c>
      <c r="T394" s="154">
        <f t="shared" si="88"/>
        <v>0</v>
      </c>
      <c r="U394" s="307"/>
    </row>
    <row r="395" spans="1:21" ht="12.75" customHeight="1" thickBot="1">
      <c r="A395" s="284">
        <f>A385+1</f>
        <v>38</v>
      </c>
      <c r="B395" s="286">
        <v>900</v>
      </c>
      <c r="C395" s="286">
        <v>90095</v>
      </c>
      <c r="D395" s="328" t="s">
        <v>170</v>
      </c>
      <c r="E395" s="324" t="s">
        <v>171</v>
      </c>
      <c r="F395" s="321">
        <v>2009</v>
      </c>
      <c r="G395" s="132" t="s">
        <v>106</v>
      </c>
      <c r="H395" s="133" t="s">
        <v>107</v>
      </c>
      <c r="I395" s="134">
        <f>15000-15000</f>
        <v>0</v>
      </c>
      <c r="J395" s="135">
        <v>15000</v>
      </c>
      <c r="K395" s="158">
        <f t="shared" si="82"/>
        <v>15000</v>
      </c>
      <c r="L395" s="158"/>
      <c r="M395" s="158"/>
      <c r="N395" s="136"/>
      <c r="O395" s="136"/>
      <c r="P395" s="136"/>
      <c r="Q395" s="136"/>
      <c r="R395" s="136"/>
      <c r="S395" s="136"/>
      <c r="T395" s="137"/>
      <c r="U395" s="322">
        <f>M403+N403+O403+P403+Q403+R403+S403+M404+N404+O404+P404+Q404+R404+T403+T404+S404</f>
        <v>0</v>
      </c>
    </row>
    <row r="396" spans="1:21" ht="13.5" thickBot="1">
      <c r="A396" s="285"/>
      <c r="B396" s="287"/>
      <c r="C396" s="287"/>
      <c r="D396" s="315"/>
      <c r="E396" s="324"/>
      <c r="F396" s="267"/>
      <c r="G396" s="281">
        <f>SUM(K403:T403)</f>
        <v>30000</v>
      </c>
      <c r="H396" s="139" t="s">
        <v>108</v>
      </c>
      <c r="I396" s="140">
        <f>9513+2098514+463264+312849-312849-2098514</f>
        <v>472777</v>
      </c>
      <c r="J396" s="141">
        <f>312849+2098514</f>
        <v>2411363</v>
      </c>
      <c r="K396" s="142">
        <f t="shared" si="82"/>
        <v>2884140</v>
      </c>
      <c r="L396" s="142">
        <f>3859301+651451</f>
        <v>4510752</v>
      </c>
      <c r="M396" s="142"/>
      <c r="N396" s="142"/>
      <c r="O396" s="142"/>
      <c r="P396" s="142"/>
      <c r="Q396" s="142"/>
      <c r="R396" s="142"/>
      <c r="S396" s="142"/>
      <c r="T396" s="143"/>
      <c r="U396" s="264"/>
    </row>
    <row r="397" spans="1:21" ht="13.5" thickBot="1">
      <c r="A397" s="285"/>
      <c r="B397" s="287"/>
      <c r="C397" s="287"/>
      <c r="D397" s="315"/>
      <c r="E397" s="324"/>
      <c r="F397" s="267"/>
      <c r="G397" s="317"/>
      <c r="H397" s="139" t="s">
        <v>109</v>
      </c>
      <c r="I397" s="140"/>
      <c r="J397" s="141"/>
      <c r="K397" s="142">
        <f t="shared" si="82"/>
        <v>0</v>
      </c>
      <c r="L397" s="142"/>
      <c r="M397" s="142"/>
      <c r="N397" s="142"/>
      <c r="O397" s="142"/>
      <c r="P397" s="142"/>
      <c r="Q397" s="142"/>
      <c r="R397" s="142"/>
      <c r="S397" s="142"/>
      <c r="T397" s="143"/>
      <c r="U397" s="264"/>
    </row>
    <row r="398" spans="1:21" ht="13.5" thickBot="1">
      <c r="A398" s="285"/>
      <c r="B398" s="287"/>
      <c r="C398" s="287"/>
      <c r="D398" s="315"/>
      <c r="E398" s="324"/>
      <c r="F398" s="267"/>
      <c r="G398" s="145" t="s">
        <v>110</v>
      </c>
      <c r="H398" s="139" t="s">
        <v>111</v>
      </c>
      <c r="I398" s="140"/>
      <c r="J398" s="141"/>
      <c r="K398" s="142">
        <f t="shared" si="82"/>
        <v>0</v>
      </c>
      <c r="L398" s="142"/>
      <c r="M398" s="142"/>
      <c r="N398" s="142"/>
      <c r="O398" s="142"/>
      <c r="P398" s="142"/>
      <c r="Q398" s="142"/>
      <c r="R398" s="142"/>
      <c r="S398" s="142"/>
      <c r="T398" s="143"/>
      <c r="U398" s="264"/>
    </row>
    <row r="399" spans="1:21" ht="13.5" thickBot="1">
      <c r="A399" s="285"/>
      <c r="B399" s="287"/>
      <c r="C399" s="287"/>
      <c r="D399" s="315"/>
      <c r="E399" s="324"/>
      <c r="F399" s="267"/>
      <c r="G399" s="281">
        <f>SUM(K404:T404)</f>
        <v>13362218</v>
      </c>
      <c r="H399" s="139" t="s">
        <v>112</v>
      </c>
      <c r="I399" s="140">
        <f>15000-15000</f>
        <v>0</v>
      </c>
      <c r="J399" s="141">
        <v>15000</v>
      </c>
      <c r="K399" s="142">
        <f t="shared" si="82"/>
        <v>15000</v>
      </c>
      <c r="L399" s="142"/>
      <c r="M399" s="142"/>
      <c r="N399" s="142"/>
      <c r="O399" s="142"/>
      <c r="P399" s="142"/>
      <c r="Q399" s="142"/>
      <c r="R399" s="142"/>
      <c r="S399" s="142"/>
      <c r="T399" s="143"/>
      <c r="U399" s="264"/>
    </row>
    <row r="400" spans="1:21" ht="13.5" thickBot="1">
      <c r="A400" s="285"/>
      <c r="B400" s="287"/>
      <c r="C400" s="287"/>
      <c r="D400" s="315"/>
      <c r="E400" s="324"/>
      <c r="F400" s="267">
        <v>2011</v>
      </c>
      <c r="G400" s="317"/>
      <c r="H400" s="139" t="s">
        <v>113</v>
      </c>
      <c r="I400" s="140">
        <f>9512+2098514-2098514</f>
        <v>9512</v>
      </c>
      <c r="J400" s="141">
        <v>2098514</v>
      </c>
      <c r="K400" s="142">
        <f aca="true" t="shared" si="89" ref="K400:K431">SUM(I400:J400)</f>
        <v>2108026</v>
      </c>
      <c r="L400" s="142">
        <v>3859300</v>
      </c>
      <c r="M400" s="142"/>
      <c r="N400" s="142"/>
      <c r="O400" s="142"/>
      <c r="P400" s="142"/>
      <c r="Q400" s="142"/>
      <c r="R400" s="142"/>
      <c r="S400" s="142"/>
      <c r="T400" s="143"/>
      <c r="U400" s="264"/>
    </row>
    <row r="401" spans="1:21" ht="13.5" thickBot="1">
      <c r="A401" s="285"/>
      <c r="B401" s="287"/>
      <c r="C401" s="287"/>
      <c r="D401" s="315"/>
      <c r="E401" s="324"/>
      <c r="F401" s="267"/>
      <c r="G401" s="145" t="s">
        <v>114</v>
      </c>
      <c r="H401" s="139" t="s">
        <v>115</v>
      </c>
      <c r="I401" s="140"/>
      <c r="J401" s="141"/>
      <c r="K401" s="142">
        <f t="shared" si="89"/>
        <v>0</v>
      </c>
      <c r="L401" s="142"/>
      <c r="M401" s="142"/>
      <c r="N401" s="142"/>
      <c r="O401" s="142"/>
      <c r="P401" s="142"/>
      <c r="Q401" s="142"/>
      <c r="R401" s="142"/>
      <c r="S401" s="142"/>
      <c r="T401" s="143"/>
      <c r="U401" s="264"/>
    </row>
    <row r="402" spans="1:21" ht="13.5" thickBot="1">
      <c r="A402" s="285"/>
      <c r="B402" s="287"/>
      <c r="C402" s="287"/>
      <c r="D402" s="315"/>
      <c r="E402" s="324"/>
      <c r="F402" s="267"/>
      <c r="G402" s="281">
        <f>G396+G399</f>
        <v>13392218</v>
      </c>
      <c r="H402" s="139" t="s">
        <v>116</v>
      </c>
      <c r="I402" s="140"/>
      <c r="J402" s="141"/>
      <c r="K402" s="142">
        <f t="shared" si="89"/>
        <v>0</v>
      </c>
      <c r="L402" s="142"/>
      <c r="M402" s="142"/>
      <c r="N402" s="142"/>
      <c r="O402" s="142"/>
      <c r="P402" s="142"/>
      <c r="Q402" s="142"/>
      <c r="R402" s="142"/>
      <c r="S402" s="142"/>
      <c r="T402" s="143"/>
      <c r="U402" s="264"/>
    </row>
    <row r="403" spans="1:21" ht="13.5" thickBot="1">
      <c r="A403" s="285"/>
      <c r="B403" s="287"/>
      <c r="C403" s="287"/>
      <c r="D403" s="315"/>
      <c r="E403" s="324"/>
      <c r="F403" s="267"/>
      <c r="G403" s="282"/>
      <c r="H403" s="139" t="s">
        <v>117</v>
      </c>
      <c r="I403" s="146">
        <f>I395+I397+I399+I401</f>
        <v>0</v>
      </c>
      <c r="J403" s="147">
        <f>J395+J397+J399+J401</f>
        <v>30000</v>
      </c>
      <c r="K403" s="148">
        <f t="shared" si="89"/>
        <v>30000</v>
      </c>
      <c r="L403" s="148">
        <f aca="true" t="shared" si="90" ref="L403:T403">L395+L397+L399+L401</f>
        <v>0</v>
      </c>
      <c r="M403" s="148">
        <f t="shared" si="90"/>
        <v>0</v>
      </c>
      <c r="N403" s="148">
        <f t="shared" si="90"/>
        <v>0</v>
      </c>
      <c r="O403" s="148">
        <f t="shared" si="90"/>
        <v>0</v>
      </c>
      <c r="P403" s="148">
        <f t="shared" si="90"/>
        <v>0</v>
      </c>
      <c r="Q403" s="148">
        <f t="shared" si="90"/>
        <v>0</v>
      </c>
      <c r="R403" s="148">
        <f t="shared" si="90"/>
        <v>0</v>
      </c>
      <c r="S403" s="148">
        <f t="shared" si="90"/>
        <v>0</v>
      </c>
      <c r="T403" s="149">
        <f t="shared" si="90"/>
        <v>0</v>
      </c>
      <c r="U403" s="264"/>
    </row>
    <row r="404" spans="1:21" ht="13.5" thickBot="1">
      <c r="A404" s="285"/>
      <c r="B404" s="318"/>
      <c r="C404" s="287"/>
      <c r="D404" s="316"/>
      <c r="E404" s="324"/>
      <c r="F404" s="310"/>
      <c r="G404" s="283"/>
      <c r="H404" s="150" t="s">
        <v>118</v>
      </c>
      <c r="I404" s="151">
        <f>I396+I398+I400+I402</f>
        <v>482289</v>
      </c>
      <c r="J404" s="152">
        <f>J396+J398+J400+J402</f>
        <v>4509877</v>
      </c>
      <c r="K404" s="153">
        <f t="shared" si="89"/>
        <v>4992166</v>
      </c>
      <c r="L404" s="153">
        <f aca="true" t="shared" si="91" ref="L404:T404">L396+L398+L400+L402</f>
        <v>8370052</v>
      </c>
      <c r="M404" s="153">
        <f t="shared" si="91"/>
        <v>0</v>
      </c>
      <c r="N404" s="153">
        <f t="shared" si="91"/>
        <v>0</v>
      </c>
      <c r="O404" s="153">
        <f t="shared" si="91"/>
        <v>0</v>
      </c>
      <c r="P404" s="153">
        <f t="shared" si="91"/>
        <v>0</v>
      </c>
      <c r="Q404" s="153">
        <f t="shared" si="91"/>
        <v>0</v>
      </c>
      <c r="R404" s="153">
        <f t="shared" si="91"/>
        <v>0</v>
      </c>
      <c r="S404" s="153">
        <f t="shared" si="91"/>
        <v>0</v>
      </c>
      <c r="T404" s="154">
        <f t="shared" si="91"/>
        <v>0</v>
      </c>
      <c r="U404" s="307"/>
    </row>
    <row r="405" spans="1:21" ht="12.75" customHeight="1" thickBot="1">
      <c r="A405" s="284">
        <f>A395+1</f>
        <v>39</v>
      </c>
      <c r="B405" s="286">
        <v>900</v>
      </c>
      <c r="C405" s="286">
        <v>90095</v>
      </c>
      <c r="D405" s="323" t="s">
        <v>172</v>
      </c>
      <c r="E405" s="324" t="s">
        <v>168</v>
      </c>
      <c r="F405" s="321">
        <v>2010</v>
      </c>
      <c r="G405" s="132" t="s">
        <v>106</v>
      </c>
      <c r="H405" s="133" t="s">
        <v>107</v>
      </c>
      <c r="I405" s="134"/>
      <c r="J405" s="135"/>
      <c r="K405" s="136">
        <f t="shared" si="89"/>
        <v>0</v>
      </c>
      <c r="L405" s="136"/>
      <c r="M405" s="136"/>
      <c r="N405" s="136"/>
      <c r="O405" s="136"/>
      <c r="P405" s="136"/>
      <c r="Q405" s="136"/>
      <c r="R405" s="136"/>
      <c r="S405" s="136"/>
      <c r="T405" s="137"/>
      <c r="U405" s="322">
        <f>M413+N413+O413+P413+Q413+R413+S413+M414+N414+O414+P414+Q414+R414+T413+T414+S414</f>
        <v>4267879</v>
      </c>
    </row>
    <row r="406" spans="1:21" ht="13.5" thickBot="1">
      <c r="A406" s="285"/>
      <c r="B406" s="287"/>
      <c r="C406" s="287"/>
      <c r="D406" s="319"/>
      <c r="E406" s="324"/>
      <c r="F406" s="267"/>
      <c r="G406" s="281">
        <f>SUM(K413:T413)</f>
        <v>0</v>
      </c>
      <c r="H406" s="139" t="s">
        <v>108</v>
      </c>
      <c r="I406" s="140"/>
      <c r="J406" s="141"/>
      <c r="K406" s="142">
        <f t="shared" si="89"/>
        <v>0</v>
      </c>
      <c r="L406" s="142">
        <v>66438</v>
      </c>
      <c r="M406" s="142">
        <v>783728</v>
      </c>
      <c r="N406" s="142"/>
      <c r="O406" s="142"/>
      <c r="P406" s="142"/>
      <c r="Q406" s="142"/>
      <c r="R406" s="142"/>
      <c r="S406" s="142"/>
      <c r="T406" s="143"/>
      <c r="U406" s="264"/>
    </row>
    <row r="407" spans="1:21" ht="13.5" thickBot="1">
      <c r="A407" s="285"/>
      <c r="B407" s="287"/>
      <c r="C407" s="287"/>
      <c r="D407" s="319"/>
      <c r="E407" s="324"/>
      <c r="F407" s="267"/>
      <c r="G407" s="317"/>
      <c r="H407" s="139" t="s">
        <v>109</v>
      </c>
      <c r="I407" s="140"/>
      <c r="J407" s="141"/>
      <c r="K407" s="142">
        <f t="shared" si="89"/>
        <v>0</v>
      </c>
      <c r="L407" s="142"/>
      <c r="M407" s="142"/>
      <c r="N407" s="142"/>
      <c r="O407" s="142"/>
      <c r="P407" s="142"/>
      <c r="Q407" s="142"/>
      <c r="R407" s="142"/>
      <c r="S407" s="142"/>
      <c r="T407" s="143"/>
      <c r="U407" s="264"/>
    </row>
    <row r="408" spans="1:21" ht="13.5" thickBot="1">
      <c r="A408" s="285"/>
      <c r="B408" s="287"/>
      <c r="C408" s="287"/>
      <c r="D408" s="319"/>
      <c r="E408" s="324"/>
      <c r="F408" s="267"/>
      <c r="G408" s="145" t="s">
        <v>110</v>
      </c>
      <c r="H408" s="139" t="s">
        <v>111</v>
      </c>
      <c r="I408" s="140"/>
      <c r="J408" s="141"/>
      <c r="K408" s="142">
        <f t="shared" si="89"/>
        <v>0</v>
      </c>
      <c r="L408" s="142">
        <v>51036</v>
      </c>
      <c r="M408" s="142">
        <v>871038</v>
      </c>
      <c r="N408" s="142"/>
      <c r="O408" s="142"/>
      <c r="P408" s="142"/>
      <c r="Q408" s="142"/>
      <c r="R408" s="142"/>
      <c r="S408" s="142"/>
      <c r="T408" s="143"/>
      <c r="U408" s="264"/>
    </row>
    <row r="409" spans="1:21" ht="13.5" thickBot="1">
      <c r="A409" s="285"/>
      <c r="B409" s="287"/>
      <c r="C409" s="287"/>
      <c r="D409" s="319"/>
      <c r="E409" s="324"/>
      <c r="F409" s="267"/>
      <c r="G409" s="281">
        <f>SUM(K414:T414)</f>
        <v>4538460</v>
      </c>
      <c r="H409" s="139" t="s">
        <v>112</v>
      </c>
      <c r="I409" s="140">
        <f>24550-24550</f>
        <v>0</v>
      </c>
      <c r="J409" s="141"/>
      <c r="K409" s="142">
        <f t="shared" si="89"/>
        <v>0</v>
      </c>
      <c r="L409" s="142"/>
      <c r="M409" s="142"/>
      <c r="N409" s="142"/>
      <c r="O409" s="142"/>
      <c r="P409" s="142"/>
      <c r="Q409" s="142"/>
      <c r="R409" s="142"/>
      <c r="S409" s="142"/>
      <c r="T409" s="143"/>
      <c r="U409" s="264"/>
    </row>
    <row r="410" spans="1:21" ht="13.5" thickBot="1">
      <c r="A410" s="285"/>
      <c r="B410" s="287"/>
      <c r="C410" s="287"/>
      <c r="D410" s="319"/>
      <c r="E410" s="324"/>
      <c r="F410" s="267">
        <v>2012</v>
      </c>
      <c r="G410" s="317"/>
      <c r="H410" s="139" t="s">
        <v>113</v>
      </c>
      <c r="I410" s="140"/>
      <c r="J410" s="141"/>
      <c r="K410" s="142">
        <f t="shared" si="89"/>
        <v>0</v>
      </c>
      <c r="L410" s="142">
        <v>153107</v>
      </c>
      <c r="M410" s="142">
        <v>2613113</v>
      </c>
      <c r="N410" s="142"/>
      <c r="O410" s="142"/>
      <c r="P410" s="142"/>
      <c r="Q410" s="142"/>
      <c r="R410" s="142"/>
      <c r="S410" s="142"/>
      <c r="T410" s="143"/>
      <c r="U410" s="264"/>
    </row>
    <row r="411" spans="1:21" ht="13.5" thickBot="1">
      <c r="A411" s="285"/>
      <c r="B411" s="287"/>
      <c r="C411" s="287"/>
      <c r="D411" s="319"/>
      <c r="E411" s="324"/>
      <c r="F411" s="267"/>
      <c r="G411" s="145" t="s">
        <v>114</v>
      </c>
      <c r="H411" s="139" t="s">
        <v>115</v>
      </c>
      <c r="I411" s="140"/>
      <c r="J411" s="141"/>
      <c r="K411" s="142">
        <f t="shared" si="89"/>
        <v>0</v>
      </c>
      <c r="L411" s="142"/>
      <c r="M411" s="142"/>
      <c r="N411" s="142"/>
      <c r="O411" s="142"/>
      <c r="P411" s="142"/>
      <c r="Q411" s="142"/>
      <c r="R411" s="142"/>
      <c r="S411" s="142"/>
      <c r="T411" s="143"/>
      <c r="U411" s="264"/>
    </row>
    <row r="412" spans="1:21" ht="13.5" thickBot="1">
      <c r="A412" s="285"/>
      <c r="B412" s="287"/>
      <c r="C412" s="287"/>
      <c r="D412" s="319"/>
      <c r="E412" s="324"/>
      <c r="F412" s="267"/>
      <c r="G412" s="281">
        <f>G406+G409</f>
        <v>4538460</v>
      </c>
      <c r="H412" s="139" t="s">
        <v>116</v>
      </c>
      <c r="I412" s="140"/>
      <c r="J412" s="141"/>
      <c r="K412" s="142">
        <f t="shared" si="89"/>
        <v>0</v>
      </c>
      <c r="L412" s="142"/>
      <c r="M412" s="142"/>
      <c r="N412" s="142"/>
      <c r="O412" s="142"/>
      <c r="P412" s="142"/>
      <c r="Q412" s="142"/>
      <c r="R412" s="142"/>
      <c r="S412" s="142"/>
      <c r="T412" s="143"/>
      <c r="U412" s="264"/>
    </row>
    <row r="413" spans="1:21" ht="13.5" thickBot="1">
      <c r="A413" s="285"/>
      <c r="B413" s="287"/>
      <c r="C413" s="287"/>
      <c r="D413" s="319"/>
      <c r="E413" s="324"/>
      <c r="F413" s="267"/>
      <c r="G413" s="282"/>
      <c r="H413" s="139" t="s">
        <v>117</v>
      </c>
      <c r="I413" s="146">
        <f>I405+I407+I409+I411</f>
        <v>0</v>
      </c>
      <c r="J413" s="147">
        <f>J405+J407+J409+J411</f>
        <v>0</v>
      </c>
      <c r="K413" s="148">
        <f t="shared" si="89"/>
        <v>0</v>
      </c>
      <c r="L413" s="148">
        <f aca="true" t="shared" si="92" ref="L413:T413">L405+L407+L409+L411</f>
        <v>0</v>
      </c>
      <c r="M413" s="148">
        <f t="shared" si="92"/>
        <v>0</v>
      </c>
      <c r="N413" s="148">
        <f t="shared" si="92"/>
        <v>0</v>
      </c>
      <c r="O413" s="148">
        <f t="shared" si="92"/>
        <v>0</v>
      </c>
      <c r="P413" s="148">
        <f t="shared" si="92"/>
        <v>0</v>
      </c>
      <c r="Q413" s="148">
        <f t="shared" si="92"/>
        <v>0</v>
      </c>
      <c r="R413" s="148">
        <f t="shared" si="92"/>
        <v>0</v>
      </c>
      <c r="S413" s="148">
        <f t="shared" si="92"/>
        <v>0</v>
      </c>
      <c r="T413" s="149">
        <f t="shared" si="92"/>
        <v>0</v>
      </c>
      <c r="U413" s="264"/>
    </row>
    <row r="414" spans="1:21" ht="13.5" thickBot="1">
      <c r="A414" s="285"/>
      <c r="B414" s="318"/>
      <c r="C414" s="287"/>
      <c r="D414" s="320"/>
      <c r="E414" s="324"/>
      <c r="F414" s="310"/>
      <c r="G414" s="283"/>
      <c r="H414" s="150" t="s">
        <v>118</v>
      </c>
      <c r="I414" s="151">
        <f>I406+I408+I410+I412</f>
        <v>0</v>
      </c>
      <c r="J414" s="152">
        <f>J406+J408+J410+J412</f>
        <v>0</v>
      </c>
      <c r="K414" s="153">
        <f t="shared" si="89"/>
        <v>0</v>
      </c>
      <c r="L414" s="153">
        <f aca="true" t="shared" si="93" ref="L414:T414">L406+L408+L410+L412</f>
        <v>270581</v>
      </c>
      <c r="M414" s="153">
        <f t="shared" si="93"/>
        <v>4267879</v>
      </c>
      <c r="N414" s="153">
        <f t="shared" si="93"/>
        <v>0</v>
      </c>
      <c r="O414" s="153">
        <f t="shared" si="93"/>
        <v>0</v>
      </c>
      <c r="P414" s="153">
        <f t="shared" si="93"/>
        <v>0</v>
      </c>
      <c r="Q414" s="153">
        <f t="shared" si="93"/>
        <v>0</v>
      </c>
      <c r="R414" s="153">
        <f t="shared" si="93"/>
        <v>0</v>
      </c>
      <c r="S414" s="153">
        <f t="shared" si="93"/>
        <v>0</v>
      </c>
      <c r="T414" s="154">
        <f t="shared" si="93"/>
        <v>0</v>
      </c>
      <c r="U414" s="307"/>
    </row>
    <row r="415" spans="1:21" ht="12.75" customHeight="1" thickBot="1">
      <c r="A415" s="284">
        <f>A405+1</f>
        <v>40</v>
      </c>
      <c r="B415" s="286">
        <v>900</v>
      </c>
      <c r="C415" s="286">
        <v>90095</v>
      </c>
      <c r="D415" s="323" t="s">
        <v>173</v>
      </c>
      <c r="E415" s="324" t="s">
        <v>168</v>
      </c>
      <c r="F415" s="321">
        <v>2010</v>
      </c>
      <c r="G415" s="132" t="s">
        <v>106</v>
      </c>
      <c r="H415" s="133" t="s">
        <v>107</v>
      </c>
      <c r="I415" s="134"/>
      <c r="J415" s="135"/>
      <c r="K415" s="136">
        <f t="shared" si="89"/>
        <v>0</v>
      </c>
      <c r="L415" s="136"/>
      <c r="M415" s="136"/>
      <c r="N415" s="136"/>
      <c r="O415" s="136"/>
      <c r="P415" s="136"/>
      <c r="Q415" s="136"/>
      <c r="R415" s="136"/>
      <c r="S415" s="136"/>
      <c r="T415" s="137"/>
      <c r="U415" s="322">
        <f>M423+N423+O423+P423+Q423+R423+S423+M424+N424+O424+P424+Q424+R424+T423+T424+S424</f>
        <v>932847</v>
      </c>
    </row>
    <row r="416" spans="1:21" ht="13.5" thickBot="1">
      <c r="A416" s="285"/>
      <c r="B416" s="287"/>
      <c r="C416" s="287"/>
      <c r="D416" s="319"/>
      <c r="E416" s="324"/>
      <c r="F416" s="267"/>
      <c r="G416" s="281">
        <f>SUM(K423:T423)</f>
        <v>0</v>
      </c>
      <c r="H416" s="139" t="s">
        <v>108</v>
      </c>
      <c r="I416" s="140"/>
      <c r="J416" s="141"/>
      <c r="K416" s="142">
        <f t="shared" si="89"/>
        <v>0</v>
      </c>
      <c r="L416" s="142">
        <v>26336</v>
      </c>
      <c r="M416" s="142">
        <v>168216</v>
      </c>
      <c r="N416" s="142"/>
      <c r="O416" s="142"/>
      <c r="P416" s="142"/>
      <c r="Q416" s="142"/>
      <c r="R416" s="142"/>
      <c r="S416" s="142"/>
      <c r="T416" s="143"/>
      <c r="U416" s="264"/>
    </row>
    <row r="417" spans="1:21" ht="13.5" thickBot="1">
      <c r="A417" s="285"/>
      <c r="B417" s="287"/>
      <c r="C417" s="287"/>
      <c r="D417" s="319"/>
      <c r="E417" s="324"/>
      <c r="F417" s="267"/>
      <c r="G417" s="317"/>
      <c r="H417" s="139" t="s">
        <v>109</v>
      </c>
      <c r="I417" s="140"/>
      <c r="J417" s="141"/>
      <c r="K417" s="142">
        <f t="shared" si="89"/>
        <v>0</v>
      </c>
      <c r="L417" s="142"/>
      <c r="M417" s="142"/>
      <c r="N417" s="142"/>
      <c r="O417" s="142"/>
      <c r="P417" s="142"/>
      <c r="Q417" s="142"/>
      <c r="R417" s="142"/>
      <c r="S417" s="142"/>
      <c r="T417" s="143"/>
      <c r="U417" s="264"/>
    </row>
    <row r="418" spans="1:21" ht="13.5" thickBot="1">
      <c r="A418" s="285"/>
      <c r="B418" s="287"/>
      <c r="C418" s="287"/>
      <c r="D418" s="319"/>
      <c r="E418" s="324"/>
      <c r="F418" s="267"/>
      <c r="G418" s="145" t="s">
        <v>110</v>
      </c>
      <c r="H418" s="139" t="s">
        <v>111</v>
      </c>
      <c r="I418" s="140"/>
      <c r="J418" s="141"/>
      <c r="K418" s="142">
        <f t="shared" si="89"/>
        <v>0</v>
      </c>
      <c r="L418" s="142">
        <v>11236</v>
      </c>
      <c r="M418" s="142">
        <v>191158</v>
      </c>
      <c r="N418" s="142"/>
      <c r="O418" s="142"/>
      <c r="P418" s="142"/>
      <c r="Q418" s="142"/>
      <c r="R418" s="142"/>
      <c r="S418" s="142"/>
      <c r="T418" s="143"/>
      <c r="U418" s="264"/>
    </row>
    <row r="419" spans="1:21" ht="13.5" thickBot="1">
      <c r="A419" s="285"/>
      <c r="B419" s="287"/>
      <c r="C419" s="287"/>
      <c r="D419" s="319"/>
      <c r="E419" s="324"/>
      <c r="F419" s="267"/>
      <c r="G419" s="281">
        <f>SUM(K424:T424)</f>
        <v>1004126</v>
      </c>
      <c r="H419" s="139" t="s">
        <v>112</v>
      </c>
      <c r="I419" s="140">
        <f>24550-24550</f>
        <v>0</v>
      </c>
      <c r="J419" s="141"/>
      <c r="K419" s="142">
        <f t="shared" si="89"/>
        <v>0</v>
      </c>
      <c r="L419" s="142"/>
      <c r="M419" s="142"/>
      <c r="N419" s="142"/>
      <c r="O419" s="142"/>
      <c r="P419" s="142"/>
      <c r="Q419" s="142"/>
      <c r="R419" s="142"/>
      <c r="S419" s="142"/>
      <c r="T419" s="143"/>
      <c r="U419" s="264"/>
    </row>
    <row r="420" spans="1:21" ht="13.5" thickBot="1">
      <c r="A420" s="285"/>
      <c r="B420" s="287"/>
      <c r="C420" s="287"/>
      <c r="D420" s="319"/>
      <c r="E420" s="324"/>
      <c r="F420" s="267">
        <v>2012</v>
      </c>
      <c r="G420" s="317"/>
      <c r="H420" s="139" t="s">
        <v>113</v>
      </c>
      <c r="I420" s="140"/>
      <c r="J420" s="141"/>
      <c r="K420" s="142">
        <f t="shared" si="89"/>
        <v>0</v>
      </c>
      <c r="L420" s="142">
        <v>33707</v>
      </c>
      <c r="M420" s="142">
        <v>573473</v>
      </c>
      <c r="N420" s="142"/>
      <c r="O420" s="142"/>
      <c r="P420" s="142"/>
      <c r="Q420" s="142"/>
      <c r="R420" s="142"/>
      <c r="S420" s="142"/>
      <c r="T420" s="143"/>
      <c r="U420" s="264"/>
    </row>
    <row r="421" spans="1:21" ht="13.5" thickBot="1">
      <c r="A421" s="285"/>
      <c r="B421" s="287"/>
      <c r="C421" s="287"/>
      <c r="D421" s="319"/>
      <c r="E421" s="324"/>
      <c r="F421" s="267"/>
      <c r="G421" s="145" t="s">
        <v>114</v>
      </c>
      <c r="H421" s="139" t="s">
        <v>115</v>
      </c>
      <c r="I421" s="140"/>
      <c r="J421" s="141"/>
      <c r="K421" s="142">
        <f t="shared" si="89"/>
        <v>0</v>
      </c>
      <c r="L421" s="142"/>
      <c r="M421" s="142"/>
      <c r="N421" s="142"/>
      <c r="O421" s="142"/>
      <c r="P421" s="142"/>
      <c r="Q421" s="142"/>
      <c r="R421" s="142"/>
      <c r="S421" s="142"/>
      <c r="T421" s="143"/>
      <c r="U421" s="264"/>
    </row>
    <row r="422" spans="1:21" ht="13.5" thickBot="1">
      <c r="A422" s="285"/>
      <c r="B422" s="287"/>
      <c r="C422" s="287"/>
      <c r="D422" s="319"/>
      <c r="E422" s="324"/>
      <c r="F422" s="267"/>
      <c r="G422" s="281">
        <f>G416+G419</f>
        <v>1004126</v>
      </c>
      <c r="H422" s="139" t="s">
        <v>116</v>
      </c>
      <c r="I422" s="140"/>
      <c r="J422" s="141"/>
      <c r="K422" s="142">
        <f t="shared" si="89"/>
        <v>0</v>
      </c>
      <c r="L422" s="142"/>
      <c r="M422" s="142"/>
      <c r="N422" s="142"/>
      <c r="O422" s="142"/>
      <c r="P422" s="142"/>
      <c r="Q422" s="142"/>
      <c r="R422" s="142"/>
      <c r="S422" s="142"/>
      <c r="T422" s="143"/>
      <c r="U422" s="264"/>
    </row>
    <row r="423" spans="1:21" ht="13.5" thickBot="1">
      <c r="A423" s="285"/>
      <c r="B423" s="287"/>
      <c r="C423" s="287"/>
      <c r="D423" s="319"/>
      <c r="E423" s="324"/>
      <c r="F423" s="267"/>
      <c r="G423" s="282"/>
      <c r="H423" s="139" t="s">
        <v>117</v>
      </c>
      <c r="I423" s="146">
        <f>I415+I417+I419+I421</f>
        <v>0</v>
      </c>
      <c r="J423" s="147">
        <f>J415+J417+J419+J421</f>
        <v>0</v>
      </c>
      <c r="K423" s="148">
        <f t="shared" si="89"/>
        <v>0</v>
      </c>
      <c r="L423" s="148">
        <f aca="true" t="shared" si="94" ref="L423:T423">L415+L417+L419+L421</f>
        <v>0</v>
      </c>
      <c r="M423" s="148">
        <f t="shared" si="94"/>
        <v>0</v>
      </c>
      <c r="N423" s="148">
        <f t="shared" si="94"/>
        <v>0</v>
      </c>
      <c r="O423" s="148">
        <f t="shared" si="94"/>
        <v>0</v>
      </c>
      <c r="P423" s="148">
        <f t="shared" si="94"/>
        <v>0</v>
      </c>
      <c r="Q423" s="148">
        <f t="shared" si="94"/>
        <v>0</v>
      </c>
      <c r="R423" s="148">
        <f t="shared" si="94"/>
        <v>0</v>
      </c>
      <c r="S423" s="148">
        <f t="shared" si="94"/>
        <v>0</v>
      </c>
      <c r="T423" s="149">
        <f t="shared" si="94"/>
        <v>0</v>
      </c>
      <c r="U423" s="264"/>
    </row>
    <row r="424" spans="1:21" ht="13.5" thickBot="1">
      <c r="A424" s="285"/>
      <c r="B424" s="318"/>
      <c r="C424" s="287"/>
      <c r="D424" s="320"/>
      <c r="E424" s="324"/>
      <c r="F424" s="310"/>
      <c r="G424" s="283"/>
      <c r="H424" s="150" t="s">
        <v>118</v>
      </c>
      <c r="I424" s="151">
        <f>I416+I418+I420+I422</f>
        <v>0</v>
      </c>
      <c r="J424" s="152">
        <f>J416+J418+J420+J422</f>
        <v>0</v>
      </c>
      <c r="K424" s="153">
        <f t="shared" si="89"/>
        <v>0</v>
      </c>
      <c r="L424" s="153">
        <f aca="true" t="shared" si="95" ref="L424:T424">L416+L418+L420+L422</f>
        <v>71279</v>
      </c>
      <c r="M424" s="153">
        <f t="shared" si="95"/>
        <v>932847</v>
      </c>
      <c r="N424" s="153">
        <f t="shared" si="95"/>
        <v>0</v>
      </c>
      <c r="O424" s="153">
        <f t="shared" si="95"/>
        <v>0</v>
      </c>
      <c r="P424" s="153">
        <f t="shared" si="95"/>
        <v>0</v>
      </c>
      <c r="Q424" s="153">
        <f t="shared" si="95"/>
        <v>0</v>
      </c>
      <c r="R424" s="153">
        <f t="shared" si="95"/>
        <v>0</v>
      </c>
      <c r="S424" s="153">
        <f t="shared" si="95"/>
        <v>0</v>
      </c>
      <c r="T424" s="154">
        <f t="shared" si="95"/>
        <v>0</v>
      </c>
      <c r="U424" s="307"/>
    </row>
    <row r="425" spans="1:21" ht="12.75" customHeight="1" thickBot="1">
      <c r="A425" s="284">
        <f>A415+1</f>
        <v>41</v>
      </c>
      <c r="B425" s="286">
        <v>900</v>
      </c>
      <c r="C425" s="286">
        <v>90095</v>
      </c>
      <c r="D425" s="323" t="s">
        <v>174</v>
      </c>
      <c r="E425" s="324" t="s">
        <v>168</v>
      </c>
      <c r="F425" s="321">
        <v>2010</v>
      </c>
      <c r="G425" s="132" t="s">
        <v>106</v>
      </c>
      <c r="H425" s="133" t="s">
        <v>107</v>
      </c>
      <c r="I425" s="134"/>
      <c r="J425" s="135"/>
      <c r="K425" s="136">
        <f t="shared" si="89"/>
        <v>0</v>
      </c>
      <c r="L425" s="136"/>
      <c r="M425" s="136"/>
      <c r="N425" s="136"/>
      <c r="O425" s="136"/>
      <c r="P425" s="136"/>
      <c r="Q425" s="136"/>
      <c r="R425" s="136"/>
      <c r="S425" s="136"/>
      <c r="T425" s="137"/>
      <c r="U425" s="322">
        <f>M433+N433+O433+P433+Q433+R433+S433+M434+N434+O434+P434+Q434+R434+T433+T434+S434</f>
        <v>4281320</v>
      </c>
    </row>
    <row r="426" spans="1:21" ht="13.5" thickBot="1">
      <c r="A426" s="285"/>
      <c r="B426" s="287"/>
      <c r="C426" s="287"/>
      <c r="D426" s="319"/>
      <c r="E426" s="324"/>
      <c r="F426" s="267"/>
      <c r="G426" s="281">
        <f>SUM(K433:T433)</f>
        <v>0</v>
      </c>
      <c r="H426" s="139" t="s">
        <v>108</v>
      </c>
      <c r="I426" s="140"/>
      <c r="J426" s="141"/>
      <c r="K426" s="142">
        <f t="shared" si="89"/>
        <v>0</v>
      </c>
      <c r="L426" s="142">
        <v>15884</v>
      </c>
      <c r="M426" s="142">
        <v>772061</v>
      </c>
      <c r="N426" s="142"/>
      <c r="O426" s="142"/>
      <c r="P426" s="142"/>
      <c r="Q426" s="142"/>
      <c r="R426" s="142"/>
      <c r="S426" s="142"/>
      <c r="T426" s="143"/>
      <c r="U426" s="264"/>
    </row>
    <row r="427" spans="1:21" ht="13.5" thickBot="1">
      <c r="A427" s="285"/>
      <c r="B427" s="287"/>
      <c r="C427" s="287"/>
      <c r="D427" s="319"/>
      <c r="E427" s="324"/>
      <c r="F427" s="267"/>
      <c r="G427" s="317"/>
      <c r="H427" s="139" t="s">
        <v>109</v>
      </c>
      <c r="I427" s="140"/>
      <c r="J427" s="141"/>
      <c r="K427" s="142">
        <f t="shared" si="89"/>
        <v>0</v>
      </c>
      <c r="L427" s="142"/>
      <c r="M427" s="142"/>
      <c r="N427" s="142"/>
      <c r="O427" s="142"/>
      <c r="P427" s="142"/>
      <c r="Q427" s="142"/>
      <c r="R427" s="142"/>
      <c r="S427" s="142"/>
      <c r="T427" s="143"/>
      <c r="U427" s="264"/>
    </row>
    <row r="428" spans="1:21" ht="13.5" thickBot="1">
      <c r="A428" s="285"/>
      <c r="B428" s="287"/>
      <c r="C428" s="287"/>
      <c r="D428" s="319"/>
      <c r="E428" s="324"/>
      <c r="F428" s="267"/>
      <c r="G428" s="145" t="s">
        <v>110</v>
      </c>
      <c r="H428" s="139" t="s">
        <v>111</v>
      </c>
      <c r="I428" s="140"/>
      <c r="J428" s="141"/>
      <c r="K428" s="142">
        <f t="shared" si="89"/>
        <v>0</v>
      </c>
      <c r="L428" s="142">
        <v>18050</v>
      </c>
      <c r="M428" s="142">
        <v>877315</v>
      </c>
      <c r="N428" s="142"/>
      <c r="O428" s="142"/>
      <c r="P428" s="142"/>
      <c r="Q428" s="142"/>
      <c r="R428" s="142"/>
      <c r="S428" s="142"/>
      <c r="T428" s="143"/>
      <c r="U428" s="264"/>
    </row>
    <row r="429" spans="1:21" ht="13.5" thickBot="1">
      <c r="A429" s="285"/>
      <c r="B429" s="287"/>
      <c r="C429" s="287"/>
      <c r="D429" s="319"/>
      <c r="E429" s="324"/>
      <c r="F429" s="267"/>
      <c r="G429" s="281">
        <f>SUM(K434:T434)</f>
        <v>4369404</v>
      </c>
      <c r="H429" s="139" t="s">
        <v>112</v>
      </c>
      <c r="I429" s="140">
        <f>24550-24550</f>
        <v>0</v>
      </c>
      <c r="J429" s="141"/>
      <c r="K429" s="142">
        <f t="shared" si="89"/>
        <v>0</v>
      </c>
      <c r="L429" s="142"/>
      <c r="M429" s="142"/>
      <c r="N429" s="142"/>
      <c r="O429" s="142"/>
      <c r="P429" s="142"/>
      <c r="Q429" s="142"/>
      <c r="R429" s="142"/>
      <c r="S429" s="142"/>
      <c r="T429" s="143"/>
      <c r="U429" s="264"/>
    </row>
    <row r="430" spans="1:21" ht="13.5" thickBot="1">
      <c r="A430" s="285"/>
      <c r="B430" s="287"/>
      <c r="C430" s="287"/>
      <c r="D430" s="319"/>
      <c r="E430" s="324"/>
      <c r="F430" s="267">
        <v>2012</v>
      </c>
      <c r="G430" s="317"/>
      <c r="H430" s="139" t="s">
        <v>113</v>
      </c>
      <c r="I430" s="140"/>
      <c r="J430" s="141"/>
      <c r="K430" s="142">
        <f t="shared" si="89"/>
        <v>0</v>
      </c>
      <c r="L430" s="142">
        <v>54150</v>
      </c>
      <c r="M430" s="142">
        <v>2631944</v>
      </c>
      <c r="N430" s="142"/>
      <c r="O430" s="142"/>
      <c r="P430" s="142"/>
      <c r="Q430" s="142"/>
      <c r="R430" s="142"/>
      <c r="S430" s="142"/>
      <c r="T430" s="143"/>
      <c r="U430" s="264"/>
    </row>
    <row r="431" spans="1:21" ht="13.5" thickBot="1">
      <c r="A431" s="285"/>
      <c r="B431" s="287"/>
      <c r="C431" s="287"/>
      <c r="D431" s="319"/>
      <c r="E431" s="324"/>
      <c r="F431" s="267"/>
      <c r="G431" s="145" t="s">
        <v>114</v>
      </c>
      <c r="H431" s="139" t="s">
        <v>115</v>
      </c>
      <c r="I431" s="140"/>
      <c r="J431" s="141"/>
      <c r="K431" s="142">
        <f t="shared" si="89"/>
        <v>0</v>
      </c>
      <c r="L431" s="142"/>
      <c r="M431" s="142"/>
      <c r="N431" s="142"/>
      <c r="O431" s="142"/>
      <c r="P431" s="142"/>
      <c r="Q431" s="142"/>
      <c r="R431" s="142"/>
      <c r="S431" s="142"/>
      <c r="T431" s="143"/>
      <c r="U431" s="264"/>
    </row>
    <row r="432" spans="1:21" ht="13.5" thickBot="1">
      <c r="A432" s="285"/>
      <c r="B432" s="287"/>
      <c r="C432" s="287"/>
      <c r="D432" s="319"/>
      <c r="E432" s="324"/>
      <c r="F432" s="267"/>
      <c r="G432" s="281">
        <f>G426+G429</f>
        <v>4369404</v>
      </c>
      <c r="H432" s="139" t="s">
        <v>116</v>
      </c>
      <c r="I432" s="140"/>
      <c r="J432" s="141"/>
      <c r="K432" s="142">
        <f>SUM(I432:J432)</f>
        <v>0</v>
      </c>
      <c r="L432" s="142"/>
      <c r="M432" s="142"/>
      <c r="N432" s="142"/>
      <c r="O432" s="142"/>
      <c r="P432" s="142"/>
      <c r="Q432" s="142"/>
      <c r="R432" s="142"/>
      <c r="S432" s="142"/>
      <c r="T432" s="143"/>
      <c r="U432" s="264"/>
    </row>
    <row r="433" spans="1:21" ht="13.5" thickBot="1">
      <c r="A433" s="285"/>
      <c r="B433" s="287"/>
      <c r="C433" s="287"/>
      <c r="D433" s="319"/>
      <c r="E433" s="324"/>
      <c r="F433" s="267"/>
      <c r="G433" s="282"/>
      <c r="H433" s="139" t="s">
        <v>117</v>
      </c>
      <c r="I433" s="146">
        <f>I425+I427+I429+I431</f>
        <v>0</v>
      </c>
      <c r="J433" s="147">
        <f>J425+J427+J429+J431</f>
        <v>0</v>
      </c>
      <c r="K433" s="148">
        <f>SUM(I433:J433)</f>
        <v>0</v>
      </c>
      <c r="L433" s="148">
        <f aca="true" t="shared" si="96" ref="L433:T433">L425+L427+L429+L431</f>
        <v>0</v>
      </c>
      <c r="M433" s="148">
        <f t="shared" si="96"/>
        <v>0</v>
      </c>
      <c r="N433" s="148">
        <f t="shared" si="96"/>
        <v>0</v>
      </c>
      <c r="O433" s="148">
        <f t="shared" si="96"/>
        <v>0</v>
      </c>
      <c r="P433" s="148">
        <f t="shared" si="96"/>
        <v>0</v>
      </c>
      <c r="Q433" s="148">
        <f t="shared" si="96"/>
        <v>0</v>
      </c>
      <c r="R433" s="148">
        <f t="shared" si="96"/>
        <v>0</v>
      </c>
      <c r="S433" s="148">
        <f t="shared" si="96"/>
        <v>0</v>
      </c>
      <c r="T433" s="149">
        <f t="shared" si="96"/>
        <v>0</v>
      </c>
      <c r="U433" s="264"/>
    </row>
    <row r="434" spans="1:21" ht="13.5" thickBot="1">
      <c r="A434" s="285"/>
      <c r="B434" s="318"/>
      <c r="C434" s="318"/>
      <c r="D434" s="320"/>
      <c r="E434" s="324"/>
      <c r="F434" s="310"/>
      <c r="G434" s="283"/>
      <c r="H434" s="150" t="s">
        <v>118</v>
      </c>
      <c r="I434" s="151">
        <f>I426+I428+I430+I432</f>
        <v>0</v>
      </c>
      <c r="J434" s="152">
        <f>J426+J428+J430+J432</f>
        <v>0</v>
      </c>
      <c r="K434" s="153">
        <f>SUM(I434:J434)</f>
        <v>0</v>
      </c>
      <c r="L434" s="153">
        <f aca="true" t="shared" si="97" ref="L434:T434">L426+L428+L430+L432</f>
        <v>88084</v>
      </c>
      <c r="M434" s="153">
        <f t="shared" si="97"/>
        <v>4281320</v>
      </c>
      <c r="N434" s="153">
        <f t="shared" si="97"/>
        <v>0</v>
      </c>
      <c r="O434" s="153">
        <f t="shared" si="97"/>
        <v>0</v>
      </c>
      <c r="P434" s="153">
        <f t="shared" si="97"/>
        <v>0</v>
      </c>
      <c r="Q434" s="153">
        <f t="shared" si="97"/>
        <v>0</v>
      </c>
      <c r="R434" s="153">
        <f t="shared" si="97"/>
        <v>0</v>
      </c>
      <c r="S434" s="153">
        <f t="shared" si="97"/>
        <v>0</v>
      </c>
      <c r="T434" s="154">
        <f t="shared" si="97"/>
        <v>0</v>
      </c>
      <c r="U434" s="307"/>
    </row>
    <row r="435" spans="1:21" ht="8.25" customHeight="1">
      <c r="A435" s="203"/>
      <c r="B435" s="203"/>
      <c r="C435" s="203"/>
      <c r="D435" s="204"/>
      <c r="E435" s="205"/>
      <c r="F435" s="206"/>
      <c r="G435" s="207"/>
      <c r="H435" s="208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10"/>
    </row>
    <row r="436" spans="1:21" ht="12.75" hidden="1">
      <c r="A436" s="203"/>
      <c r="B436" s="203"/>
      <c r="C436" s="203"/>
      <c r="D436" s="204"/>
      <c r="E436" s="205"/>
      <c r="F436" s="206"/>
      <c r="G436" s="207"/>
      <c r="H436" s="208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10"/>
    </row>
    <row r="437" spans="7:21" ht="12.75">
      <c r="G437" s="211" t="s">
        <v>175</v>
      </c>
      <c r="H437" s="212"/>
      <c r="I437" s="213">
        <f aca="true" t="shared" si="98" ref="I437:O438">I5+I15+I25+I35+I45+I55+I65+I75+I85+I95+I105+I115+I125+I135+I145+I155+I165+I175+I185+I195+I205+I215+I225+I235+I245+I255+I265+I275+I285+I295+I305+I315+I325+I335+I345+I355+I365+I375+I385+I395+I405+I415+I425</f>
        <v>102481</v>
      </c>
      <c r="J437" s="213">
        <f t="shared" si="98"/>
        <v>483315.95999999996</v>
      </c>
      <c r="K437" s="213">
        <f t="shared" si="98"/>
        <v>4098177.96</v>
      </c>
      <c r="L437" s="213">
        <f t="shared" si="98"/>
        <v>15405986</v>
      </c>
      <c r="M437" s="213">
        <f t="shared" si="98"/>
        <v>21871397</v>
      </c>
      <c r="N437" s="213">
        <f t="shared" si="98"/>
        <v>265962</v>
      </c>
      <c r="O437" s="213">
        <f t="shared" si="98"/>
        <v>0</v>
      </c>
      <c r="P437" s="214"/>
      <c r="Q437" s="214"/>
      <c r="R437" s="215"/>
      <c r="S437" s="215"/>
      <c r="T437" s="215"/>
      <c r="U437" s="215"/>
    </row>
    <row r="438" spans="7:21" ht="12.75">
      <c r="G438" s="211" t="s">
        <v>176</v>
      </c>
      <c r="H438" s="212"/>
      <c r="I438" s="213">
        <f t="shared" si="98"/>
        <v>4122985</v>
      </c>
      <c r="J438" s="213">
        <f t="shared" si="98"/>
        <v>29862783</v>
      </c>
      <c r="K438" s="213">
        <f t="shared" si="98"/>
        <v>37130702</v>
      </c>
      <c r="L438" s="213">
        <f t="shared" si="98"/>
        <v>20455812</v>
      </c>
      <c r="M438" s="213">
        <f t="shared" si="98"/>
        <v>47820940</v>
      </c>
      <c r="N438" s="213">
        <f t="shared" si="98"/>
        <v>19895222</v>
      </c>
      <c r="O438" s="213">
        <f t="shared" si="98"/>
        <v>2635086</v>
      </c>
      <c r="P438" s="214"/>
      <c r="Q438" s="214"/>
      <c r="R438" s="215"/>
      <c r="S438" s="215"/>
      <c r="T438" s="215"/>
      <c r="U438" s="215"/>
    </row>
    <row r="439" spans="7:21" ht="12.75">
      <c r="G439" s="216" t="s">
        <v>177</v>
      </c>
      <c r="H439" s="217"/>
      <c r="I439" s="218">
        <f aca="true" t="shared" si="99" ref="I439:O439">I437+I438</f>
        <v>4225466</v>
      </c>
      <c r="J439" s="218">
        <f t="shared" si="99"/>
        <v>30346098.96</v>
      </c>
      <c r="K439" s="218">
        <f t="shared" si="99"/>
        <v>41228879.96</v>
      </c>
      <c r="L439" s="218">
        <f t="shared" si="99"/>
        <v>35861798</v>
      </c>
      <c r="M439" s="218">
        <f t="shared" si="99"/>
        <v>69692337</v>
      </c>
      <c r="N439" s="218">
        <f t="shared" si="99"/>
        <v>20161184</v>
      </c>
      <c r="O439" s="218">
        <f t="shared" si="99"/>
        <v>2635086</v>
      </c>
      <c r="P439" s="214"/>
      <c r="Q439" s="214"/>
      <c r="R439" s="215"/>
      <c r="S439" s="215"/>
      <c r="T439" s="215"/>
      <c r="U439" s="215"/>
    </row>
    <row r="440" spans="7:21" ht="12.75" customHeight="1" hidden="1">
      <c r="G440" s="211" t="s">
        <v>178</v>
      </c>
      <c r="H440" s="212"/>
      <c r="I440" s="219"/>
      <c r="J440" s="219"/>
      <c r="K440" s="219"/>
      <c r="L440" s="219"/>
      <c r="M440" s="219"/>
      <c r="N440" s="219"/>
      <c r="O440" s="219"/>
      <c r="P440" s="215"/>
      <c r="Q440" s="215"/>
      <c r="R440" s="215"/>
      <c r="S440" s="215"/>
      <c r="T440" s="215"/>
      <c r="U440" s="215"/>
    </row>
    <row r="441" spans="7:21" ht="18.75" customHeight="1">
      <c r="G441" s="211" t="s">
        <v>178</v>
      </c>
      <c r="H441" s="211"/>
      <c r="I441" s="213">
        <f aca="true" t="shared" si="100" ref="I441:O442">I9+I19+I29+I39+I49+I59+I69+I79+I89+I99+I109+I119+I129+I139+I149+I159+I169+I179+I189+I199+I209+I219+I229+I239+I249+I259+I269+I279+I289+I299+I309+I319+I329+I339+I349+I359+I369+I379+I389+I399+I409+I419+I429</f>
        <v>276067</v>
      </c>
      <c r="J441" s="213">
        <f t="shared" si="100"/>
        <v>3227653.2</v>
      </c>
      <c r="K441" s="213">
        <f t="shared" si="100"/>
        <v>3503720.2</v>
      </c>
      <c r="L441" s="213">
        <f t="shared" si="100"/>
        <v>9003605</v>
      </c>
      <c r="M441" s="213">
        <f t="shared" si="100"/>
        <v>7965916</v>
      </c>
      <c r="N441" s="213">
        <f t="shared" si="100"/>
        <v>1536637</v>
      </c>
      <c r="O441" s="213">
        <f t="shared" si="100"/>
        <v>3519</v>
      </c>
      <c r="P441" s="214"/>
      <c r="Q441" s="214"/>
      <c r="R441" s="215"/>
      <c r="S441" s="215"/>
      <c r="T441" s="215"/>
      <c r="U441" s="215"/>
    </row>
    <row r="442" spans="7:21" ht="12.75">
      <c r="G442" s="211" t="s">
        <v>179</v>
      </c>
      <c r="H442" s="211"/>
      <c r="I442" s="213">
        <f t="shared" si="100"/>
        <v>2809341</v>
      </c>
      <c r="J442" s="213">
        <f t="shared" si="100"/>
        <v>28146657</v>
      </c>
      <c r="K442" s="213">
        <f t="shared" si="100"/>
        <v>45419695</v>
      </c>
      <c r="L442" s="213">
        <f t="shared" si="100"/>
        <v>61002521</v>
      </c>
      <c r="M442" s="213">
        <f t="shared" si="100"/>
        <v>108589256</v>
      </c>
      <c r="N442" s="213">
        <f t="shared" si="100"/>
        <v>34826055</v>
      </c>
      <c r="O442" s="213">
        <f t="shared" si="100"/>
        <v>14932153</v>
      </c>
      <c r="P442" s="213" t="e">
        <f>P340+P330+P300+P290+P280+P240+P230+P210+P190+P180+P170+P160+P150+P140+P130+P120+P110+P100+P90+P80+P70+P60+P50+#REF!+P40+P30+P10</f>
        <v>#REF!</v>
      </c>
      <c r="Q442" s="213" t="e">
        <f>Q340+Q330+Q300+Q290+Q280+Q240+Q230+Q210+Q190+Q180+Q170+Q160+Q150+Q140+Q130+Q120+Q110+Q100+Q90+Q80+Q70+Q60+Q50+#REF!+Q40+Q30+Q10</f>
        <v>#REF!</v>
      </c>
      <c r="R442" s="213" t="e">
        <f>R340+R330+R300+R290+R280+R240+R230+R210+R190+R180+R170+R160+R150+R140+R130+R120+R110+R100+R90+R80+R70+R60+R50+#REF!+R40+R30+R10</f>
        <v>#REF!</v>
      </c>
      <c r="S442" s="213" t="e">
        <f>S340+S330+S300+S290+S280+S240+S230+S210+S190+S180+S170+S160+S150+S140+S130+S120+S110+S100+S90+S80+S70+S60+S50+#REF!+S40+S30+S10</f>
        <v>#REF!</v>
      </c>
      <c r="T442" s="213" t="e">
        <f>T340+T330+T300+T290+T280+T240+T230+T210+T190+T180+T170+T160+T150+T140+T130+T120+T110+T100+T90+T80+T70+T60+T50+#REF!+T40+T30+T10</f>
        <v>#REF!</v>
      </c>
      <c r="U442" s="215"/>
    </row>
    <row r="443" spans="7:21" ht="12.75">
      <c r="G443" s="366" t="s">
        <v>180</v>
      </c>
      <c r="H443" s="367"/>
      <c r="I443" s="218">
        <f aca="true" t="shared" si="101" ref="I443:O443">I441+I442</f>
        <v>3085408</v>
      </c>
      <c r="J443" s="218">
        <f t="shared" si="101"/>
        <v>31374310.2</v>
      </c>
      <c r="K443" s="218">
        <f t="shared" si="101"/>
        <v>48923415.2</v>
      </c>
      <c r="L443" s="218">
        <f t="shared" si="101"/>
        <v>70006126</v>
      </c>
      <c r="M443" s="218">
        <f t="shared" si="101"/>
        <v>116555172</v>
      </c>
      <c r="N443" s="218">
        <f t="shared" si="101"/>
        <v>36362692</v>
      </c>
      <c r="O443" s="218">
        <f t="shared" si="101"/>
        <v>14935672</v>
      </c>
      <c r="P443" s="214"/>
      <c r="Q443" s="214"/>
      <c r="R443" s="215"/>
      <c r="S443" s="214"/>
      <c r="T443" s="215"/>
      <c r="U443" s="215"/>
    </row>
    <row r="444" spans="7:21" ht="12.75" customHeight="1" hidden="1">
      <c r="G444" s="211" t="s">
        <v>181</v>
      </c>
      <c r="H444" s="212"/>
      <c r="I444" s="219"/>
      <c r="J444" s="219"/>
      <c r="K444" s="219"/>
      <c r="L444" s="219"/>
      <c r="M444" s="219"/>
      <c r="N444" s="219"/>
      <c r="O444" s="219"/>
      <c r="P444" s="215"/>
      <c r="Q444" s="215"/>
      <c r="R444" s="215"/>
      <c r="S444" s="215"/>
      <c r="T444" s="215"/>
      <c r="U444" s="215"/>
    </row>
    <row r="445" spans="7:21" ht="19.5" customHeight="1">
      <c r="G445" s="211" t="s">
        <v>182</v>
      </c>
      <c r="H445" s="211"/>
      <c r="I445" s="213">
        <f aca="true" t="shared" si="102" ref="I445:O446">I7+I17+I27+I37+I47+I57+I67+I77+I87+I97+I107+I117+I127+I137+I147+I157+I167+I177+I187+I197+I207+I217+I227+I237+I247+I257+I267+I277+I287+I297+I307+I317+I327+I337+I347+I357+I367+I377+I387+I397+I407+I417+I427</f>
        <v>0</v>
      </c>
      <c r="J445" s="213">
        <f t="shared" si="102"/>
        <v>298601</v>
      </c>
      <c r="K445" s="213">
        <f t="shared" si="102"/>
        <v>298601</v>
      </c>
      <c r="L445" s="213">
        <f t="shared" si="102"/>
        <v>419534</v>
      </c>
      <c r="M445" s="213">
        <f t="shared" si="102"/>
        <v>434797</v>
      </c>
      <c r="N445" s="213">
        <f t="shared" si="102"/>
        <v>125485</v>
      </c>
      <c r="O445" s="213">
        <f t="shared" si="102"/>
        <v>621</v>
      </c>
      <c r="P445" s="214"/>
      <c r="Q445" s="214"/>
      <c r="R445" s="215"/>
      <c r="S445" s="215"/>
      <c r="T445" s="215"/>
      <c r="U445" s="215"/>
    </row>
    <row r="446" spans="7:21" ht="12.75">
      <c r="G446" s="211" t="s">
        <v>181</v>
      </c>
      <c r="H446" s="220"/>
      <c r="I446" s="213">
        <f t="shared" si="102"/>
        <v>0</v>
      </c>
      <c r="J446" s="213">
        <f t="shared" si="102"/>
        <v>0</v>
      </c>
      <c r="K446" s="213">
        <f t="shared" si="102"/>
        <v>1898513</v>
      </c>
      <c r="L446" s="213">
        <f t="shared" si="102"/>
        <v>5072159</v>
      </c>
      <c r="M446" s="213">
        <f t="shared" si="102"/>
        <v>7926661</v>
      </c>
      <c r="N446" s="213">
        <f t="shared" si="102"/>
        <v>0</v>
      </c>
      <c r="O446" s="213">
        <f t="shared" si="102"/>
        <v>0</v>
      </c>
      <c r="P446" s="214"/>
      <c r="Q446" s="214"/>
      <c r="R446" s="215"/>
      <c r="S446" s="215"/>
      <c r="T446" s="215"/>
      <c r="U446" s="215"/>
    </row>
    <row r="447" spans="7:21" ht="12.75">
      <c r="G447" s="366" t="s">
        <v>183</v>
      </c>
      <c r="H447" s="367"/>
      <c r="I447" s="218">
        <f aca="true" t="shared" si="103" ref="I447:O447">I445+I446</f>
        <v>0</v>
      </c>
      <c r="J447" s="218">
        <f t="shared" si="103"/>
        <v>298601</v>
      </c>
      <c r="K447" s="218">
        <f t="shared" si="103"/>
        <v>2197114</v>
      </c>
      <c r="L447" s="218">
        <f t="shared" si="103"/>
        <v>5491693</v>
      </c>
      <c r="M447" s="218">
        <f t="shared" si="103"/>
        <v>8361458</v>
      </c>
      <c r="N447" s="218">
        <f t="shared" si="103"/>
        <v>125485</v>
      </c>
      <c r="O447" s="218">
        <f t="shared" si="103"/>
        <v>621</v>
      </c>
      <c r="P447" s="221"/>
      <c r="Q447" s="221"/>
      <c r="R447" s="215"/>
      <c r="S447" s="215"/>
      <c r="T447" s="215"/>
      <c r="U447" s="215"/>
    </row>
    <row r="448" spans="7:21" ht="17.25" customHeight="1">
      <c r="G448" s="368" t="s">
        <v>184</v>
      </c>
      <c r="H448" s="369"/>
      <c r="I448" s="213">
        <f aca="true" t="shared" si="104" ref="I448:O450">I437+I441+I445</f>
        <v>378548</v>
      </c>
      <c r="J448" s="213">
        <f t="shared" si="104"/>
        <v>4009570.16</v>
      </c>
      <c r="K448" s="213">
        <f t="shared" si="104"/>
        <v>7900499.16</v>
      </c>
      <c r="L448" s="213">
        <f t="shared" si="104"/>
        <v>24829125</v>
      </c>
      <c r="M448" s="213">
        <f t="shared" si="104"/>
        <v>30272110</v>
      </c>
      <c r="N448" s="213">
        <f t="shared" si="104"/>
        <v>1928084</v>
      </c>
      <c r="O448" s="213">
        <f t="shared" si="104"/>
        <v>4140</v>
      </c>
      <c r="P448" s="215"/>
      <c r="Q448" s="215"/>
      <c r="R448" s="215"/>
      <c r="S448" s="215"/>
      <c r="T448" s="215"/>
      <c r="U448" s="215"/>
    </row>
    <row r="449" spans="7:21" ht="12.75">
      <c r="G449" s="211" t="s">
        <v>185</v>
      </c>
      <c r="H449" s="211"/>
      <c r="I449" s="213">
        <f t="shared" si="104"/>
        <v>6932326</v>
      </c>
      <c r="J449" s="213">
        <f t="shared" si="104"/>
        <v>58009440</v>
      </c>
      <c r="K449" s="213">
        <f t="shared" si="104"/>
        <v>84448910</v>
      </c>
      <c r="L449" s="213">
        <f t="shared" si="104"/>
        <v>86530492</v>
      </c>
      <c r="M449" s="213">
        <f t="shared" si="104"/>
        <v>164336857</v>
      </c>
      <c r="N449" s="213">
        <f t="shared" si="104"/>
        <v>54721277</v>
      </c>
      <c r="O449" s="213">
        <f t="shared" si="104"/>
        <v>17567239</v>
      </c>
      <c r="P449" s="215"/>
      <c r="Q449" s="215"/>
      <c r="R449" s="215"/>
      <c r="S449" s="215"/>
      <c r="T449" s="215"/>
      <c r="U449" s="215"/>
    </row>
    <row r="450" spans="7:21" ht="12.75">
      <c r="G450" s="366" t="s">
        <v>186</v>
      </c>
      <c r="H450" s="367"/>
      <c r="I450" s="218">
        <f t="shared" si="104"/>
        <v>7310874</v>
      </c>
      <c r="J450" s="218">
        <f t="shared" si="104"/>
        <v>62019010.16</v>
      </c>
      <c r="K450" s="218">
        <f t="shared" si="104"/>
        <v>92349409.16</v>
      </c>
      <c r="L450" s="218">
        <f t="shared" si="104"/>
        <v>111359617</v>
      </c>
      <c r="M450" s="218">
        <f t="shared" si="104"/>
        <v>194608967</v>
      </c>
      <c r="N450" s="218">
        <f t="shared" si="104"/>
        <v>56649361</v>
      </c>
      <c r="O450" s="218">
        <f t="shared" si="104"/>
        <v>17571379</v>
      </c>
      <c r="P450" s="221"/>
      <c r="Q450" s="221"/>
      <c r="R450" s="215"/>
      <c r="S450" s="215"/>
      <c r="T450" s="215"/>
      <c r="U450" s="215"/>
    </row>
    <row r="451" spans="9:21" ht="12.75">
      <c r="I451" s="222"/>
      <c r="J451" s="222"/>
      <c r="K451" s="222"/>
      <c r="L451" s="222"/>
      <c r="M451" s="222"/>
      <c r="N451" s="222"/>
      <c r="O451" s="222"/>
      <c r="P451" s="215"/>
      <c r="Q451" s="215"/>
      <c r="R451" s="215"/>
      <c r="S451" s="215"/>
      <c r="T451" s="215"/>
      <c r="U451" s="215"/>
    </row>
    <row r="452" spans="9:21" ht="12.75">
      <c r="I452" s="222"/>
      <c r="J452" s="222"/>
      <c r="K452" s="222"/>
      <c r="L452" s="222"/>
      <c r="M452" s="222"/>
      <c r="N452" s="222"/>
      <c r="O452" s="222"/>
      <c r="P452" s="215"/>
      <c r="Q452" s="215"/>
      <c r="R452" s="215"/>
      <c r="S452" s="215"/>
      <c r="T452" s="215"/>
      <c r="U452" s="215"/>
    </row>
    <row r="453" spans="5:21" ht="12.75" hidden="1">
      <c r="E453" s="223"/>
      <c r="H453" s="181">
        <f>I450+J450+L450+M450+N450+O450</f>
        <v>449519208.15999997</v>
      </c>
      <c r="I453" s="222"/>
      <c r="J453" s="222"/>
      <c r="K453" s="222"/>
      <c r="L453" s="222"/>
      <c r="M453" s="222"/>
      <c r="N453" s="222"/>
      <c r="O453" s="222"/>
      <c r="P453" s="215"/>
      <c r="Q453" s="215"/>
      <c r="R453" s="215"/>
      <c r="S453" s="215"/>
      <c r="T453" s="215"/>
      <c r="U453" s="215"/>
    </row>
    <row r="454" spans="9:21" ht="12.75">
      <c r="I454" s="222"/>
      <c r="J454" s="222"/>
      <c r="K454" s="222"/>
      <c r="L454" s="222"/>
      <c r="M454" s="222"/>
      <c r="N454" s="222"/>
      <c r="O454" s="222"/>
      <c r="P454" s="215"/>
      <c r="Q454" s="215"/>
      <c r="R454" s="215"/>
      <c r="S454" s="215"/>
      <c r="T454" s="215"/>
      <c r="U454" s="215"/>
    </row>
    <row r="455" spans="9:21" ht="12.75">
      <c r="I455" s="209"/>
      <c r="J455" s="209"/>
      <c r="K455" s="209"/>
      <c r="L455" s="209"/>
      <c r="M455" s="209"/>
      <c r="N455" s="209"/>
      <c r="O455" s="209"/>
      <c r="P455" s="215"/>
      <c r="Q455" s="215"/>
      <c r="R455" s="215"/>
      <c r="S455" s="215"/>
      <c r="T455" s="215"/>
      <c r="U455" s="215"/>
    </row>
    <row r="456" spans="9:21" ht="12.75">
      <c r="I456" s="209"/>
      <c r="J456" s="209"/>
      <c r="K456" s="209"/>
      <c r="L456" s="209"/>
      <c r="M456" s="209"/>
      <c r="N456" s="209"/>
      <c r="O456" s="209"/>
      <c r="P456" s="215"/>
      <c r="Q456" s="215"/>
      <c r="R456" s="215"/>
      <c r="S456" s="215"/>
      <c r="T456" s="215"/>
      <c r="U456" s="215"/>
    </row>
    <row r="457" spans="9:21" ht="12.75">
      <c r="I457" s="222"/>
      <c r="J457" s="222"/>
      <c r="K457" s="222"/>
      <c r="L457" s="222"/>
      <c r="M457" s="222"/>
      <c r="N457" s="222"/>
      <c r="O457" s="222"/>
      <c r="P457" s="215"/>
      <c r="Q457" s="215"/>
      <c r="R457" s="215"/>
      <c r="S457" s="215"/>
      <c r="T457" s="215"/>
      <c r="U457" s="215"/>
    </row>
    <row r="458" spans="9:21" ht="12.75">
      <c r="I458" s="222"/>
      <c r="J458" s="222"/>
      <c r="K458" s="222"/>
      <c r="L458" s="222"/>
      <c r="M458" s="222"/>
      <c r="N458" s="222"/>
      <c r="O458" s="222"/>
      <c r="P458" s="215"/>
      <c r="Q458" s="215"/>
      <c r="R458" s="215"/>
      <c r="S458" s="215"/>
      <c r="T458" s="215"/>
      <c r="U458" s="215"/>
    </row>
    <row r="459" spans="9:21" ht="12.75">
      <c r="I459" s="222"/>
      <c r="J459" s="222"/>
      <c r="K459" s="222"/>
      <c r="L459" s="222"/>
      <c r="M459" s="222"/>
      <c r="N459" s="222"/>
      <c r="O459" s="222"/>
      <c r="P459" s="215"/>
      <c r="Q459" s="215"/>
      <c r="R459" s="215"/>
      <c r="S459" s="215"/>
      <c r="T459" s="215"/>
      <c r="U459" s="215"/>
    </row>
    <row r="460" spans="9:21" ht="12.75">
      <c r="I460" s="222"/>
      <c r="J460" s="222"/>
      <c r="K460" s="222"/>
      <c r="L460" s="222"/>
      <c r="M460" s="222"/>
      <c r="N460" s="222"/>
      <c r="O460" s="222"/>
      <c r="P460" s="215"/>
      <c r="Q460" s="215"/>
      <c r="R460" s="215"/>
      <c r="S460" s="215"/>
      <c r="T460" s="215"/>
      <c r="U460" s="215"/>
    </row>
    <row r="461" spans="9:21" ht="12.75">
      <c r="I461" s="222"/>
      <c r="J461" s="222"/>
      <c r="K461" s="222"/>
      <c r="L461" s="222"/>
      <c r="M461" s="222"/>
      <c r="N461" s="222"/>
      <c r="O461" s="222"/>
      <c r="P461" s="215"/>
      <c r="Q461" s="215"/>
      <c r="R461" s="215"/>
      <c r="S461" s="215"/>
      <c r="T461" s="215"/>
      <c r="U461" s="215"/>
    </row>
    <row r="462" spans="9:21" ht="12.75">
      <c r="I462" s="222"/>
      <c r="J462" s="222"/>
      <c r="K462" s="222"/>
      <c r="L462" s="222"/>
      <c r="M462" s="222"/>
      <c r="N462" s="222"/>
      <c r="O462" s="222"/>
      <c r="P462" s="215"/>
      <c r="Q462" s="215"/>
      <c r="R462" s="215"/>
      <c r="S462" s="215"/>
      <c r="T462" s="215"/>
      <c r="U462" s="215"/>
    </row>
    <row r="463" spans="9:21" ht="12.75">
      <c r="I463" s="222"/>
      <c r="J463" s="222"/>
      <c r="K463" s="222"/>
      <c r="L463" s="222"/>
      <c r="M463" s="222"/>
      <c r="N463" s="222"/>
      <c r="O463" s="222"/>
      <c r="P463" s="215"/>
      <c r="Q463" s="215"/>
      <c r="R463" s="215"/>
      <c r="S463" s="215"/>
      <c r="T463" s="215"/>
      <c r="U463" s="215"/>
    </row>
    <row r="464" spans="9:21" ht="12.75">
      <c r="I464" s="222"/>
      <c r="J464" s="222"/>
      <c r="K464" s="222"/>
      <c r="L464" s="222"/>
      <c r="M464" s="222"/>
      <c r="N464" s="222"/>
      <c r="O464" s="222"/>
      <c r="P464" s="215"/>
      <c r="Q464" s="215"/>
      <c r="R464" s="215"/>
      <c r="S464" s="215"/>
      <c r="T464" s="215"/>
      <c r="U464" s="215"/>
    </row>
    <row r="465" spans="9:21" ht="12.75">
      <c r="I465" s="209"/>
      <c r="J465" s="209"/>
      <c r="K465" s="209"/>
      <c r="L465" s="209"/>
      <c r="M465" s="209"/>
      <c r="N465" s="209"/>
      <c r="O465" s="209"/>
      <c r="P465" s="215"/>
      <c r="Q465" s="215"/>
      <c r="R465" s="215"/>
      <c r="S465" s="215"/>
      <c r="T465" s="215"/>
      <c r="U465" s="215"/>
    </row>
    <row r="466" spans="9:21" ht="12.75">
      <c r="I466" s="209"/>
      <c r="J466" s="209"/>
      <c r="K466" s="209"/>
      <c r="L466" s="209"/>
      <c r="M466" s="209"/>
      <c r="N466" s="209"/>
      <c r="O466" s="209"/>
      <c r="P466" s="215"/>
      <c r="Q466" s="215"/>
      <c r="R466" s="215"/>
      <c r="S466" s="215"/>
      <c r="T466" s="215"/>
      <c r="U466" s="215"/>
    </row>
    <row r="467" spans="9:21" ht="12.75">
      <c r="I467" s="222"/>
      <c r="J467" s="222"/>
      <c r="K467" s="222"/>
      <c r="L467" s="222"/>
      <c r="M467" s="222"/>
      <c r="N467" s="222"/>
      <c r="O467" s="222"/>
      <c r="P467" s="215"/>
      <c r="Q467" s="215"/>
      <c r="R467" s="215"/>
      <c r="S467" s="215"/>
      <c r="T467" s="215"/>
      <c r="U467" s="215"/>
    </row>
    <row r="468" spans="9:21" ht="12.75">
      <c r="I468" s="222"/>
      <c r="J468" s="222"/>
      <c r="K468" s="222"/>
      <c r="L468" s="222"/>
      <c r="M468" s="222"/>
      <c r="N468" s="222"/>
      <c r="O468" s="222"/>
      <c r="P468" s="215"/>
      <c r="Q468" s="215"/>
      <c r="R468" s="215"/>
      <c r="S468" s="215"/>
      <c r="T468" s="215"/>
      <c r="U468" s="215"/>
    </row>
    <row r="469" spans="9:21" ht="12.75">
      <c r="I469" s="222"/>
      <c r="J469" s="222"/>
      <c r="K469" s="222"/>
      <c r="L469" s="222"/>
      <c r="M469" s="222"/>
      <c r="N469" s="222"/>
      <c r="O469" s="222"/>
      <c r="P469" s="215"/>
      <c r="Q469" s="215"/>
      <c r="R469" s="215"/>
      <c r="S469" s="215"/>
      <c r="T469" s="215"/>
      <c r="U469" s="215"/>
    </row>
    <row r="470" spans="9:21" ht="12.75">
      <c r="I470" s="222"/>
      <c r="J470" s="222"/>
      <c r="K470" s="222"/>
      <c r="L470" s="222"/>
      <c r="M470" s="222"/>
      <c r="N470" s="222"/>
      <c r="O470" s="222"/>
      <c r="P470" s="215"/>
      <c r="Q470" s="215"/>
      <c r="R470" s="215"/>
      <c r="S470" s="215"/>
      <c r="T470" s="215"/>
      <c r="U470" s="215"/>
    </row>
    <row r="471" spans="9:21" ht="12.75">
      <c r="I471" s="222"/>
      <c r="J471" s="222"/>
      <c r="K471" s="222"/>
      <c r="L471" s="222"/>
      <c r="M471" s="222"/>
      <c r="N471" s="222"/>
      <c r="O471" s="222"/>
      <c r="P471" s="215"/>
      <c r="Q471" s="215"/>
      <c r="R471" s="215"/>
      <c r="S471" s="215"/>
      <c r="T471" s="215"/>
      <c r="U471" s="215"/>
    </row>
    <row r="472" spans="9:21" ht="12.75">
      <c r="I472" s="222"/>
      <c r="J472" s="222"/>
      <c r="K472" s="222"/>
      <c r="L472" s="222"/>
      <c r="M472" s="222"/>
      <c r="N472" s="222"/>
      <c r="O472" s="222"/>
      <c r="P472" s="215"/>
      <c r="Q472" s="215"/>
      <c r="R472" s="215"/>
      <c r="S472" s="215"/>
      <c r="T472" s="215"/>
      <c r="U472" s="215"/>
    </row>
    <row r="473" spans="9:21" ht="12.75">
      <c r="I473" s="222"/>
      <c r="J473" s="222"/>
      <c r="K473" s="222"/>
      <c r="L473" s="222"/>
      <c r="M473" s="222"/>
      <c r="N473" s="222"/>
      <c r="O473" s="222"/>
      <c r="P473" s="215"/>
      <c r="Q473" s="215"/>
      <c r="R473" s="215"/>
      <c r="S473" s="215"/>
      <c r="T473" s="215"/>
      <c r="U473" s="215"/>
    </row>
    <row r="474" spans="9:21" ht="12.75">
      <c r="I474" s="222"/>
      <c r="J474" s="222"/>
      <c r="K474" s="222"/>
      <c r="L474" s="222"/>
      <c r="M474" s="222"/>
      <c r="N474" s="222"/>
      <c r="O474" s="222"/>
      <c r="P474" s="215"/>
      <c r="Q474" s="215"/>
      <c r="R474" s="215"/>
      <c r="S474" s="215"/>
      <c r="T474" s="215"/>
      <c r="U474" s="215"/>
    </row>
    <row r="475" spans="9:21" ht="12.75">
      <c r="I475" s="209"/>
      <c r="J475" s="209"/>
      <c r="K475" s="209"/>
      <c r="L475" s="209"/>
      <c r="M475" s="209"/>
      <c r="N475" s="209"/>
      <c r="O475" s="209"/>
      <c r="P475" s="215"/>
      <c r="Q475" s="215"/>
      <c r="R475" s="215"/>
      <c r="S475" s="215"/>
      <c r="T475" s="215"/>
      <c r="U475" s="215"/>
    </row>
    <row r="476" spans="9:21" ht="12.75">
      <c r="I476" s="209"/>
      <c r="J476" s="209"/>
      <c r="K476" s="209"/>
      <c r="L476" s="209"/>
      <c r="M476" s="209"/>
      <c r="N476" s="209"/>
      <c r="O476" s="209"/>
      <c r="P476" s="215"/>
      <c r="Q476" s="215"/>
      <c r="R476" s="215"/>
      <c r="S476" s="215"/>
      <c r="T476" s="215"/>
      <c r="U476" s="215"/>
    </row>
    <row r="477" spans="9:21" ht="12.75">
      <c r="I477" s="222"/>
      <c r="J477" s="222"/>
      <c r="K477" s="222"/>
      <c r="L477" s="222"/>
      <c r="M477" s="222"/>
      <c r="N477" s="222"/>
      <c r="O477" s="222"/>
      <c r="P477" s="215"/>
      <c r="Q477" s="215"/>
      <c r="R477" s="215"/>
      <c r="S477" s="215"/>
      <c r="T477" s="215"/>
      <c r="U477" s="215"/>
    </row>
    <row r="478" spans="9:21" ht="12.75">
      <c r="I478" s="222"/>
      <c r="J478" s="222"/>
      <c r="K478" s="222"/>
      <c r="L478" s="222"/>
      <c r="M478" s="222"/>
      <c r="N478" s="222"/>
      <c r="O478" s="222"/>
      <c r="P478" s="215"/>
      <c r="Q478" s="215"/>
      <c r="R478" s="215"/>
      <c r="S478" s="215"/>
      <c r="T478" s="215"/>
      <c r="U478" s="215"/>
    </row>
    <row r="479" spans="9:21" ht="12.75">
      <c r="I479" s="222"/>
      <c r="J479" s="222"/>
      <c r="K479" s="222"/>
      <c r="L479" s="222"/>
      <c r="M479" s="222"/>
      <c r="N479" s="222"/>
      <c r="O479" s="222"/>
      <c r="P479" s="215"/>
      <c r="Q479" s="215"/>
      <c r="R479" s="215"/>
      <c r="S479" s="215"/>
      <c r="T479" s="215"/>
      <c r="U479" s="215"/>
    </row>
    <row r="480" spans="9:21" ht="12.75">
      <c r="I480" s="222"/>
      <c r="J480" s="222"/>
      <c r="K480" s="222"/>
      <c r="L480" s="222"/>
      <c r="M480" s="222"/>
      <c r="N480" s="222"/>
      <c r="O480" s="222"/>
      <c r="P480" s="215"/>
      <c r="Q480" s="215"/>
      <c r="R480" s="215"/>
      <c r="S480" s="215"/>
      <c r="T480" s="215"/>
      <c r="U480" s="215"/>
    </row>
    <row r="481" spans="9:21" ht="12.75">
      <c r="I481" s="222"/>
      <c r="J481" s="222"/>
      <c r="K481" s="222"/>
      <c r="L481" s="222"/>
      <c r="M481" s="222"/>
      <c r="N481" s="222"/>
      <c r="O481" s="222"/>
      <c r="P481" s="215"/>
      <c r="Q481" s="215"/>
      <c r="R481" s="215"/>
      <c r="S481" s="215"/>
      <c r="T481" s="215"/>
      <c r="U481" s="215"/>
    </row>
    <row r="482" spans="9:21" ht="12.75">
      <c r="I482" s="222"/>
      <c r="J482" s="222"/>
      <c r="K482" s="222"/>
      <c r="L482" s="222"/>
      <c r="M482" s="222"/>
      <c r="N482" s="222"/>
      <c r="O482" s="222"/>
      <c r="P482" s="215"/>
      <c r="Q482" s="215"/>
      <c r="R482" s="215"/>
      <c r="S482" s="215"/>
      <c r="T482" s="215"/>
      <c r="U482" s="215"/>
    </row>
    <row r="483" spans="9:21" ht="12.75">
      <c r="I483" s="222"/>
      <c r="J483" s="222"/>
      <c r="K483" s="222"/>
      <c r="L483" s="222"/>
      <c r="M483" s="222"/>
      <c r="N483" s="222"/>
      <c r="O483" s="222"/>
      <c r="P483" s="215"/>
      <c r="Q483" s="215"/>
      <c r="R483" s="215"/>
      <c r="S483" s="215"/>
      <c r="T483" s="215"/>
      <c r="U483" s="215"/>
    </row>
    <row r="484" spans="9:21" ht="12.75">
      <c r="I484" s="222"/>
      <c r="J484" s="222"/>
      <c r="K484" s="222"/>
      <c r="L484" s="222"/>
      <c r="M484" s="222"/>
      <c r="N484" s="222"/>
      <c r="O484" s="222"/>
      <c r="P484" s="215"/>
      <c r="Q484" s="215"/>
      <c r="R484" s="215"/>
      <c r="S484" s="215"/>
      <c r="T484" s="215"/>
      <c r="U484" s="215"/>
    </row>
    <row r="485" spans="9:21" ht="12.75">
      <c r="I485" s="209"/>
      <c r="J485" s="209"/>
      <c r="K485" s="209"/>
      <c r="L485" s="209"/>
      <c r="M485" s="209"/>
      <c r="N485" s="209"/>
      <c r="O485" s="209"/>
      <c r="P485" s="215"/>
      <c r="Q485" s="215"/>
      <c r="R485" s="215"/>
      <c r="S485" s="215"/>
      <c r="T485" s="215"/>
      <c r="U485" s="215"/>
    </row>
    <row r="486" spans="9:21" ht="12.75">
      <c r="I486" s="209"/>
      <c r="J486" s="209"/>
      <c r="K486" s="209"/>
      <c r="L486" s="209"/>
      <c r="M486" s="209"/>
      <c r="N486" s="209"/>
      <c r="O486" s="209"/>
      <c r="P486" s="215"/>
      <c r="Q486" s="215"/>
      <c r="R486" s="215"/>
      <c r="S486" s="215"/>
      <c r="T486" s="215"/>
      <c r="U486" s="215"/>
    </row>
    <row r="487" spans="9:21" ht="12.75">
      <c r="I487" s="222"/>
      <c r="J487" s="222"/>
      <c r="K487" s="222"/>
      <c r="L487" s="222"/>
      <c r="M487" s="222"/>
      <c r="N487" s="222"/>
      <c r="O487" s="222"/>
      <c r="P487" s="215"/>
      <c r="Q487" s="215"/>
      <c r="R487" s="215"/>
      <c r="S487" s="215"/>
      <c r="T487" s="215"/>
      <c r="U487" s="215"/>
    </row>
    <row r="488" spans="9:21" ht="12.75">
      <c r="I488" s="222"/>
      <c r="J488" s="222"/>
      <c r="K488" s="222"/>
      <c r="L488" s="222"/>
      <c r="M488" s="222"/>
      <c r="N488" s="222"/>
      <c r="O488" s="222"/>
      <c r="P488" s="215"/>
      <c r="Q488" s="215"/>
      <c r="R488" s="215"/>
      <c r="S488" s="215"/>
      <c r="T488" s="215"/>
      <c r="U488" s="215"/>
    </row>
    <row r="489" spans="9:21" ht="12.75">
      <c r="I489" s="222"/>
      <c r="J489" s="222"/>
      <c r="K489" s="222"/>
      <c r="L489" s="222"/>
      <c r="M489" s="222"/>
      <c r="N489" s="222"/>
      <c r="O489" s="222"/>
      <c r="P489" s="215"/>
      <c r="Q489" s="215"/>
      <c r="R489" s="215"/>
      <c r="S489" s="215"/>
      <c r="T489" s="215"/>
      <c r="U489" s="215"/>
    </row>
    <row r="490" spans="9:21" ht="12.75">
      <c r="I490" s="222"/>
      <c r="J490" s="222"/>
      <c r="K490" s="222"/>
      <c r="L490" s="222"/>
      <c r="M490" s="222"/>
      <c r="N490" s="222"/>
      <c r="O490" s="222"/>
      <c r="P490" s="215"/>
      <c r="Q490" s="215"/>
      <c r="R490" s="215"/>
      <c r="S490" s="215"/>
      <c r="T490" s="215"/>
      <c r="U490" s="215"/>
    </row>
    <row r="491" spans="9:21" ht="12.75">
      <c r="I491" s="222"/>
      <c r="J491" s="222"/>
      <c r="K491" s="222"/>
      <c r="L491" s="222"/>
      <c r="M491" s="222"/>
      <c r="N491" s="222"/>
      <c r="O491" s="222"/>
      <c r="P491" s="215"/>
      <c r="Q491" s="215"/>
      <c r="R491" s="215"/>
      <c r="S491" s="215"/>
      <c r="T491" s="215"/>
      <c r="U491" s="215"/>
    </row>
    <row r="492" spans="9:21" ht="12.75">
      <c r="I492" s="222"/>
      <c r="J492" s="222"/>
      <c r="K492" s="222"/>
      <c r="L492" s="222"/>
      <c r="M492" s="222"/>
      <c r="N492" s="222"/>
      <c r="O492" s="222"/>
      <c r="P492" s="215"/>
      <c r="Q492" s="215"/>
      <c r="R492" s="215"/>
      <c r="S492" s="215"/>
      <c r="T492" s="215"/>
      <c r="U492" s="215"/>
    </row>
    <row r="493" spans="9:21" ht="12.75">
      <c r="I493" s="222"/>
      <c r="J493" s="222"/>
      <c r="K493" s="222"/>
      <c r="L493" s="222"/>
      <c r="M493" s="222"/>
      <c r="N493" s="222"/>
      <c r="O493" s="222"/>
      <c r="P493" s="215"/>
      <c r="Q493" s="215"/>
      <c r="R493" s="215"/>
      <c r="S493" s="215"/>
      <c r="T493" s="215"/>
      <c r="U493" s="215"/>
    </row>
    <row r="494" spans="9:21" ht="12.75">
      <c r="I494" s="222"/>
      <c r="J494" s="222"/>
      <c r="K494" s="222"/>
      <c r="L494" s="222"/>
      <c r="M494" s="222"/>
      <c r="N494" s="222"/>
      <c r="O494" s="222"/>
      <c r="P494" s="215"/>
      <c r="Q494" s="215"/>
      <c r="R494" s="215"/>
      <c r="S494" s="215"/>
      <c r="T494" s="215"/>
      <c r="U494" s="215"/>
    </row>
    <row r="495" spans="9:21" ht="12.75">
      <c r="I495" s="209"/>
      <c r="J495" s="209"/>
      <c r="K495" s="209"/>
      <c r="L495" s="209"/>
      <c r="M495" s="209"/>
      <c r="N495" s="209"/>
      <c r="O495" s="209"/>
      <c r="P495" s="215"/>
      <c r="Q495" s="215"/>
      <c r="R495" s="215"/>
      <c r="S495" s="215"/>
      <c r="T495" s="215"/>
      <c r="U495" s="215"/>
    </row>
    <row r="496" spans="9:21" ht="12.75">
      <c r="I496" s="209"/>
      <c r="J496" s="209"/>
      <c r="K496" s="209"/>
      <c r="L496" s="209"/>
      <c r="M496" s="209"/>
      <c r="N496" s="209"/>
      <c r="O496" s="209"/>
      <c r="P496" s="215"/>
      <c r="Q496" s="215"/>
      <c r="R496" s="215"/>
      <c r="S496" s="215"/>
      <c r="T496" s="215"/>
      <c r="U496" s="215"/>
    </row>
    <row r="497" spans="9:21" ht="12.75">
      <c r="I497" s="222"/>
      <c r="J497" s="222"/>
      <c r="K497" s="222"/>
      <c r="L497" s="222"/>
      <c r="M497" s="222"/>
      <c r="N497" s="222"/>
      <c r="O497" s="222"/>
      <c r="P497" s="215"/>
      <c r="Q497" s="215"/>
      <c r="R497" s="215"/>
      <c r="S497" s="215"/>
      <c r="T497" s="215"/>
      <c r="U497" s="215"/>
    </row>
    <row r="498" spans="9:21" ht="12.75">
      <c r="I498" s="222"/>
      <c r="J498" s="222"/>
      <c r="K498" s="222"/>
      <c r="L498" s="222"/>
      <c r="M498" s="222"/>
      <c r="N498" s="222"/>
      <c r="O498" s="222"/>
      <c r="P498" s="215"/>
      <c r="Q498" s="215"/>
      <c r="R498" s="215"/>
      <c r="S498" s="215"/>
      <c r="T498" s="215"/>
      <c r="U498" s="215"/>
    </row>
    <row r="499" spans="9:21" ht="12.75">
      <c r="I499" s="222"/>
      <c r="J499" s="222"/>
      <c r="K499" s="222"/>
      <c r="L499" s="222"/>
      <c r="M499" s="222"/>
      <c r="N499" s="222"/>
      <c r="O499" s="222"/>
      <c r="P499" s="215"/>
      <c r="Q499" s="215"/>
      <c r="R499" s="215"/>
      <c r="S499" s="215"/>
      <c r="T499" s="215"/>
      <c r="U499" s="215"/>
    </row>
    <row r="500" spans="9:21" ht="12.75">
      <c r="I500" s="222"/>
      <c r="J500" s="222"/>
      <c r="K500" s="222"/>
      <c r="L500" s="222"/>
      <c r="M500" s="222"/>
      <c r="N500" s="222"/>
      <c r="O500" s="222"/>
      <c r="P500" s="215"/>
      <c r="Q500" s="215"/>
      <c r="R500" s="215"/>
      <c r="S500" s="215"/>
      <c r="T500" s="215"/>
      <c r="U500" s="215"/>
    </row>
    <row r="501" spans="9:21" ht="12.75">
      <c r="I501" s="222"/>
      <c r="J501" s="222"/>
      <c r="K501" s="222"/>
      <c r="L501" s="222"/>
      <c r="M501" s="222"/>
      <c r="N501" s="222"/>
      <c r="O501" s="222"/>
      <c r="P501" s="215"/>
      <c r="Q501" s="215"/>
      <c r="R501" s="215"/>
      <c r="S501" s="215"/>
      <c r="T501" s="215"/>
      <c r="U501" s="215"/>
    </row>
    <row r="502" spans="9:21" ht="12.75">
      <c r="I502" s="222"/>
      <c r="J502" s="222"/>
      <c r="K502" s="222"/>
      <c r="L502" s="222"/>
      <c r="M502" s="222"/>
      <c r="N502" s="222"/>
      <c r="O502" s="222"/>
      <c r="P502" s="215"/>
      <c r="Q502" s="215"/>
      <c r="R502" s="215"/>
      <c r="S502" s="215"/>
      <c r="T502" s="215"/>
      <c r="U502" s="215"/>
    </row>
    <row r="503" spans="9:21" ht="12.75">
      <c r="I503" s="222"/>
      <c r="J503" s="222"/>
      <c r="K503" s="222"/>
      <c r="L503" s="222"/>
      <c r="M503" s="222"/>
      <c r="N503" s="222"/>
      <c r="O503" s="222"/>
      <c r="P503" s="215"/>
      <c r="Q503" s="215"/>
      <c r="R503" s="215"/>
      <c r="S503" s="215"/>
      <c r="T503" s="215"/>
      <c r="U503" s="215"/>
    </row>
    <row r="504" spans="9:21" ht="12.75">
      <c r="I504" s="222"/>
      <c r="J504" s="222"/>
      <c r="K504" s="222"/>
      <c r="L504" s="222"/>
      <c r="M504" s="222"/>
      <c r="N504" s="222"/>
      <c r="O504" s="222"/>
      <c r="P504" s="215"/>
      <c r="Q504" s="215"/>
      <c r="R504" s="215"/>
      <c r="S504" s="215"/>
      <c r="T504" s="215"/>
      <c r="U504" s="215"/>
    </row>
    <row r="505" spans="9:21" ht="12.75">
      <c r="I505" s="209"/>
      <c r="J505" s="209"/>
      <c r="K505" s="209"/>
      <c r="L505" s="209"/>
      <c r="M505" s="209"/>
      <c r="N505" s="209"/>
      <c r="O505" s="209"/>
      <c r="P505" s="215"/>
      <c r="Q505" s="215"/>
      <c r="R505" s="215"/>
      <c r="S505" s="215"/>
      <c r="T505" s="215"/>
      <c r="U505" s="215"/>
    </row>
    <row r="506" spans="9:21" ht="12.75">
      <c r="I506" s="209"/>
      <c r="J506" s="209"/>
      <c r="K506" s="209"/>
      <c r="L506" s="209"/>
      <c r="M506" s="209"/>
      <c r="N506" s="209"/>
      <c r="O506" s="209"/>
      <c r="P506" s="215"/>
      <c r="Q506" s="215"/>
      <c r="R506" s="215"/>
      <c r="S506" s="215"/>
      <c r="T506" s="215"/>
      <c r="U506" s="215"/>
    </row>
    <row r="507" spans="9:21" ht="12.75">
      <c r="I507" s="222"/>
      <c r="J507" s="222"/>
      <c r="K507" s="222"/>
      <c r="L507" s="222"/>
      <c r="M507" s="222"/>
      <c r="N507" s="222"/>
      <c r="O507" s="222"/>
      <c r="P507" s="215"/>
      <c r="Q507" s="215"/>
      <c r="R507" s="215"/>
      <c r="S507" s="215"/>
      <c r="T507" s="215"/>
      <c r="U507" s="215"/>
    </row>
    <row r="508" spans="9:21" ht="12.75">
      <c r="I508" s="222"/>
      <c r="J508" s="222"/>
      <c r="K508" s="222"/>
      <c r="L508" s="222"/>
      <c r="M508" s="222"/>
      <c r="N508" s="222"/>
      <c r="O508" s="222"/>
      <c r="P508" s="215"/>
      <c r="Q508" s="215"/>
      <c r="R508" s="215"/>
      <c r="S508" s="215"/>
      <c r="T508" s="215"/>
      <c r="U508" s="215"/>
    </row>
    <row r="509" spans="9:21" ht="12.75">
      <c r="I509" s="222"/>
      <c r="J509" s="222"/>
      <c r="K509" s="222"/>
      <c r="L509" s="222"/>
      <c r="M509" s="222"/>
      <c r="N509" s="222"/>
      <c r="O509" s="222"/>
      <c r="P509" s="215"/>
      <c r="Q509" s="215"/>
      <c r="R509" s="215"/>
      <c r="S509" s="215"/>
      <c r="T509" s="215"/>
      <c r="U509" s="215"/>
    </row>
    <row r="510" spans="9:21" ht="12.75">
      <c r="I510" s="222"/>
      <c r="J510" s="222"/>
      <c r="K510" s="222"/>
      <c r="L510" s="222"/>
      <c r="M510" s="222"/>
      <c r="N510" s="222"/>
      <c r="O510" s="222"/>
      <c r="P510" s="215"/>
      <c r="Q510" s="215"/>
      <c r="R510" s="215"/>
      <c r="S510" s="215"/>
      <c r="T510" s="215"/>
      <c r="U510" s="215"/>
    </row>
    <row r="511" spans="9:21" ht="12.75">
      <c r="I511" s="222"/>
      <c r="J511" s="222"/>
      <c r="K511" s="222"/>
      <c r="L511" s="222"/>
      <c r="M511" s="222"/>
      <c r="N511" s="222"/>
      <c r="O511" s="222"/>
      <c r="P511" s="215"/>
      <c r="Q511" s="215"/>
      <c r="R511" s="215"/>
      <c r="S511" s="215"/>
      <c r="T511" s="215"/>
      <c r="U511" s="215"/>
    </row>
    <row r="512" spans="9:21" ht="12.75">
      <c r="I512" s="222"/>
      <c r="J512" s="222"/>
      <c r="K512" s="222"/>
      <c r="L512" s="222"/>
      <c r="M512" s="222"/>
      <c r="N512" s="222"/>
      <c r="O512" s="222"/>
      <c r="P512" s="215"/>
      <c r="Q512" s="215"/>
      <c r="R512" s="215"/>
      <c r="S512" s="215"/>
      <c r="T512" s="215"/>
      <c r="U512" s="215"/>
    </row>
    <row r="513" spans="9:21" ht="12.75">
      <c r="I513" s="222"/>
      <c r="J513" s="222"/>
      <c r="K513" s="222"/>
      <c r="L513" s="222"/>
      <c r="M513" s="222"/>
      <c r="N513" s="222"/>
      <c r="O513" s="222"/>
      <c r="P513" s="215"/>
      <c r="Q513" s="215"/>
      <c r="R513" s="215"/>
      <c r="S513" s="215"/>
      <c r="T513" s="215"/>
      <c r="U513" s="215"/>
    </row>
    <row r="514" spans="9:21" ht="12.75">
      <c r="I514" s="222"/>
      <c r="J514" s="222"/>
      <c r="K514" s="222"/>
      <c r="L514" s="222"/>
      <c r="M514" s="222"/>
      <c r="N514" s="222"/>
      <c r="O514" s="222"/>
      <c r="P514" s="215"/>
      <c r="Q514" s="215"/>
      <c r="R514" s="215"/>
      <c r="S514" s="215"/>
      <c r="T514" s="215"/>
      <c r="U514" s="215"/>
    </row>
    <row r="515" spans="9:21" ht="12.75">
      <c r="I515" s="209"/>
      <c r="J515" s="209"/>
      <c r="K515" s="209"/>
      <c r="L515" s="209"/>
      <c r="M515" s="209"/>
      <c r="N515" s="209"/>
      <c r="O515" s="209"/>
      <c r="P515" s="215"/>
      <c r="Q515" s="215"/>
      <c r="R515" s="215"/>
      <c r="S515" s="215"/>
      <c r="T515" s="215"/>
      <c r="U515" s="215"/>
    </row>
    <row r="516" spans="9:21" ht="12.75">
      <c r="I516" s="209"/>
      <c r="J516" s="209"/>
      <c r="K516" s="209"/>
      <c r="L516" s="209"/>
      <c r="M516" s="209"/>
      <c r="N516" s="209"/>
      <c r="O516" s="209"/>
      <c r="P516" s="215"/>
      <c r="Q516" s="215"/>
      <c r="R516" s="215"/>
      <c r="S516" s="215"/>
      <c r="T516" s="215"/>
      <c r="U516" s="215"/>
    </row>
    <row r="517" spans="9:21" ht="12.75">
      <c r="I517" s="222"/>
      <c r="J517" s="222"/>
      <c r="K517" s="222"/>
      <c r="L517" s="222"/>
      <c r="M517" s="222"/>
      <c r="N517" s="222"/>
      <c r="O517" s="222"/>
      <c r="P517" s="215"/>
      <c r="Q517" s="215"/>
      <c r="R517" s="215"/>
      <c r="S517" s="215"/>
      <c r="T517" s="215"/>
      <c r="U517" s="215"/>
    </row>
    <row r="518" spans="9:21" ht="12.75">
      <c r="I518" s="222"/>
      <c r="J518" s="222"/>
      <c r="K518" s="222"/>
      <c r="L518" s="222"/>
      <c r="M518" s="222"/>
      <c r="N518" s="222"/>
      <c r="O518" s="222"/>
      <c r="P518" s="215"/>
      <c r="Q518" s="215"/>
      <c r="R518" s="215"/>
      <c r="S518" s="215"/>
      <c r="T518" s="215"/>
      <c r="U518" s="215"/>
    </row>
    <row r="519" spans="9:21" ht="12.75">
      <c r="I519" s="222"/>
      <c r="J519" s="222"/>
      <c r="K519" s="222"/>
      <c r="L519" s="222"/>
      <c r="M519" s="222"/>
      <c r="N519" s="222"/>
      <c r="O519" s="222"/>
      <c r="P519" s="215"/>
      <c r="Q519" s="215"/>
      <c r="R519" s="215"/>
      <c r="S519" s="215"/>
      <c r="T519" s="215"/>
      <c r="U519" s="215"/>
    </row>
    <row r="520" spans="9:21" ht="12.75">
      <c r="I520" s="222"/>
      <c r="J520" s="222"/>
      <c r="K520" s="222"/>
      <c r="L520" s="222"/>
      <c r="M520" s="222"/>
      <c r="N520" s="222"/>
      <c r="O520" s="222"/>
      <c r="P520" s="215"/>
      <c r="Q520" s="215"/>
      <c r="R520" s="215"/>
      <c r="S520" s="215"/>
      <c r="T520" s="215"/>
      <c r="U520" s="215"/>
    </row>
    <row r="521" spans="9:21" ht="12.75">
      <c r="I521" s="222"/>
      <c r="J521" s="222"/>
      <c r="K521" s="222"/>
      <c r="L521" s="222"/>
      <c r="M521" s="222"/>
      <c r="N521" s="222"/>
      <c r="O521" s="222"/>
      <c r="P521" s="215"/>
      <c r="Q521" s="215"/>
      <c r="R521" s="215"/>
      <c r="S521" s="215"/>
      <c r="T521" s="215"/>
      <c r="U521" s="215"/>
    </row>
    <row r="522" spans="9:21" ht="12.75">
      <c r="I522" s="222"/>
      <c r="J522" s="222"/>
      <c r="K522" s="222"/>
      <c r="L522" s="222"/>
      <c r="M522" s="222"/>
      <c r="N522" s="222"/>
      <c r="O522" s="222"/>
      <c r="P522" s="215"/>
      <c r="Q522" s="215"/>
      <c r="R522" s="215"/>
      <c r="S522" s="215"/>
      <c r="T522" s="215"/>
      <c r="U522" s="215"/>
    </row>
    <row r="523" spans="9:21" ht="12.75">
      <c r="I523" s="222"/>
      <c r="J523" s="222"/>
      <c r="K523" s="222"/>
      <c r="L523" s="222"/>
      <c r="M523" s="222"/>
      <c r="N523" s="222"/>
      <c r="O523" s="222"/>
      <c r="P523" s="215"/>
      <c r="Q523" s="215"/>
      <c r="R523" s="215"/>
      <c r="S523" s="215"/>
      <c r="T523" s="215"/>
      <c r="U523" s="215"/>
    </row>
    <row r="524" spans="9:21" ht="12.75">
      <c r="I524" s="222"/>
      <c r="J524" s="222"/>
      <c r="K524" s="222"/>
      <c r="L524" s="222"/>
      <c r="M524" s="222"/>
      <c r="N524" s="222"/>
      <c r="O524" s="222"/>
      <c r="P524" s="215"/>
      <c r="Q524" s="215"/>
      <c r="R524" s="215"/>
      <c r="S524" s="215"/>
      <c r="T524" s="215"/>
      <c r="U524" s="215"/>
    </row>
    <row r="525" spans="9:21" ht="12.75">
      <c r="I525" s="209"/>
      <c r="J525" s="209"/>
      <c r="K525" s="209"/>
      <c r="L525" s="209"/>
      <c r="M525" s="209"/>
      <c r="N525" s="209"/>
      <c r="O525" s="209"/>
      <c r="P525" s="215"/>
      <c r="Q525" s="215"/>
      <c r="R525" s="215"/>
      <c r="S525" s="215"/>
      <c r="T525" s="215"/>
      <c r="U525" s="215"/>
    </row>
    <row r="526" spans="9:21" ht="12.75">
      <c r="I526" s="209"/>
      <c r="J526" s="209"/>
      <c r="K526" s="209"/>
      <c r="L526" s="209"/>
      <c r="M526" s="209"/>
      <c r="N526" s="209"/>
      <c r="O526" s="209"/>
      <c r="P526" s="215"/>
      <c r="Q526" s="215"/>
      <c r="R526" s="215"/>
      <c r="S526" s="215"/>
      <c r="T526" s="215"/>
      <c r="U526" s="215"/>
    </row>
    <row r="527" spans="9:21" ht="12.75">
      <c r="I527" s="222"/>
      <c r="J527" s="222"/>
      <c r="K527" s="222"/>
      <c r="L527" s="222"/>
      <c r="M527" s="222"/>
      <c r="N527" s="222"/>
      <c r="O527" s="222"/>
      <c r="P527" s="215"/>
      <c r="Q527" s="215"/>
      <c r="R527" s="215"/>
      <c r="S527" s="215"/>
      <c r="T527" s="215"/>
      <c r="U527" s="215"/>
    </row>
    <row r="528" spans="9:21" ht="12.75">
      <c r="I528" s="222"/>
      <c r="J528" s="222"/>
      <c r="K528" s="222"/>
      <c r="L528" s="222"/>
      <c r="M528" s="222"/>
      <c r="N528" s="222"/>
      <c r="O528" s="222"/>
      <c r="P528" s="215"/>
      <c r="Q528" s="215"/>
      <c r="R528" s="215"/>
      <c r="S528" s="215"/>
      <c r="T528" s="215"/>
      <c r="U528" s="215"/>
    </row>
    <row r="529" spans="9:21" ht="12.75">
      <c r="I529" s="222"/>
      <c r="J529" s="222"/>
      <c r="K529" s="222"/>
      <c r="L529" s="222"/>
      <c r="M529" s="222"/>
      <c r="N529" s="222"/>
      <c r="O529" s="222"/>
      <c r="P529" s="215"/>
      <c r="Q529" s="215"/>
      <c r="R529" s="215"/>
      <c r="S529" s="215"/>
      <c r="T529" s="215"/>
      <c r="U529" s="215"/>
    </row>
    <row r="530" spans="9:21" ht="12.75">
      <c r="I530" s="222"/>
      <c r="J530" s="222"/>
      <c r="K530" s="222"/>
      <c r="L530" s="222"/>
      <c r="M530" s="222"/>
      <c r="N530" s="222"/>
      <c r="O530" s="222"/>
      <c r="P530" s="215"/>
      <c r="Q530" s="215"/>
      <c r="R530" s="215"/>
      <c r="S530" s="215"/>
      <c r="T530" s="215"/>
      <c r="U530" s="215"/>
    </row>
    <row r="531" spans="9:21" ht="12.75">
      <c r="I531" s="222"/>
      <c r="J531" s="222"/>
      <c r="K531" s="222"/>
      <c r="L531" s="222"/>
      <c r="M531" s="222"/>
      <c r="N531" s="222"/>
      <c r="O531" s="222"/>
      <c r="P531" s="215"/>
      <c r="Q531" s="215"/>
      <c r="R531" s="215"/>
      <c r="S531" s="215"/>
      <c r="T531" s="215"/>
      <c r="U531" s="215"/>
    </row>
    <row r="532" spans="9:21" ht="12.75">
      <c r="I532" s="222"/>
      <c r="J532" s="222"/>
      <c r="K532" s="222"/>
      <c r="L532" s="222"/>
      <c r="M532" s="222"/>
      <c r="N532" s="222"/>
      <c r="O532" s="222"/>
      <c r="P532" s="215"/>
      <c r="Q532" s="215"/>
      <c r="R532" s="215"/>
      <c r="S532" s="215"/>
      <c r="T532" s="215"/>
      <c r="U532" s="215"/>
    </row>
    <row r="533" spans="9:21" ht="12.75">
      <c r="I533" s="222"/>
      <c r="J533" s="222"/>
      <c r="K533" s="222"/>
      <c r="L533" s="222"/>
      <c r="M533" s="222"/>
      <c r="N533" s="222"/>
      <c r="O533" s="222"/>
      <c r="P533" s="215"/>
      <c r="Q533" s="215"/>
      <c r="R533" s="215"/>
      <c r="S533" s="215"/>
      <c r="T533" s="215"/>
      <c r="U533" s="215"/>
    </row>
    <row r="534" spans="9:21" ht="12.75">
      <c r="I534" s="222"/>
      <c r="J534" s="222"/>
      <c r="K534" s="222"/>
      <c r="L534" s="222"/>
      <c r="M534" s="222"/>
      <c r="N534" s="222"/>
      <c r="O534" s="222"/>
      <c r="P534" s="215"/>
      <c r="Q534" s="215"/>
      <c r="R534" s="215"/>
      <c r="S534" s="215"/>
      <c r="T534" s="215"/>
      <c r="U534" s="215"/>
    </row>
    <row r="535" spans="9:21" ht="12.75">
      <c r="I535" s="209"/>
      <c r="J535" s="209"/>
      <c r="K535" s="209"/>
      <c r="L535" s="209"/>
      <c r="M535" s="209"/>
      <c r="N535" s="209"/>
      <c r="O535" s="209"/>
      <c r="P535" s="215"/>
      <c r="Q535" s="215"/>
      <c r="R535" s="215"/>
      <c r="S535" s="215"/>
      <c r="T535" s="215"/>
      <c r="U535" s="215"/>
    </row>
    <row r="536" spans="9:21" ht="12.75">
      <c r="I536" s="209"/>
      <c r="J536" s="209"/>
      <c r="K536" s="209"/>
      <c r="L536" s="209"/>
      <c r="M536" s="209"/>
      <c r="N536" s="209"/>
      <c r="O536" s="209"/>
      <c r="P536" s="215"/>
      <c r="Q536" s="215"/>
      <c r="R536" s="215"/>
      <c r="S536" s="215"/>
      <c r="T536" s="215"/>
      <c r="U536" s="215"/>
    </row>
    <row r="537" spans="9:21" ht="12.75">
      <c r="I537" s="222"/>
      <c r="J537" s="222"/>
      <c r="K537" s="222"/>
      <c r="L537" s="222"/>
      <c r="M537" s="222"/>
      <c r="N537" s="222"/>
      <c r="O537" s="222"/>
      <c r="P537" s="215"/>
      <c r="Q537" s="215"/>
      <c r="R537" s="215"/>
      <c r="S537" s="215"/>
      <c r="T537" s="215"/>
      <c r="U537" s="215"/>
    </row>
    <row r="538" spans="9:21" ht="12.75">
      <c r="I538" s="222"/>
      <c r="J538" s="222"/>
      <c r="K538" s="222"/>
      <c r="L538" s="222"/>
      <c r="M538" s="222"/>
      <c r="N538" s="222"/>
      <c r="O538" s="222"/>
      <c r="P538" s="215"/>
      <c r="Q538" s="215"/>
      <c r="R538" s="215"/>
      <c r="S538" s="215"/>
      <c r="T538" s="215"/>
      <c r="U538" s="215"/>
    </row>
    <row r="539" spans="9:21" ht="12.75">
      <c r="I539" s="222"/>
      <c r="J539" s="222"/>
      <c r="K539" s="222"/>
      <c r="L539" s="222"/>
      <c r="M539" s="222"/>
      <c r="N539" s="222"/>
      <c r="O539" s="222"/>
      <c r="P539" s="215"/>
      <c r="Q539" s="215"/>
      <c r="R539" s="215"/>
      <c r="S539" s="215"/>
      <c r="T539" s="215"/>
      <c r="U539" s="215"/>
    </row>
    <row r="540" spans="9:21" ht="12.75">
      <c r="I540" s="222"/>
      <c r="J540" s="222"/>
      <c r="K540" s="222"/>
      <c r="L540" s="222"/>
      <c r="M540" s="222"/>
      <c r="N540" s="222"/>
      <c r="O540" s="222"/>
      <c r="P540" s="215"/>
      <c r="Q540" s="215"/>
      <c r="R540" s="215"/>
      <c r="S540" s="215"/>
      <c r="T540" s="215"/>
      <c r="U540" s="215"/>
    </row>
    <row r="541" spans="9:21" ht="12.75">
      <c r="I541" s="222"/>
      <c r="J541" s="222"/>
      <c r="K541" s="222"/>
      <c r="L541" s="222"/>
      <c r="M541" s="222"/>
      <c r="N541" s="222"/>
      <c r="O541" s="222"/>
      <c r="P541" s="215"/>
      <c r="Q541" s="215"/>
      <c r="R541" s="215"/>
      <c r="S541" s="215"/>
      <c r="T541" s="215"/>
      <c r="U541" s="215"/>
    </row>
    <row r="542" spans="9:21" ht="12.75">
      <c r="I542" s="222"/>
      <c r="J542" s="222"/>
      <c r="K542" s="222"/>
      <c r="L542" s="222"/>
      <c r="M542" s="222"/>
      <c r="N542" s="222"/>
      <c r="O542" s="222"/>
      <c r="P542" s="215"/>
      <c r="Q542" s="215"/>
      <c r="R542" s="215"/>
      <c r="S542" s="215"/>
      <c r="T542" s="215"/>
      <c r="U542" s="215"/>
    </row>
    <row r="543" spans="9:21" ht="12.75">
      <c r="I543" s="222"/>
      <c r="J543" s="222"/>
      <c r="K543" s="222"/>
      <c r="L543" s="222"/>
      <c r="M543" s="222"/>
      <c r="N543" s="222"/>
      <c r="O543" s="222"/>
      <c r="P543" s="215"/>
      <c r="Q543" s="215"/>
      <c r="R543" s="215"/>
      <c r="S543" s="215"/>
      <c r="T543" s="215"/>
      <c r="U543" s="215"/>
    </row>
    <row r="544" spans="9:21" ht="12.75">
      <c r="I544" s="222"/>
      <c r="J544" s="222"/>
      <c r="K544" s="222"/>
      <c r="L544" s="222"/>
      <c r="M544" s="222"/>
      <c r="N544" s="222"/>
      <c r="O544" s="222"/>
      <c r="P544" s="215"/>
      <c r="Q544" s="215"/>
      <c r="R544" s="215"/>
      <c r="S544" s="215"/>
      <c r="T544" s="215"/>
      <c r="U544" s="215"/>
    </row>
    <row r="545" spans="9:21" ht="12.75">
      <c r="I545" s="209"/>
      <c r="J545" s="209"/>
      <c r="K545" s="209"/>
      <c r="L545" s="209"/>
      <c r="M545" s="209"/>
      <c r="N545" s="209"/>
      <c r="O545" s="209"/>
      <c r="P545" s="215"/>
      <c r="Q545" s="215"/>
      <c r="R545" s="215"/>
      <c r="S545" s="215"/>
      <c r="T545" s="215"/>
      <c r="U545" s="215"/>
    </row>
    <row r="546" spans="9:21" ht="12.75">
      <c r="I546" s="209"/>
      <c r="J546" s="209"/>
      <c r="K546" s="209"/>
      <c r="L546" s="209"/>
      <c r="M546" s="209"/>
      <c r="N546" s="209"/>
      <c r="O546" s="209"/>
      <c r="P546" s="215"/>
      <c r="Q546" s="215"/>
      <c r="R546" s="215"/>
      <c r="S546" s="215"/>
      <c r="T546" s="215"/>
      <c r="U546" s="215"/>
    </row>
    <row r="547" spans="9:21" ht="12.75">
      <c r="I547" s="222"/>
      <c r="J547" s="222"/>
      <c r="K547" s="222"/>
      <c r="L547" s="222"/>
      <c r="M547" s="222"/>
      <c r="N547" s="222"/>
      <c r="O547" s="222"/>
      <c r="P547" s="215"/>
      <c r="Q547" s="215"/>
      <c r="R547" s="215"/>
      <c r="S547" s="215"/>
      <c r="T547" s="215"/>
      <c r="U547" s="215"/>
    </row>
    <row r="548" spans="9:21" ht="12.75">
      <c r="I548" s="222"/>
      <c r="J548" s="222"/>
      <c r="K548" s="222"/>
      <c r="L548" s="222"/>
      <c r="M548" s="222"/>
      <c r="N548" s="222"/>
      <c r="O548" s="222"/>
      <c r="P548" s="215"/>
      <c r="Q548" s="215"/>
      <c r="R548" s="215"/>
      <c r="S548" s="215"/>
      <c r="T548" s="215"/>
      <c r="U548" s="215"/>
    </row>
    <row r="549" spans="9:21" ht="12.75">
      <c r="I549" s="222"/>
      <c r="J549" s="222"/>
      <c r="K549" s="222"/>
      <c r="L549" s="222"/>
      <c r="M549" s="222"/>
      <c r="N549" s="222"/>
      <c r="O549" s="222"/>
      <c r="P549" s="215"/>
      <c r="Q549" s="215"/>
      <c r="R549" s="215"/>
      <c r="S549" s="215"/>
      <c r="T549" s="215"/>
      <c r="U549" s="215"/>
    </row>
    <row r="550" spans="9:21" ht="12.75">
      <c r="I550" s="222"/>
      <c r="J550" s="222"/>
      <c r="K550" s="222"/>
      <c r="L550" s="222"/>
      <c r="M550" s="222"/>
      <c r="N550" s="222"/>
      <c r="O550" s="222"/>
      <c r="P550" s="215"/>
      <c r="Q550" s="215"/>
      <c r="R550" s="215"/>
      <c r="S550" s="215"/>
      <c r="T550" s="215"/>
      <c r="U550" s="215"/>
    </row>
    <row r="551" spans="9:21" ht="12.75">
      <c r="I551" s="222"/>
      <c r="J551" s="222"/>
      <c r="K551" s="222"/>
      <c r="L551" s="222"/>
      <c r="M551" s="222"/>
      <c r="N551" s="222"/>
      <c r="O551" s="222"/>
      <c r="P551" s="215"/>
      <c r="Q551" s="215"/>
      <c r="R551" s="215"/>
      <c r="S551" s="215"/>
      <c r="T551" s="215"/>
      <c r="U551" s="215"/>
    </row>
    <row r="552" spans="9:21" ht="12.75">
      <c r="I552" s="222"/>
      <c r="J552" s="222"/>
      <c r="K552" s="222"/>
      <c r="L552" s="222"/>
      <c r="M552" s="222"/>
      <c r="N552" s="222"/>
      <c r="O552" s="222"/>
      <c r="P552" s="215"/>
      <c r="Q552" s="215"/>
      <c r="R552" s="215"/>
      <c r="S552" s="215"/>
      <c r="T552" s="215"/>
      <c r="U552" s="215"/>
    </row>
    <row r="553" spans="9:21" ht="12.75">
      <c r="I553" s="222"/>
      <c r="J553" s="222"/>
      <c r="K553" s="222"/>
      <c r="L553" s="222"/>
      <c r="M553" s="222"/>
      <c r="N553" s="222"/>
      <c r="O553" s="222"/>
      <c r="P553" s="215"/>
      <c r="Q553" s="215"/>
      <c r="R553" s="215"/>
      <c r="S553" s="215"/>
      <c r="T553" s="215"/>
      <c r="U553" s="215"/>
    </row>
    <row r="554" spans="9:21" ht="12.75">
      <c r="I554" s="222"/>
      <c r="J554" s="222"/>
      <c r="K554" s="222"/>
      <c r="L554" s="222"/>
      <c r="M554" s="222"/>
      <c r="N554" s="222"/>
      <c r="O554" s="222"/>
      <c r="P554" s="215"/>
      <c r="Q554" s="215"/>
      <c r="R554" s="215"/>
      <c r="S554" s="215"/>
      <c r="T554" s="215"/>
      <c r="U554" s="215"/>
    </row>
    <row r="555" spans="9:21" ht="12.75">
      <c r="I555" s="209"/>
      <c r="J555" s="209"/>
      <c r="K555" s="209"/>
      <c r="L555" s="209"/>
      <c r="M555" s="209"/>
      <c r="N555" s="209"/>
      <c r="O555" s="209"/>
      <c r="P555" s="215"/>
      <c r="Q555" s="215"/>
      <c r="R555" s="215"/>
      <c r="S555" s="215"/>
      <c r="T555" s="215"/>
      <c r="U555" s="215"/>
    </row>
    <row r="556" spans="9:21" ht="12.75">
      <c r="I556" s="209"/>
      <c r="J556" s="209"/>
      <c r="K556" s="209"/>
      <c r="L556" s="209"/>
      <c r="M556" s="209"/>
      <c r="N556" s="209"/>
      <c r="O556" s="209"/>
      <c r="P556" s="215"/>
      <c r="Q556" s="215"/>
      <c r="R556" s="215"/>
      <c r="S556" s="215"/>
      <c r="T556" s="215"/>
      <c r="U556" s="215"/>
    </row>
    <row r="557" spans="9:21" ht="12.75">
      <c r="I557" s="222"/>
      <c r="J557" s="222"/>
      <c r="K557" s="222"/>
      <c r="L557" s="222"/>
      <c r="M557" s="222"/>
      <c r="N557" s="222"/>
      <c r="O557" s="222"/>
      <c r="P557" s="215"/>
      <c r="Q557" s="215"/>
      <c r="R557" s="215"/>
      <c r="S557" s="215"/>
      <c r="T557" s="215"/>
      <c r="U557" s="215"/>
    </row>
    <row r="558" spans="9:21" ht="12.75">
      <c r="I558" s="222"/>
      <c r="J558" s="222"/>
      <c r="K558" s="222"/>
      <c r="L558" s="222"/>
      <c r="M558" s="222"/>
      <c r="N558" s="222"/>
      <c r="O558" s="222"/>
      <c r="P558" s="215"/>
      <c r="Q558" s="215"/>
      <c r="R558" s="215"/>
      <c r="S558" s="215"/>
      <c r="T558" s="215"/>
      <c r="U558" s="215"/>
    </row>
    <row r="559" spans="9:21" ht="12.75">
      <c r="I559" s="222"/>
      <c r="J559" s="222"/>
      <c r="K559" s="222"/>
      <c r="L559" s="222"/>
      <c r="M559" s="222"/>
      <c r="N559" s="222"/>
      <c r="O559" s="222"/>
      <c r="P559" s="215"/>
      <c r="Q559" s="215"/>
      <c r="R559" s="215"/>
      <c r="S559" s="215"/>
      <c r="T559" s="215"/>
      <c r="U559" s="215"/>
    </row>
    <row r="560" spans="9:21" ht="12.75">
      <c r="I560" s="222"/>
      <c r="J560" s="222"/>
      <c r="K560" s="222"/>
      <c r="L560" s="222"/>
      <c r="M560" s="222"/>
      <c r="N560" s="222"/>
      <c r="O560" s="222"/>
      <c r="P560" s="215"/>
      <c r="Q560" s="215"/>
      <c r="R560" s="215"/>
      <c r="S560" s="215"/>
      <c r="T560" s="215"/>
      <c r="U560" s="215"/>
    </row>
    <row r="561" spans="9:21" ht="12.75">
      <c r="I561" s="222"/>
      <c r="J561" s="222"/>
      <c r="K561" s="222"/>
      <c r="L561" s="222"/>
      <c r="M561" s="222"/>
      <c r="N561" s="222"/>
      <c r="O561" s="222"/>
      <c r="P561" s="215"/>
      <c r="Q561" s="215"/>
      <c r="R561" s="215"/>
      <c r="S561" s="215"/>
      <c r="T561" s="215"/>
      <c r="U561" s="215"/>
    </row>
    <row r="562" spans="9:21" ht="12.75">
      <c r="I562" s="222"/>
      <c r="J562" s="222"/>
      <c r="K562" s="222"/>
      <c r="L562" s="222"/>
      <c r="M562" s="222"/>
      <c r="N562" s="222"/>
      <c r="O562" s="222"/>
      <c r="P562" s="215"/>
      <c r="Q562" s="215"/>
      <c r="R562" s="215"/>
      <c r="S562" s="215"/>
      <c r="T562" s="215"/>
      <c r="U562" s="215"/>
    </row>
    <row r="563" spans="9:21" ht="12.75">
      <c r="I563" s="222"/>
      <c r="J563" s="222"/>
      <c r="K563" s="222"/>
      <c r="L563" s="222"/>
      <c r="M563" s="222"/>
      <c r="N563" s="222"/>
      <c r="O563" s="222"/>
      <c r="P563" s="215"/>
      <c r="Q563" s="215"/>
      <c r="R563" s="215"/>
      <c r="S563" s="215"/>
      <c r="T563" s="215"/>
      <c r="U563" s="215"/>
    </row>
    <row r="564" spans="9:21" ht="12.75">
      <c r="I564" s="222"/>
      <c r="J564" s="222"/>
      <c r="K564" s="222"/>
      <c r="L564" s="222"/>
      <c r="M564" s="222"/>
      <c r="N564" s="222"/>
      <c r="O564" s="222"/>
      <c r="P564" s="215"/>
      <c r="Q564" s="215"/>
      <c r="R564" s="215"/>
      <c r="S564" s="215"/>
      <c r="T564" s="215"/>
      <c r="U564" s="215"/>
    </row>
    <row r="565" spans="9:21" ht="12.75">
      <c r="I565" s="209"/>
      <c r="J565" s="209"/>
      <c r="K565" s="209"/>
      <c r="L565" s="209"/>
      <c r="M565" s="209"/>
      <c r="N565" s="209"/>
      <c r="O565" s="209"/>
      <c r="P565" s="215"/>
      <c r="Q565" s="215"/>
      <c r="R565" s="215"/>
      <c r="S565" s="215"/>
      <c r="T565" s="215"/>
      <c r="U565" s="215"/>
    </row>
    <row r="566" spans="9:21" ht="12.75">
      <c r="I566" s="209"/>
      <c r="J566" s="209"/>
      <c r="K566" s="209"/>
      <c r="L566" s="209"/>
      <c r="M566" s="209"/>
      <c r="N566" s="209"/>
      <c r="O566" s="209"/>
      <c r="P566" s="215"/>
      <c r="Q566" s="215"/>
      <c r="R566" s="215"/>
      <c r="S566" s="215"/>
      <c r="T566" s="215"/>
      <c r="U566" s="215"/>
    </row>
    <row r="567" spans="9:21" ht="12.75">
      <c r="I567" s="222"/>
      <c r="J567" s="222"/>
      <c r="K567" s="222"/>
      <c r="L567" s="222"/>
      <c r="M567" s="222"/>
      <c r="N567" s="222"/>
      <c r="O567" s="222"/>
      <c r="P567" s="215"/>
      <c r="Q567" s="215"/>
      <c r="R567" s="215"/>
      <c r="S567" s="215"/>
      <c r="T567" s="215"/>
      <c r="U567" s="215"/>
    </row>
    <row r="568" spans="9:21" ht="12.75">
      <c r="I568" s="222"/>
      <c r="J568" s="222"/>
      <c r="K568" s="222"/>
      <c r="L568" s="222"/>
      <c r="M568" s="222"/>
      <c r="N568" s="222"/>
      <c r="O568" s="222"/>
      <c r="P568" s="215"/>
      <c r="Q568" s="215"/>
      <c r="R568" s="215"/>
      <c r="S568" s="215"/>
      <c r="T568" s="215"/>
      <c r="U568" s="215"/>
    </row>
    <row r="569" spans="9:21" ht="12.75">
      <c r="I569" s="222"/>
      <c r="J569" s="222"/>
      <c r="K569" s="222"/>
      <c r="L569" s="222"/>
      <c r="M569" s="222"/>
      <c r="N569" s="222"/>
      <c r="O569" s="222"/>
      <c r="P569" s="215"/>
      <c r="Q569" s="215"/>
      <c r="R569" s="215"/>
      <c r="S569" s="215"/>
      <c r="T569" s="215"/>
      <c r="U569" s="215"/>
    </row>
    <row r="570" spans="9:21" ht="12.75">
      <c r="I570" s="222"/>
      <c r="J570" s="222"/>
      <c r="K570" s="222"/>
      <c r="L570" s="222"/>
      <c r="M570" s="222"/>
      <c r="N570" s="222"/>
      <c r="O570" s="222"/>
      <c r="P570" s="215"/>
      <c r="Q570" s="215"/>
      <c r="R570" s="215"/>
      <c r="S570" s="215"/>
      <c r="T570" s="215"/>
      <c r="U570" s="215"/>
    </row>
    <row r="571" spans="9:21" ht="12.75">
      <c r="I571" s="222"/>
      <c r="J571" s="222"/>
      <c r="K571" s="222"/>
      <c r="L571" s="222"/>
      <c r="M571" s="222"/>
      <c r="N571" s="222"/>
      <c r="O571" s="222"/>
      <c r="P571" s="215"/>
      <c r="Q571" s="215"/>
      <c r="R571" s="215"/>
      <c r="S571" s="215"/>
      <c r="T571" s="215"/>
      <c r="U571" s="215"/>
    </row>
    <row r="572" spans="9:21" ht="12.75">
      <c r="I572" s="222"/>
      <c r="J572" s="222"/>
      <c r="K572" s="222"/>
      <c r="L572" s="222"/>
      <c r="M572" s="222"/>
      <c r="N572" s="222"/>
      <c r="O572" s="222"/>
      <c r="P572" s="215"/>
      <c r="Q572" s="215"/>
      <c r="R572" s="215"/>
      <c r="S572" s="215"/>
      <c r="T572" s="215"/>
      <c r="U572" s="215"/>
    </row>
    <row r="573" spans="9:21" ht="12.75">
      <c r="I573" s="222"/>
      <c r="J573" s="222"/>
      <c r="K573" s="222"/>
      <c r="L573" s="222"/>
      <c r="M573" s="222"/>
      <c r="N573" s="222"/>
      <c r="O573" s="222"/>
      <c r="P573" s="215"/>
      <c r="Q573" s="215"/>
      <c r="R573" s="215"/>
      <c r="S573" s="215"/>
      <c r="T573" s="215"/>
      <c r="U573" s="215"/>
    </row>
    <row r="574" spans="9:21" ht="12.75">
      <c r="I574" s="222"/>
      <c r="J574" s="222"/>
      <c r="K574" s="222"/>
      <c r="L574" s="222"/>
      <c r="M574" s="222"/>
      <c r="N574" s="222"/>
      <c r="O574" s="222"/>
      <c r="P574" s="215"/>
      <c r="Q574" s="215"/>
      <c r="R574" s="215"/>
      <c r="S574" s="215"/>
      <c r="T574" s="215"/>
      <c r="U574" s="215"/>
    </row>
    <row r="575" spans="9:21" ht="12.75">
      <c r="I575" s="209"/>
      <c r="J575" s="209"/>
      <c r="K575" s="209"/>
      <c r="L575" s="209"/>
      <c r="M575" s="209"/>
      <c r="N575" s="209"/>
      <c r="O575" s="209"/>
      <c r="P575" s="215"/>
      <c r="Q575" s="215"/>
      <c r="R575" s="215"/>
      <c r="S575" s="215"/>
      <c r="T575" s="215"/>
      <c r="U575" s="215"/>
    </row>
    <row r="576" spans="9:21" ht="12.75">
      <c r="I576" s="209"/>
      <c r="J576" s="209"/>
      <c r="K576" s="209"/>
      <c r="L576" s="209"/>
      <c r="M576" s="209"/>
      <c r="N576" s="209"/>
      <c r="O576" s="209"/>
      <c r="P576" s="215"/>
      <c r="Q576" s="215"/>
      <c r="R576" s="215"/>
      <c r="S576" s="215"/>
      <c r="T576" s="215"/>
      <c r="U576" s="215"/>
    </row>
    <row r="577" spans="9:21" ht="12.75">
      <c r="I577" s="222"/>
      <c r="J577" s="222"/>
      <c r="K577" s="222"/>
      <c r="L577" s="222"/>
      <c r="M577" s="222"/>
      <c r="N577" s="222"/>
      <c r="O577" s="222"/>
      <c r="P577" s="215"/>
      <c r="Q577" s="215"/>
      <c r="R577" s="215"/>
      <c r="S577" s="215"/>
      <c r="T577" s="215"/>
      <c r="U577" s="215"/>
    </row>
    <row r="578" spans="9:21" ht="12.75">
      <c r="I578" s="222"/>
      <c r="J578" s="222"/>
      <c r="K578" s="222"/>
      <c r="L578" s="222"/>
      <c r="M578" s="222"/>
      <c r="N578" s="222"/>
      <c r="O578" s="222"/>
      <c r="P578" s="215"/>
      <c r="Q578" s="215"/>
      <c r="R578" s="215"/>
      <c r="S578" s="215"/>
      <c r="T578" s="215"/>
      <c r="U578" s="215"/>
    </row>
    <row r="579" spans="9:21" ht="12.75">
      <c r="I579" s="222"/>
      <c r="J579" s="222"/>
      <c r="K579" s="222"/>
      <c r="L579" s="222"/>
      <c r="M579" s="222"/>
      <c r="N579" s="222"/>
      <c r="O579" s="222"/>
      <c r="P579" s="215"/>
      <c r="Q579" s="215"/>
      <c r="R579" s="215"/>
      <c r="S579" s="215"/>
      <c r="T579" s="215"/>
      <c r="U579" s="215"/>
    </row>
    <row r="580" spans="9:21" ht="12.75">
      <c r="I580" s="222"/>
      <c r="J580" s="222"/>
      <c r="K580" s="222"/>
      <c r="L580" s="222"/>
      <c r="M580" s="222"/>
      <c r="N580" s="222"/>
      <c r="O580" s="222"/>
      <c r="P580" s="215"/>
      <c r="Q580" s="215"/>
      <c r="R580" s="215"/>
      <c r="S580" s="215"/>
      <c r="T580" s="215"/>
      <c r="U580" s="215"/>
    </row>
    <row r="581" spans="9:21" ht="12.75">
      <c r="I581" s="222"/>
      <c r="J581" s="222"/>
      <c r="K581" s="222"/>
      <c r="L581" s="222"/>
      <c r="M581" s="222"/>
      <c r="N581" s="222"/>
      <c r="O581" s="222"/>
      <c r="P581" s="215"/>
      <c r="Q581" s="215"/>
      <c r="R581" s="215"/>
      <c r="S581" s="215"/>
      <c r="T581" s="215"/>
      <c r="U581" s="215"/>
    </row>
    <row r="582" spans="9:21" ht="12.75">
      <c r="I582" s="222"/>
      <c r="J582" s="222"/>
      <c r="K582" s="222"/>
      <c r="L582" s="222"/>
      <c r="M582" s="222"/>
      <c r="N582" s="222"/>
      <c r="O582" s="222"/>
      <c r="P582" s="215"/>
      <c r="Q582" s="215"/>
      <c r="R582" s="215"/>
      <c r="S582" s="215"/>
      <c r="T582" s="215"/>
      <c r="U582" s="215"/>
    </row>
    <row r="583" spans="9:21" ht="12.75">
      <c r="I583" s="222"/>
      <c r="J583" s="222"/>
      <c r="K583" s="222"/>
      <c r="L583" s="222"/>
      <c r="M583" s="222"/>
      <c r="N583" s="222"/>
      <c r="O583" s="222"/>
      <c r="P583" s="215"/>
      <c r="Q583" s="215"/>
      <c r="R583" s="215"/>
      <c r="S583" s="215"/>
      <c r="T583" s="215"/>
      <c r="U583" s="215"/>
    </row>
    <row r="584" spans="9:21" ht="12.75">
      <c r="I584" s="222"/>
      <c r="J584" s="222"/>
      <c r="K584" s="222"/>
      <c r="L584" s="222"/>
      <c r="M584" s="222"/>
      <c r="N584" s="222"/>
      <c r="O584" s="222"/>
      <c r="P584" s="215"/>
      <c r="Q584" s="215"/>
      <c r="R584" s="215"/>
      <c r="S584" s="215"/>
      <c r="T584" s="215"/>
      <c r="U584" s="215"/>
    </row>
    <row r="585" spans="9:21" ht="12.75">
      <c r="I585" s="209"/>
      <c r="J585" s="209"/>
      <c r="K585" s="209"/>
      <c r="L585" s="209"/>
      <c r="M585" s="209"/>
      <c r="N585" s="209"/>
      <c r="O585" s="209"/>
      <c r="P585" s="215"/>
      <c r="Q585" s="215"/>
      <c r="R585" s="215"/>
      <c r="S585" s="215"/>
      <c r="T585" s="215"/>
      <c r="U585" s="215"/>
    </row>
    <row r="586" spans="9:21" ht="12.75">
      <c r="I586" s="209"/>
      <c r="J586" s="209"/>
      <c r="K586" s="209"/>
      <c r="L586" s="209"/>
      <c r="M586" s="209"/>
      <c r="N586" s="209"/>
      <c r="O586" s="209"/>
      <c r="P586" s="215"/>
      <c r="Q586" s="215"/>
      <c r="R586" s="215"/>
      <c r="S586" s="215"/>
      <c r="T586" s="215"/>
      <c r="U586" s="215"/>
    </row>
  </sheetData>
  <mergeCells count="491">
    <mergeCell ref="U305:U314"/>
    <mergeCell ref="G306:G307"/>
    <mergeCell ref="G309:G310"/>
    <mergeCell ref="F310:F314"/>
    <mergeCell ref="G312:G314"/>
    <mergeCell ref="C305:C314"/>
    <mergeCell ref="D305:D314"/>
    <mergeCell ref="E305:E314"/>
    <mergeCell ref="F305:F309"/>
    <mergeCell ref="U255:U264"/>
    <mergeCell ref="G256:G257"/>
    <mergeCell ref="G259:G260"/>
    <mergeCell ref="F260:F264"/>
    <mergeCell ref="G262:G264"/>
    <mergeCell ref="G252:G254"/>
    <mergeCell ref="A255:A264"/>
    <mergeCell ref="B255:B264"/>
    <mergeCell ref="C255:C264"/>
    <mergeCell ref="D255:D264"/>
    <mergeCell ref="E255:E264"/>
    <mergeCell ref="F255:F259"/>
    <mergeCell ref="A245:A254"/>
    <mergeCell ref="B245:B254"/>
    <mergeCell ref="C245:C254"/>
    <mergeCell ref="D245:D254"/>
    <mergeCell ref="B425:B434"/>
    <mergeCell ref="C425:C434"/>
    <mergeCell ref="C375:C384"/>
    <mergeCell ref="B375:B384"/>
    <mergeCell ref="B415:B424"/>
    <mergeCell ref="C395:C404"/>
    <mergeCell ref="C405:C414"/>
    <mergeCell ref="C415:C424"/>
    <mergeCell ref="C345:C354"/>
    <mergeCell ref="C355:C364"/>
    <mergeCell ref="B365:B374"/>
    <mergeCell ref="C365:C374"/>
    <mergeCell ref="B345:B354"/>
    <mergeCell ref="B355:B364"/>
    <mergeCell ref="F385:F389"/>
    <mergeCell ref="G386:G387"/>
    <mergeCell ref="U375:U384"/>
    <mergeCell ref="G376:G377"/>
    <mergeCell ref="G379:G380"/>
    <mergeCell ref="F380:F384"/>
    <mergeCell ref="G382:G384"/>
    <mergeCell ref="F375:F379"/>
    <mergeCell ref="U415:U424"/>
    <mergeCell ref="G416:G417"/>
    <mergeCell ref="G422:G424"/>
    <mergeCell ref="G419:G420"/>
    <mergeCell ref="G219:G220"/>
    <mergeCell ref="F220:F224"/>
    <mergeCell ref="G222:G224"/>
    <mergeCell ref="E215:E224"/>
    <mergeCell ref="F215:F219"/>
    <mergeCell ref="D415:D424"/>
    <mergeCell ref="E415:E424"/>
    <mergeCell ref="F415:F419"/>
    <mergeCell ref="F420:F424"/>
    <mergeCell ref="A365:A374"/>
    <mergeCell ref="D365:D374"/>
    <mergeCell ref="E365:E374"/>
    <mergeCell ref="A375:A384"/>
    <mergeCell ref="D375:D384"/>
    <mergeCell ref="E375:E384"/>
    <mergeCell ref="U335:U344"/>
    <mergeCell ref="G336:G337"/>
    <mergeCell ref="G339:G340"/>
    <mergeCell ref="F340:F344"/>
    <mergeCell ref="G342:G344"/>
    <mergeCell ref="A335:A344"/>
    <mergeCell ref="D335:D344"/>
    <mergeCell ref="E335:E344"/>
    <mergeCell ref="F335:F339"/>
    <mergeCell ref="B335:B344"/>
    <mergeCell ref="C335:C344"/>
    <mergeCell ref="F325:F329"/>
    <mergeCell ref="U325:U334"/>
    <mergeCell ref="G326:G327"/>
    <mergeCell ref="G329:G330"/>
    <mergeCell ref="F330:F334"/>
    <mergeCell ref="G332:G334"/>
    <mergeCell ref="F295:F299"/>
    <mergeCell ref="U295:U304"/>
    <mergeCell ref="G296:G297"/>
    <mergeCell ref="G299:G300"/>
    <mergeCell ref="F300:F304"/>
    <mergeCell ref="G302:G304"/>
    <mergeCell ref="G443:H443"/>
    <mergeCell ref="G447:H447"/>
    <mergeCell ref="G450:H450"/>
    <mergeCell ref="G448:H448"/>
    <mergeCell ref="A2:U2"/>
    <mergeCell ref="A3:A4"/>
    <mergeCell ref="D3:D4"/>
    <mergeCell ref="E3:E4"/>
    <mergeCell ref="U3:U4"/>
    <mergeCell ref="F3:F4"/>
    <mergeCell ref="G3:G4"/>
    <mergeCell ref="H3:H4"/>
    <mergeCell ref="I3:I4"/>
    <mergeCell ref="L3:T3"/>
    <mergeCell ref="K3:K4"/>
    <mergeCell ref="A85:A94"/>
    <mergeCell ref="D85:D94"/>
    <mergeCell ref="E85:E94"/>
    <mergeCell ref="A5:A14"/>
    <mergeCell ref="D5:D14"/>
    <mergeCell ref="E5:E14"/>
    <mergeCell ref="A25:A34"/>
    <mergeCell ref="D25:D34"/>
    <mergeCell ref="E25:E34"/>
    <mergeCell ref="A105:A114"/>
    <mergeCell ref="D105:D114"/>
    <mergeCell ref="E105:E114"/>
    <mergeCell ref="U85:U94"/>
    <mergeCell ref="G86:G87"/>
    <mergeCell ref="G89:G90"/>
    <mergeCell ref="F90:F94"/>
    <mergeCell ref="G92:G94"/>
    <mergeCell ref="F85:F89"/>
    <mergeCell ref="F105:F109"/>
    <mergeCell ref="U105:U114"/>
    <mergeCell ref="G106:G107"/>
    <mergeCell ref="G109:G110"/>
    <mergeCell ref="F110:F114"/>
    <mergeCell ref="G112:G114"/>
    <mergeCell ref="U115:U124"/>
    <mergeCell ref="G116:G117"/>
    <mergeCell ref="G119:G120"/>
    <mergeCell ref="F120:F124"/>
    <mergeCell ref="G122:G124"/>
    <mergeCell ref="A125:A134"/>
    <mergeCell ref="D125:D134"/>
    <mergeCell ref="E125:E134"/>
    <mergeCell ref="F115:F119"/>
    <mergeCell ref="A115:A124"/>
    <mergeCell ref="D115:D124"/>
    <mergeCell ref="E115:E124"/>
    <mergeCell ref="C125:C134"/>
    <mergeCell ref="E135:E144"/>
    <mergeCell ref="F125:F129"/>
    <mergeCell ref="U125:U134"/>
    <mergeCell ref="G126:G127"/>
    <mergeCell ref="G129:G130"/>
    <mergeCell ref="F130:F134"/>
    <mergeCell ref="G132:G134"/>
    <mergeCell ref="U135:U144"/>
    <mergeCell ref="G136:G137"/>
    <mergeCell ref="G139:G140"/>
    <mergeCell ref="F140:F144"/>
    <mergeCell ref="G142:G144"/>
    <mergeCell ref="F5:F9"/>
    <mergeCell ref="U5:U14"/>
    <mergeCell ref="G6:G7"/>
    <mergeCell ref="G9:G10"/>
    <mergeCell ref="F10:F14"/>
    <mergeCell ref="G12:G14"/>
    <mergeCell ref="F95:F99"/>
    <mergeCell ref="U95:U104"/>
    <mergeCell ref="U145:U154"/>
    <mergeCell ref="G146:G147"/>
    <mergeCell ref="G149:G150"/>
    <mergeCell ref="F150:F154"/>
    <mergeCell ref="G152:G154"/>
    <mergeCell ref="A95:A104"/>
    <mergeCell ref="D95:D104"/>
    <mergeCell ref="E95:E104"/>
    <mergeCell ref="F145:F149"/>
    <mergeCell ref="A145:A154"/>
    <mergeCell ref="D145:D154"/>
    <mergeCell ref="E145:E154"/>
    <mergeCell ref="F135:F139"/>
    <mergeCell ref="A135:A144"/>
    <mergeCell ref="D135:D144"/>
    <mergeCell ref="G96:G97"/>
    <mergeCell ref="G99:G100"/>
    <mergeCell ref="F100:F104"/>
    <mergeCell ref="G102:G104"/>
    <mergeCell ref="U155:U164"/>
    <mergeCell ref="G156:G157"/>
    <mergeCell ref="G159:G160"/>
    <mergeCell ref="F160:F164"/>
    <mergeCell ref="G162:G164"/>
    <mergeCell ref="A165:A174"/>
    <mergeCell ref="D165:D174"/>
    <mergeCell ref="E165:E174"/>
    <mergeCell ref="F155:F159"/>
    <mergeCell ref="A155:A164"/>
    <mergeCell ref="D155:D164"/>
    <mergeCell ref="E155:E164"/>
    <mergeCell ref="F165:F169"/>
    <mergeCell ref="U165:U174"/>
    <mergeCell ref="G166:G167"/>
    <mergeCell ref="G169:G170"/>
    <mergeCell ref="F170:F174"/>
    <mergeCell ref="G172:G174"/>
    <mergeCell ref="D175:D184"/>
    <mergeCell ref="E175:E184"/>
    <mergeCell ref="F55:F59"/>
    <mergeCell ref="U55:U64"/>
    <mergeCell ref="G56:G57"/>
    <mergeCell ref="G59:G60"/>
    <mergeCell ref="F60:F64"/>
    <mergeCell ref="G62:G64"/>
    <mergeCell ref="D55:D64"/>
    <mergeCell ref="E55:E64"/>
    <mergeCell ref="F175:F179"/>
    <mergeCell ref="U175:U184"/>
    <mergeCell ref="A185:A194"/>
    <mergeCell ref="D185:D194"/>
    <mergeCell ref="E185:E194"/>
    <mergeCell ref="G176:G177"/>
    <mergeCell ref="G179:G180"/>
    <mergeCell ref="F180:F184"/>
    <mergeCell ref="G182:G184"/>
    <mergeCell ref="A175:A184"/>
    <mergeCell ref="F185:F189"/>
    <mergeCell ref="U185:U194"/>
    <mergeCell ref="G186:G187"/>
    <mergeCell ref="G189:G190"/>
    <mergeCell ref="F190:F194"/>
    <mergeCell ref="G192:G194"/>
    <mergeCell ref="A55:A64"/>
    <mergeCell ref="F25:F29"/>
    <mergeCell ref="U25:U34"/>
    <mergeCell ref="G26:G27"/>
    <mergeCell ref="G29:G30"/>
    <mergeCell ref="F30:F34"/>
    <mergeCell ref="G32:G34"/>
    <mergeCell ref="A35:A44"/>
    <mergeCell ref="D35:D44"/>
    <mergeCell ref="E35:E44"/>
    <mergeCell ref="U215:U224"/>
    <mergeCell ref="G216:G217"/>
    <mergeCell ref="F205:F209"/>
    <mergeCell ref="E65:E74"/>
    <mergeCell ref="U65:U74"/>
    <mergeCell ref="G66:G67"/>
    <mergeCell ref="G69:G70"/>
    <mergeCell ref="F70:F74"/>
    <mergeCell ref="G72:G74"/>
    <mergeCell ref="F65:F69"/>
    <mergeCell ref="U205:U214"/>
    <mergeCell ref="G206:G207"/>
    <mergeCell ref="G209:G210"/>
    <mergeCell ref="F210:F214"/>
    <mergeCell ref="G212:G214"/>
    <mergeCell ref="A205:A214"/>
    <mergeCell ref="D205:D214"/>
    <mergeCell ref="E205:E214"/>
    <mergeCell ref="F235:F239"/>
    <mergeCell ref="E235:E244"/>
    <mergeCell ref="B235:B244"/>
    <mergeCell ref="A215:A224"/>
    <mergeCell ref="D215:D224"/>
    <mergeCell ref="A225:A234"/>
    <mergeCell ref="D225:D234"/>
    <mergeCell ref="E225:E234"/>
    <mergeCell ref="F225:F229"/>
    <mergeCell ref="F230:F234"/>
    <mergeCell ref="D275:D284"/>
    <mergeCell ref="E275:E284"/>
    <mergeCell ref="F275:F279"/>
    <mergeCell ref="E245:E254"/>
    <mergeCell ref="E265:E274"/>
    <mergeCell ref="F245:F249"/>
    <mergeCell ref="F250:F254"/>
    <mergeCell ref="F240:F244"/>
    <mergeCell ref="G242:G244"/>
    <mergeCell ref="G279:G280"/>
    <mergeCell ref="F280:F284"/>
    <mergeCell ref="G282:G284"/>
    <mergeCell ref="F265:F269"/>
    <mergeCell ref="G266:G267"/>
    <mergeCell ref="G269:G270"/>
    <mergeCell ref="F270:F274"/>
    <mergeCell ref="G246:G247"/>
    <mergeCell ref="C325:C334"/>
    <mergeCell ref="A295:A304"/>
    <mergeCell ref="D295:D304"/>
    <mergeCell ref="E295:E304"/>
    <mergeCell ref="A325:A334"/>
    <mergeCell ref="D325:D334"/>
    <mergeCell ref="E325:E334"/>
    <mergeCell ref="B295:B304"/>
    <mergeCell ref="A305:A314"/>
    <mergeCell ref="B305:B314"/>
    <mergeCell ref="C75:C84"/>
    <mergeCell ref="F285:F289"/>
    <mergeCell ref="U285:U294"/>
    <mergeCell ref="G286:G287"/>
    <mergeCell ref="G289:G290"/>
    <mergeCell ref="F290:F294"/>
    <mergeCell ref="G292:G294"/>
    <mergeCell ref="D285:D294"/>
    <mergeCell ref="E285:E294"/>
    <mergeCell ref="G239:G240"/>
    <mergeCell ref="U35:U44"/>
    <mergeCell ref="A75:A84"/>
    <mergeCell ref="G76:G77"/>
    <mergeCell ref="U75:U84"/>
    <mergeCell ref="F75:F79"/>
    <mergeCell ref="E75:E84"/>
    <mergeCell ref="F80:F84"/>
    <mergeCell ref="G82:G84"/>
    <mergeCell ref="G79:G80"/>
    <mergeCell ref="B75:B84"/>
    <mergeCell ref="U275:U284"/>
    <mergeCell ref="G276:G277"/>
    <mergeCell ref="G232:G234"/>
    <mergeCell ref="U235:U244"/>
    <mergeCell ref="G236:G237"/>
    <mergeCell ref="U225:U234"/>
    <mergeCell ref="G226:G227"/>
    <mergeCell ref="G229:G230"/>
    <mergeCell ref="U245:U254"/>
    <mergeCell ref="G249:G250"/>
    <mergeCell ref="G36:G37"/>
    <mergeCell ref="G39:G40"/>
    <mergeCell ref="F40:F44"/>
    <mergeCell ref="G42:G44"/>
    <mergeCell ref="F35:F39"/>
    <mergeCell ref="A45:A54"/>
    <mergeCell ref="D45:D54"/>
    <mergeCell ref="E45:E54"/>
    <mergeCell ref="C275:C284"/>
    <mergeCell ref="D75:D84"/>
    <mergeCell ref="A65:A74"/>
    <mergeCell ref="D65:D74"/>
    <mergeCell ref="A235:A244"/>
    <mergeCell ref="D235:D244"/>
    <mergeCell ref="A275:A284"/>
    <mergeCell ref="F45:F49"/>
    <mergeCell ref="U45:U54"/>
    <mergeCell ref="G46:G47"/>
    <mergeCell ref="G49:G50"/>
    <mergeCell ref="F50:F54"/>
    <mergeCell ref="G52:G54"/>
    <mergeCell ref="U345:U354"/>
    <mergeCell ref="G346:G347"/>
    <mergeCell ref="G349:G350"/>
    <mergeCell ref="F350:F354"/>
    <mergeCell ref="G352:G354"/>
    <mergeCell ref="F345:F349"/>
    <mergeCell ref="A355:A364"/>
    <mergeCell ref="D355:D364"/>
    <mergeCell ref="E355:E364"/>
    <mergeCell ref="C165:C169"/>
    <mergeCell ref="C170:C174"/>
    <mergeCell ref="C175:C184"/>
    <mergeCell ref="A345:A354"/>
    <mergeCell ref="D345:D354"/>
    <mergeCell ref="E345:E354"/>
    <mergeCell ref="A285:A294"/>
    <mergeCell ref="U355:U364"/>
    <mergeCell ref="G356:G357"/>
    <mergeCell ref="G359:G360"/>
    <mergeCell ref="F360:F364"/>
    <mergeCell ref="G362:G364"/>
    <mergeCell ref="F355:F359"/>
    <mergeCell ref="U365:U374"/>
    <mergeCell ref="G389:G390"/>
    <mergeCell ref="F390:F394"/>
    <mergeCell ref="G392:G394"/>
    <mergeCell ref="G366:G367"/>
    <mergeCell ref="G369:G370"/>
    <mergeCell ref="F370:F374"/>
    <mergeCell ref="G372:G374"/>
    <mergeCell ref="F365:F369"/>
    <mergeCell ref="U385:U394"/>
    <mergeCell ref="D395:D404"/>
    <mergeCell ref="E395:E404"/>
    <mergeCell ref="E385:E394"/>
    <mergeCell ref="A405:A414"/>
    <mergeCell ref="D405:D414"/>
    <mergeCell ref="B385:B394"/>
    <mergeCell ref="C385:C394"/>
    <mergeCell ref="B395:B404"/>
    <mergeCell ref="B405:B414"/>
    <mergeCell ref="U395:U404"/>
    <mergeCell ref="G396:G397"/>
    <mergeCell ref="G399:G400"/>
    <mergeCell ref="F400:F404"/>
    <mergeCell ref="G402:G404"/>
    <mergeCell ref="F395:F399"/>
    <mergeCell ref="F405:F409"/>
    <mergeCell ref="U405:U414"/>
    <mergeCell ref="G406:G407"/>
    <mergeCell ref="G409:G410"/>
    <mergeCell ref="F410:F414"/>
    <mergeCell ref="G412:G414"/>
    <mergeCell ref="A425:A434"/>
    <mergeCell ref="D425:D434"/>
    <mergeCell ref="E425:E434"/>
    <mergeCell ref="B165:B169"/>
    <mergeCell ref="B170:B174"/>
    <mergeCell ref="A415:A424"/>
    <mergeCell ref="A385:A394"/>
    <mergeCell ref="D385:D394"/>
    <mergeCell ref="E405:E414"/>
    <mergeCell ref="A395:A404"/>
    <mergeCell ref="F425:F429"/>
    <mergeCell ref="U425:U434"/>
    <mergeCell ref="G426:G427"/>
    <mergeCell ref="G429:G430"/>
    <mergeCell ref="F430:F434"/>
    <mergeCell ref="G432:G434"/>
    <mergeCell ref="B3:B4"/>
    <mergeCell ref="C3:C4"/>
    <mergeCell ref="B5:B14"/>
    <mergeCell ref="C5:C14"/>
    <mergeCell ref="B25:B34"/>
    <mergeCell ref="B35:B44"/>
    <mergeCell ref="C25:C34"/>
    <mergeCell ref="C35:C44"/>
    <mergeCell ref="C45:C54"/>
    <mergeCell ref="C55:C64"/>
    <mergeCell ref="C65:C74"/>
    <mergeCell ref="B45:B54"/>
    <mergeCell ref="B55:B64"/>
    <mergeCell ref="B65:B74"/>
    <mergeCell ref="B85:B94"/>
    <mergeCell ref="B95:B104"/>
    <mergeCell ref="C85:C94"/>
    <mergeCell ref="C95:C104"/>
    <mergeCell ref="B105:B114"/>
    <mergeCell ref="B115:B124"/>
    <mergeCell ref="C105:C114"/>
    <mergeCell ref="C115:C124"/>
    <mergeCell ref="C135:C144"/>
    <mergeCell ref="C145:C154"/>
    <mergeCell ref="C155:C164"/>
    <mergeCell ref="B125:B134"/>
    <mergeCell ref="B135:B144"/>
    <mergeCell ref="B145:B154"/>
    <mergeCell ref="B155:B164"/>
    <mergeCell ref="B285:B294"/>
    <mergeCell ref="B175:B184"/>
    <mergeCell ref="B185:B194"/>
    <mergeCell ref="B205:B214"/>
    <mergeCell ref="B215:B224"/>
    <mergeCell ref="B325:B334"/>
    <mergeCell ref="C185:C194"/>
    <mergeCell ref="C205:C214"/>
    <mergeCell ref="C215:C224"/>
    <mergeCell ref="C225:C234"/>
    <mergeCell ref="C235:C244"/>
    <mergeCell ref="C285:C294"/>
    <mergeCell ref="C295:C304"/>
    <mergeCell ref="B225:B234"/>
    <mergeCell ref="B275:B284"/>
    <mergeCell ref="A15:A24"/>
    <mergeCell ref="B15:B24"/>
    <mergeCell ref="C15:C24"/>
    <mergeCell ref="D15:D24"/>
    <mergeCell ref="E15:E24"/>
    <mergeCell ref="F15:F19"/>
    <mergeCell ref="U15:U24"/>
    <mergeCell ref="G16:G17"/>
    <mergeCell ref="G19:G20"/>
    <mergeCell ref="F20:F24"/>
    <mergeCell ref="G22:G24"/>
    <mergeCell ref="A195:A204"/>
    <mergeCell ref="B195:B204"/>
    <mergeCell ref="C195:C204"/>
    <mergeCell ref="D195:D204"/>
    <mergeCell ref="E195:E204"/>
    <mergeCell ref="F195:F199"/>
    <mergeCell ref="U195:U204"/>
    <mergeCell ref="G196:G197"/>
    <mergeCell ref="G199:G200"/>
    <mergeCell ref="F200:F204"/>
    <mergeCell ref="G202:G204"/>
    <mergeCell ref="A315:A324"/>
    <mergeCell ref="B315:B324"/>
    <mergeCell ref="C315:C324"/>
    <mergeCell ref="D315:D324"/>
    <mergeCell ref="E315:E324"/>
    <mergeCell ref="F315:F319"/>
    <mergeCell ref="U315:U324"/>
    <mergeCell ref="G316:G317"/>
    <mergeCell ref="G319:G320"/>
    <mergeCell ref="F320:F324"/>
    <mergeCell ref="G322:G324"/>
    <mergeCell ref="G272:G274"/>
    <mergeCell ref="A265:A274"/>
    <mergeCell ref="B265:B274"/>
    <mergeCell ref="C265:C274"/>
    <mergeCell ref="D265:D274"/>
  </mergeCells>
  <printOptions/>
  <pageMargins left="0.984251968503937" right="0.2362204724409449" top="0.8661417322834646" bottom="0.5511811023622047" header="0.15748031496062992" footer="0.15748031496062992"/>
  <pageSetup horizontalDpi="600" verticalDpi="600" orientation="landscape" paperSize="9" scale="75" r:id="rId1"/>
  <rowBreaks count="10" manualBreakCount="10">
    <brk id="44" max="255" man="1"/>
    <brk id="84" max="255" man="1"/>
    <brk id="124" max="255" man="1"/>
    <brk id="164" max="255" man="1"/>
    <brk id="204" max="255" man="1"/>
    <brk id="244" max="255" man="1"/>
    <brk id="284" max="255" man="1"/>
    <brk id="324" max="255" man="1"/>
    <brk id="364" max="255" man="1"/>
    <brk id="4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26"/>
  <sheetViews>
    <sheetView zoomScaleSheetLayoutView="100" workbookViewId="0" topLeftCell="A407">
      <selection activeCell="K441" sqref="K441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10.140625" style="127" customWidth="1"/>
    <col min="4" max="4" width="13.8515625" style="127" customWidth="1"/>
    <col min="5" max="5" width="9.140625" style="127" customWidth="1"/>
    <col min="6" max="6" width="10.421875" style="0" customWidth="1"/>
    <col min="7" max="7" width="14.28125" style="0" customWidth="1"/>
    <col min="8" max="8" width="8.8515625" style="0" customWidth="1"/>
    <col min="9" max="9" width="9.28125" style="0" customWidth="1"/>
    <col min="10" max="10" width="9.7109375" style="0" customWidth="1"/>
    <col min="11" max="11" width="9.57421875" style="0" bestFit="1" customWidth="1"/>
    <col min="12" max="13" width="8.7109375" style="0" bestFit="1" customWidth="1"/>
    <col min="14" max="39" width="9.140625" style="0" hidden="1" customWidth="1"/>
    <col min="40" max="40" width="10.28125" style="1" customWidth="1"/>
  </cols>
  <sheetData>
    <row r="1" spans="1:40" ht="12.75">
      <c r="A1" s="126"/>
      <c r="AN1" s="422" t="s">
        <v>238</v>
      </c>
    </row>
    <row r="2" spans="1:40" ht="44.25" customHeight="1" thickBot="1">
      <c r="A2" s="383" t="s">
        <v>187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</row>
    <row r="3" spans="1:40" ht="22.5" customHeight="1" thickBot="1">
      <c r="A3" s="384" t="s">
        <v>188</v>
      </c>
      <c r="B3" s="386" t="s">
        <v>95</v>
      </c>
      <c r="C3" s="361" t="s">
        <v>189</v>
      </c>
      <c r="D3" s="361" t="s">
        <v>96</v>
      </c>
      <c r="E3" s="361" t="s">
        <v>97</v>
      </c>
      <c r="F3" s="386" t="s">
        <v>98</v>
      </c>
      <c r="G3" s="386" t="s">
        <v>99</v>
      </c>
      <c r="H3" s="325" t="s">
        <v>101</v>
      </c>
      <c r="I3" s="363" t="s">
        <v>102</v>
      </c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9" t="s">
        <v>103</v>
      </c>
    </row>
    <row r="4" spans="1:40" ht="16.5" customHeight="1" thickBot="1">
      <c r="A4" s="385"/>
      <c r="B4" s="387"/>
      <c r="C4" s="360"/>
      <c r="D4" s="360"/>
      <c r="E4" s="360"/>
      <c r="F4" s="385"/>
      <c r="G4" s="387"/>
      <c r="H4" s="357"/>
      <c r="I4" s="129">
        <v>2011</v>
      </c>
      <c r="J4" s="130">
        <v>2012</v>
      </c>
      <c r="K4" s="130">
        <v>2013</v>
      </c>
      <c r="L4" s="130">
        <v>2014</v>
      </c>
      <c r="M4" s="130">
        <v>2015</v>
      </c>
      <c r="N4" s="130">
        <v>2016</v>
      </c>
      <c r="O4" s="130">
        <v>2017</v>
      </c>
      <c r="P4" s="130">
        <v>2018</v>
      </c>
      <c r="Q4" s="224">
        <v>2019</v>
      </c>
      <c r="R4" s="224">
        <v>2020</v>
      </c>
      <c r="S4" s="224">
        <v>2021</v>
      </c>
      <c r="T4" s="224">
        <v>2022</v>
      </c>
      <c r="U4" s="224">
        <v>2023</v>
      </c>
      <c r="V4" s="224">
        <v>2024</v>
      </c>
      <c r="W4" s="224">
        <v>2025</v>
      </c>
      <c r="X4" s="224">
        <v>2026</v>
      </c>
      <c r="Y4" s="224">
        <v>2027</v>
      </c>
      <c r="Z4" s="224">
        <v>2028</v>
      </c>
      <c r="AA4" s="224">
        <v>2029</v>
      </c>
      <c r="AB4" s="224">
        <v>2030</v>
      </c>
      <c r="AC4" s="225">
        <v>2031</v>
      </c>
      <c r="AD4" s="225">
        <v>2032</v>
      </c>
      <c r="AE4" s="225">
        <v>2033</v>
      </c>
      <c r="AF4" s="225">
        <v>2034</v>
      </c>
      <c r="AG4" s="225">
        <v>2035</v>
      </c>
      <c r="AH4" s="225">
        <v>2036</v>
      </c>
      <c r="AI4" s="225">
        <v>2036</v>
      </c>
      <c r="AJ4" s="225">
        <v>2037</v>
      </c>
      <c r="AK4" s="225">
        <v>2038</v>
      </c>
      <c r="AL4" s="225">
        <v>2039</v>
      </c>
      <c r="AM4" s="225">
        <v>2040</v>
      </c>
      <c r="AN4" s="389"/>
    </row>
    <row r="5" spans="1:40" ht="12.75">
      <c r="A5" s="286">
        <v>1</v>
      </c>
      <c r="B5" s="323" t="s">
        <v>190</v>
      </c>
      <c r="C5" s="380">
        <v>40002</v>
      </c>
      <c r="D5" s="332" t="s">
        <v>191</v>
      </c>
      <c r="E5" s="356">
        <v>2011</v>
      </c>
      <c r="F5" s="132" t="s">
        <v>106</v>
      </c>
      <c r="G5" s="133" t="s">
        <v>192</v>
      </c>
      <c r="H5" s="134"/>
      <c r="I5" s="187"/>
      <c r="J5" s="158"/>
      <c r="K5" s="158"/>
      <c r="L5" s="158"/>
      <c r="M5" s="158"/>
      <c r="N5" s="158"/>
      <c r="O5" s="158"/>
      <c r="P5" s="158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376">
        <f>SUM(J12:AM12)</f>
        <v>3000000</v>
      </c>
    </row>
    <row r="6" spans="1:40" ht="12.75">
      <c r="A6" s="287"/>
      <c r="B6" s="319"/>
      <c r="C6" s="381"/>
      <c r="D6" s="333"/>
      <c r="E6" s="354"/>
      <c r="F6" s="281">
        <f>SUM(H11:AM11)</f>
        <v>0</v>
      </c>
      <c r="G6" s="139" t="s">
        <v>193</v>
      </c>
      <c r="H6" s="140"/>
      <c r="I6" s="189">
        <f>5000000-3700000</f>
        <v>1300000</v>
      </c>
      <c r="J6" s="142">
        <v>3000000</v>
      </c>
      <c r="K6" s="142"/>
      <c r="L6" s="142"/>
      <c r="M6" s="142"/>
      <c r="N6" s="142"/>
      <c r="O6" s="142"/>
      <c r="P6" s="142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377"/>
    </row>
    <row r="7" spans="1:40" ht="12.75">
      <c r="A7" s="287"/>
      <c r="B7" s="319"/>
      <c r="C7" s="381"/>
      <c r="D7" s="333"/>
      <c r="E7" s="354"/>
      <c r="F7" s="379"/>
      <c r="G7" s="139" t="s">
        <v>109</v>
      </c>
      <c r="H7" s="140"/>
      <c r="I7" s="189"/>
      <c r="J7" s="142"/>
      <c r="K7" s="142"/>
      <c r="L7" s="142"/>
      <c r="M7" s="142"/>
      <c r="N7" s="142"/>
      <c r="O7" s="142"/>
      <c r="P7" s="142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377"/>
    </row>
    <row r="8" spans="1:40" ht="12.75">
      <c r="A8" s="287"/>
      <c r="B8" s="319"/>
      <c r="C8" s="381"/>
      <c r="D8" s="333"/>
      <c r="E8" s="266"/>
      <c r="F8" s="145" t="s">
        <v>110</v>
      </c>
      <c r="G8" s="139" t="s">
        <v>111</v>
      </c>
      <c r="H8" s="140"/>
      <c r="I8" s="189"/>
      <c r="J8" s="142"/>
      <c r="K8" s="142"/>
      <c r="L8" s="142"/>
      <c r="M8" s="142"/>
      <c r="N8" s="142"/>
      <c r="O8" s="142"/>
      <c r="P8" s="142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377"/>
    </row>
    <row r="9" spans="1:40" ht="12.75">
      <c r="A9" s="287"/>
      <c r="B9" s="319"/>
      <c r="C9" s="381"/>
      <c r="D9" s="333"/>
      <c r="E9" s="336">
        <v>2012</v>
      </c>
      <c r="F9" s="281">
        <f>SUM(H12:AM12)</f>
        <v>4300000</v>
      </c>
      <c r="G9" s="139" t="s">
        <v>115</v>
      </c>
      <c r="H9" s="140"/>
      <c r="I9" s="189"/>
      <c r="J9" s="142"/>
      <c r="K9" s="142"/>
      <c r="L9" s="142"/>
      <c r="M9" s="142"/>
      <c r="N9" s="142"/>
      <c r="O9" s="142"/>
      <c r="P9" s="142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377"/>
    </row>
    <row r="10" spans="1:40" ht="12.75">
      <c r="A10" s="287"/>
      <c r="B10" s="319"/>
      <c r="C10" s="381"/>
      <c r="D10" s="333"/>
      <c r="E10" s="354"/>
      <c r="F10" s="379"/>
      <c r="G10" s="139" t="s">
        <v>116</v>
      </c>
      <c r="H10" s="140"/>
      <c r="I10" s="189"/>
      <c r="J10" s="142"/>
      <c r="K10" s="142"/>
      <c r="L10" s="142"/>
      <c r="M10" s="142"/>
      <c r="N10" s="142"/>
      <c r="O10" s="142"/>
      <c r="P10" s="142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377"/>
    </row>
    <row r="11" spans="1:40" ht="12.75">
      <c r="A11" s="287"/>
      <c r="B11" s="319"/>
      <c r="C11" s="381"/>
      <c r="D11" s="333"/>
      <c r="E11" s="354"/>
      <c r="F11" s="145" t="s">
        <v>114</v>
      </c>
      <c r="G11" s="139" t="s">
        <v>117</v>
      </c>
      <c r="H11" s="146">
        <f aca="true" t="shared" si="0" ref="H11:AM11">H5+H7+H9</f>
        <v>0</v>
      </c>
      <c r="I11" s="191">
        <f t="shared" si="0"/>
        <v>0</v>
      </c>
      <c r="J11" s="148">
        <f t="shared" si="0"/>
        <v>0</v>
      </c>
      <c r="K11" s="148">
        <f t="shared" si="0"/>
        <v>0</v>
      </c>
      <c r="L11" s="148">
        <f t="shared" si="0"/>
        <v>0</v>
      </c>
      <c r="M11" s="148">
        <f t="shared" si="0"/>
        <v>0</v>
      </c>
      <c r="N11" s="148">
        <f t="shared" si="0"/>
        <v>0</v>
      </c>
      <c r="O11" s="148">
        <f t="shared" si="0"/>
        <v>0</v>
      </c>
      <c r="P11" s="148">
        <f t="shared" si="0"/>
        <v>0</v>
      </c>
      <c r="Q11" s="148">
        <f t="shared" si="0"/>
        <v>0</v>
      </c>
      <c r="R11" s="148">
        <f t="shared" si="0"/>
        <v>0</v>
      </c>
      <c r="S11" s="148">
        <f t="shared" si="0"/>
        <v>0</v>
      </c>
      <c r="T11" s="148">
        <f t="shared" si="0"/>
        <v>0</v>
      </c>
      <c r="U11" s="148">
        <f t="shared" si="0"/>
        <v>0</v>
      </c>
      <c r="V11" s="148">
        <f t="shared" si="0"/>
        <v>0</v>
      </c>
      <c r="W11" s="148">
        <f t="shared" si="0"/>
        <v>0</v>
      </c>
      <c r="X11" s="148">
        <f t="shared" si="0"/>
        <v>0</v>
      </c>
      <c r="Y11" s="148">
        <f t="shared" si="0"/>
        <v>0</v>
      </c>
      <c r="Z11" s="148">
        <f t="shared" si="0"/>
        <v>0</v>
      </c>
      <c r="AA11" s="148">
        <f t="shared" si="0"/>
        <v>0</v>
      </c>
      <c r="AB11" s="148">
        <f t="shared" si="0"/>
        <v>0</v>
      </c>
      <c r="AC11" s="148">
        <f t="shared" si="0"/>
        <v>0</v>
      </c>
      <c r="AD11" s="148">
        <f t="shared" si="0"/>
        <v>0</v>
      </c>
      <c r="AE11" s="148">
        <f t="shared" si="0"/>
        <v>0</v>
      </c>
      <c r="AF11" s="148">
        <f t="shared" si="0"/>
        <v>0</v>
      </c>
      <c r="AG11" s="148">
        <f t="shared" si="0"/>
        <v>0</v>
      </c>
      <c r="AH11" s="148">
        <f t="shared" si="0"/>
        <v>0</v>
      </c>
      <c r="AI11" s="148">
        <f t="shared" si="0"/>
        <v>0</v>
      </c>
      <c r="AJ11" s="148">
        <f t="shared" si="0"/>
        <v>0</v>
      </c>
      <c r="AK11" s="148">
        <f t="shared" si="0"/>
        <v>0</v>
      </c>
      <c r="AL11" s="148">
        <f t="shared" si="0"/>
        <v>0</v>
      </c>
      <c r="AM11" s="149">
        <f t="shared" si="0"/>
        <v>0</v>
      </c>
      <c r="AN11" s="377"/>
    </row>
    <row r="12" spans="1:40" ht="13.5" thickBot="1">
      <c r="A12" s="287"/>
      <c r="B12" s="319"/>
      <c r="C12" s="381"/>
      <c r="D12" s="333"/>
      <c r="E12" s="354"/>
      <c r="F12" s="226">
        <f>F6+F9</f>
        <v>4300000</v>
      </c>
      <c r="G12" s="164" t="s">
        <v>118</v>
      </c>
      <c r="H12" s="151">
        <f aca="true" t="shared" si="1" ref="H12:AM12">H6+H8+H10</f>
        <v>0</v>
      </c>
      <c r="I12" s="193">
        <f t="shared" si="1"/>
        <v>1300000</v>
      </c>
      <c r="J12" s="166">
        <f t="shared" si="1"/>
        <v>3000000</v>
      </c>
      <c r="K12" s="166">
        <f t="shared" si="1"/>
        <v>0</v>
      </c>
      <c r="L12" s="166">
        <f t="shared" si="1"/>
        <v>0</v>
      </c>
      <c r="M12" s="166">
        <f t="shared" si="1"/>
        <v>0</v>
      </c>
      <c r="N12" s="166">
        <f t="shared" si="1"/>
        <v>0</v>
      </c>
      <c r="O12" s="166">
        <f t="shared" si="1"/>
        <v>0</v>
      </c>
      <c r="P12" s="166">
        <f t="shared" si="1"/>
        <v>0</v>
      </c>
      <c r="Q12" s="166">
        <f t="shared" si="1"/>
        <v>0</v>
      </c>
      <c r="R12" s="166">
        <f t="shared" si="1"/>
        <v>0</v>
      </c>
      <c r="S12" s="166">
        <f t="shared" si="1"/>
        <v>0</v>
      </c>
      <c r="T12" s="166">
        <f t="shared" si="1"/>
        <v>0</v>
      </c>
      <c r="U12" s="166">
        <f t="shared" si="1"/>
        <v>0</v>
      </c>
      <c r="V12" s="166">
        <f t="shared" si="1"/>
        <v>0</v>
      </c>
      <c r="W12" s="166">
        <f t="shared" si="1"/>
        <v>0</v>
      </c>
      <c r="X12" s="166">
        <f t="shared" si="1"/>
        <v>0</v>
      </c>
      <c r="Y12" s="166">
        <f t="shared" si="1"/>
        <v>0</v>
      </c>
      <c r="Z12" s="166">
        <f t="shared" si="1"/>
        <v>0</v>
      </c>
      <c r="AA12" s="166">
        <f t="shared" si="1"/>
        <v>0</v>
      </c>
      <c r="AB12" s="166">
        <f t="shared" si="1"/>
        <v>0</v>
      </c>
      <c r="AC12" s="166">
        <f t="shared" si="1"/>
        <v>0</v>
      </c>
      <c r="AD12" s="166">
        <f t="shared" si="1"/>
        <v>0</v>
      </c>
      <c r="AE12" s="166">
        <f t="shared" si="1"/>
        <v>0</v>
      </c>
      <c r="AF12" s="166">
        <f t="shared" si="1"/>
        <v>0</v>
      </c>
      <c r="AG12" s="166">
        <f t="shared" si="1"/>
        <v>0</v>
      </c>
      <c r="AH12" s="166">
        <f t="shared" si="1"/>
        <v>0</v>
      </c>
      <c r="AI12" s="166">
        <f t="shared" si="1"/>
        <v>0</v>
      </c>
      <c r="AJ12" s="166">
        <f t="shared" si="1"/>
        <v>0</v>
      </c>
      <c r="AK12" s="166">
        <f t="shared" si="1"/>
        <v>0</v>
      </c>
      <c r="AL12" s="166">
        <f t="shared" si="1"/>
        <v>0</v>
      </c>
      <c r="AM12" s="167">
        <f t="shared" si="1"/>
        <v>0</v>
      </c>
      <c r="AN12" s="378"/>
    </row>
    <row r="13" spans="1:40" ht="12.75">
      <c r="A13" s="286">
        <v>2</v>
      </c>
      <c r="B13" s="323" t="s">
        <v>194</v>
      </c>
      <c r="C13" s="380">
        <v>60004</v>
      </c>
      <c r="D13" s="332" t="s">
        <v>191</v>
      </c>
      <c r="E13" s="356">
        <v>2008</v>
      </c>
      <c r="F13" s="132" t="s">
        <v>106</v>
      </c>
      <c r="G13" s="133" t="s">
        <v>107</v>
      </c>
      <c r="H13" s="134"/>
      <c r="I13" s="227"/>
      <c r="J13" s="136"/>
      <c r="K13" s="136"/>
      <c r="L13" s="136"/>
      <c r="M13" s="136"/>
      <c r="N13" s="136"/>
      <c r="O13" s="136"/>
      <c r="P13" s="136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376">
        <f>SUM(J20:AM20)</f>
        <v>0</v>
      </c>
    </row>
    <row r="14" spans="1:40" ht="12.75">
      <c r="A14" s="287"/>
      <c r="B14" s="319"/>
      <c r="C14" s="381"/>
      <c r="D14" s="333"/>
      <c r="E14" s="354"/>
      <c r="F14" s="281">
        <f>SUM(H19:AM19)</f>
        <v>0</v>
      </c>
      <c r="G14" s="139" t="s">
        <v>108</v>
      </c>
      <c r="H14" s="140">
        <v>3890748</v>
      </c>
      <c r="I14" s="189">
        <f>945000+50000</f>
        <v>995000</v>
      </c>
      <c r="J14" s="142"/>
      <c r="K14" s="142"/>
      <c r="L14" s="142"/>
      <c r="M14" s="142"/>
      <c r="N14" s="142"/>
      <c r="O14" s="142"/>
      <c r="P14" s="142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377"/>
    </row>
    <row r="15" spans="1:40" ht="12.75">
      <c r="A15" s="287"/>
      <c r="B15" s="319"/>
      <c r="C15" s="381"/>
      <c r="D15" s="333"/>
      <c r="E15" s="354"/>
      <c r="F15" s="379"/>
      <c r="G15" s="139" t="s">
        <v>109</v>
      </c>
      <c r="H15" s="140"/>
      <c r="I15" s="189"/>
      <c r="J15" s="142"/>
      <c r="K15" s="142"/>
      <c r="L15" s="142"/>
      <c r="M15" s="142"/>
      <c r="N15" s="142"/>
      <c r="O15" s="142"/>
      <c r="P15" s="142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377"/>
    </row>
    <row r="16" spans="1:40" ht="12.75">
      <c r="A16" s="287"/>
      <c r="B16" s="319"/>
      <c r="C16" s="381"/>
      <c r="D16" s="333"/>
      <c r="E16" s="266"/>
      <c r="F16" s="145" t="s">
        <v>110</v>
      </c>
      <c r="G16" s="139" t="s">
        <v>111</v>
      </c>
      <c r="H16" s="140"/>
      <c r="I16" s="189"/>
      <c r="J16" s="142"/>
      <c r="K16" s="142"/>
      <c r="L16" s="142"/>
      <c r="M16" s="142"/>
      <c r="N16" s="142"/>
      <c r="O16" s="142"/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377"/>
    </row>
    <row r="17" spans="1:40" ht="12.75">
      <c r="A17" s="287"/>
      <c r="B17" s="319"/>
      <c r="C17" s="381"/>
      <c r="D17" s="333"/>
      <c r="E17" s="336">
        <v>2011</v>
      </c>
      <c r="F17" s="281">
        <f>SUM(H20:AM20)</f>
        <v>4885748</v>
      </c>
      <c r="G17" s="139" t="s">
        <v>115</v>
      </c>
      <c r="H17" s="140"/>
      <c r="I17" s="189"/>
      <c r="J17" s="142"/>
      <c r="K17" s="142"/>
      <c r="L17" s="142"/>
      <c r="M17" s="142"/>
      <c r="N17" s="142"/>
      <c r="O17" s="142"/>
      <c r="P17" s="142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377"/>
    </row>
    <row r="18" spans="1:40" ht="12.75">
      <c r="A18" s="287"/>
      <c r="B18" s="319"/>
      <c r="C18" s="381"/>
      <c r="D18" s="333"/>
      <c r="E18" s="354"/>
      <c r="F18" s="379"/>
      <c r="G18" s="139" t="s">
        <v>116</v>
      </c>
      <c r="H18" s="140"/>
      <c r="I18" s="189"/>
      <c r="J18" s="142"/>
      <c r="K18" s="142"/>
      <c r="L18" s="142"/>
      <c r="M18" s="142"/>
      <c r="N18" s="142"/>
      <c r="O18" s="142"/>
      <c r="P18" s="142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377"/>
    </row>
    <row r="19" spans="1:40" ht="12.75">
      <c r="A19" s="287"/>
      <c r="B19" s="319"/>
      <c r="C19" s="381"/>
      <c r="D19" s="333"/>
      <c r="E19" s="354"/>
      <c r="F19" s="145" t="s">
        <v>114</v>
      </c>
      <c r="G19" s="139" t="s">
        <v>117</v>
      </c>
      <c r="H19" s="146">
        <f aca="true" t="shared" si="2" ref="H19:AM19">H13+H15+H17</f>
        <v>0</v>
      </c>
      <c r="I19" s="191">
        <f t="shared" si="2"/>
        <v>0</v>
      </c>
      <c r="J19" s="148">
        <f t="shared" si="2"/>
        <v>0</v>
      </c>
      <c r="K19" s="148">
        <f t="shared" si="2"/>
        <v>0</v>
      </c>
      <c r="L19" s="148">
        <f t="shared" si="2"/>
        <v>0</v>
      </c>
      <c r="M19" s="148">
        <f t="shared" si="2"/>
        <v>0</v>
      </c>
      <c r="N19" s="148">
        <f t="shared" si="2"/>
        <v>0</v>
      </c>
      <c r="O19" s="148">
        <f t="shared" si="2"/>
        <v>0</v>
      </c>
      <c r="P19" s="148">
        <f t="shared" si="2"/>
        <v>0</v>
      </c>
      <c r="Q19" s="148">
        <f t="shared" si="2"/>
        <v>0</v>
      </c>
      <c r="R19" s="148">
        <f t="shared" si="2"/>
        <v>0</v>
      </c>
      <c r="S19" s="148">
        <f t="shared" si="2"/>
        <v>0</v>
      </c>
      <c r="T19" s="148">
        <f t="shared" si="2"/>
        <v>0</v>
      </c>
      <c r="U19" s="148">
        <f t="shared" si="2"/>
        <v>0</v>
      </c>
      <c r="V19" s="148">
        <f t="shared" si="2"/>
        <v>0</v>
      </c>
      <c r="W19" s="148">
        <f t="shared" si="2"/>
        <v>0</v>
      </c>
      <c r="X19" s="148">
        <f t="shared" si="2"/>
        <v>0</v>
      </c>
      <c r="Y19" s="148">
        <f t="shared" si="2"/>
        <v>0</v>
      </c>
      <c r="Z19" s="148">
        <f t="shared" si="2"/>
        <v>0</v>
      </c>
      <c r="AA19" s="148">
        <f t="shared" si="2"/>
        <v>0</v>
      </c>
      <c r="AB19" s="148">
        <f t="shared" si="2"/>
        <v>0</v>
      </c>
      <c r="AC19" s="148">
        <f t="shared" si="2"/>
        <v>0</v>
      </c>
      <c r="AD19" s="148">
        <f t="shared" si="2"/>
        <v>0</v>
      </c>
      <c r="AE19" s="148">
        <f t="shared" si="2"/>
        <v>0</v>
      </c>
      <c r="AF19" s="148">
        <f t="shared" si="2"/>
        <v>0</v>
      </c>
      <c r="AG19" s="148">
        <f t="shared" si="2"/>
        <v>0</v>
      </c>
      <c r="AH19" s="148">
        <f t="shared" si="2"/>
        <v>0</v>
      </c>
      <c r="AI19" s="148">
        <f t="shared" si="2"/>
        <v>0</v>
      </c>
      <c r="AJ19" s="148">
        <f t="shared" si="2"/>
        <v>0</v>
      </c>
      <c r="AK19" s="148">
        <f t="shared" si="2"/>
        <v>0</v>
      </c>
      <c r="AL19" s="148">
        <f t="shared" si="2"/>
        <v>0</v>
      </c>
      <c r="AM19" s="149">
        <f t="shared" si="2"/>
        <v>0</v>
      </c>
      <c r="AN19" s="377"/>
    </row>
    <row r="20" spans="1:40" ht="13.5" thickBot="1">
      <c r="A20" s="318"/>
      <c r="B20" s="320"/>
      <c r="C20" s="382"/>
      <c r="D20" s="333"/>
      <c r="E20" s="355"/>
      <c r="F20" s="226">
        <f>F14+F17</f>
        <v>4885748</v>
      </c>
      <c r="G20" s="150" t="s">
        <v>118</v>
      </c>
      <c r="H20" s="151">
        <f aca="true" t="shared" si="3" ref="H20:AM20">H14+H16+H18</f>
        <v>3890748</v>
      </c>
      <c r="I20" s="228">
        <f t="shared" si="3"/>
        <v>995000</v>
      </c>
      <c r="J20" s="153">
        <f t="shared" si="3"/>
        <v>0</v>
      </c>
      <c r="K20" s="153">
        <f t="shared" si="3"/>
        <v>0</v>
      </c>
      <c r="L20" s="153">
        <f t="shared" si="3"/>
        <v>0</v>
      </c>
      <c r="M20" s="153">
        <f t="shared" si="3"/>
        <v>0</v>
      </c>
      <c r="N20" s="153">
        <f t="shared" si="3"/>
        <v>0</v>
      </c>
      <c r="O20" s="153">
        <f t="shared" si="3"/>
        <v>0</v>
      </c>
      <c r="P20" s="153">
        <f t="shared" si="3"/>
        <v>0</v>
      </c>
      <c r="Q20" s="153">
        <f t="shared" si="3"/>
        <v>0</v>
      </c>
      <c r="R20" s="153">
        <f t="shared" si="3"/>
        <v>0</v>
      </c>
      <c r="S20" s="153">
        <f t="shared" si="3"/>
        <v>0</v>
      </c>
      <c r="T20" s="153">
        <f t="shared" si="3"/>
        <v>0</v>
      </c>
      <c r="U20" s="153">
        <f t="shared" si="3"/>
        <v>0</v>
      </c>
      <c r="V20" s="153">
        <f t="shared" si="3"/>
        <v>0</v>
      </c>
      <c r="W20" s="153">
        <f t="shared" si="3"/>
        <v>0</v>
      </c>
      <c r="X20" s="153">
        <f t="shared" si="3"/>
        <v>0</v>
      </c>
      <c r="Y20" s="153">
        <f t="shared" si="3"/>
        <v>0</v>
      </c>
      <c r="Z20" s="153">
        <f t="shared" si="3"/>
        <v>0</v>
      </c>
      <c r="AA20" s="153">
        <f t="shared" si="3"/>
        <v>0</v>
      </c>
      <c r="AB20" s="153">
        <f t="shared" si="3"/>
        <v>0</v>
      </c>
      <c r="AC20" s="153">
        <f t="shared" si="3"/>
        <v>0</v>
      </c>
      <c r="AD20" s="153">
        <f t="shared" si="3"/>
        <v>0</v>
      </c>
      <c r="AE20" s="153">
        <f t="shared" si="3"/>
        <v>0</v>
      </c>
      <c r="AF20" s="153">
        <f t="shared" si="3"/>
        <v>0</v>
      </c>
      <c r="AG20" s="153">
        <f t="shared" si="3"/>
        <v>0</v>
      </c>
      <c r="AH20" s="153">
        <f t="shared" si="3"/>
        <v>0</v>
      </c>
      <c r="AI20" s="153">
        <f t="shared" si="3"/>
        <v>0</v>
      </c>
      <c r="AJ20" s="153">
        <f t="shared" si="3"/>
        <v>0</v>
      </c>
      <c r="AK20" s="153">
        <f t="shared" si="3"/>
        <v>0</v>
      </c>
      <c r="AL20" s="153">
        <f t="shared" si="3"/>
        <v>0</v>
      </c>
      <c r="AM20" s="154">
        <f t="shared" si="3"/>
        <v>0</v>
      </c>
      <c r="AN20" s="378"/>
    </row>
    <row r="21" spans="1:40" ht="12.75" customHeight="1">
      <c r="A21" s="286">
        <v>3</v>
      </c>
      <c r="B21" s="323" t="s">
        <v>195</v>
      </c>
      <c r="C21" s="380">
        <v>60004</v>
      </c>
      <c r="D21" s="332" t="s">
        <v>191</v>
      </c>
      <c r="E21" s="354">
        <v>2011</v>
      </c>
      <c r="F21" s="132" t="s">
        <v>106</v>
      </c>
      <c r="G21" s="133" t="s">
        <v>107</v>
      </c>
      <c r="H21" s="134"/>
      <c r="I21" s="227"/>
      <c r="J21" s="136"/>
      <c r="K21" s="136"/>
      <c r="L21" s="136"/>
      <c r="M21" s="136"/>
      <c r="N21" s="136"/>
      <c r="O21" s="136"/>
      <c r="P21" s="136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376">
        <f>SUM(J28:AM28)</f>
        <v>40000000</v>
      </c>
    </row>
    <row r="22" spans="1:40" ht="12.75">
      <c r="A22" s="287"/>
      <c r="B22" s="319"/>
      <c r="C22" s="381"/>
      <c r="D22" s="333"/>
      <c r="E22" s="354"/>
      <c r="F22" s="281">
        <f>SUM(H27:AM27)</f>
        <v>0</v>
      </c>
      <c r="G22" s="139" t="s">
        <v>108</v>
      </c>
      <c r="H22" s="140"/>
      <c r="I22" s="189">
        <f>760000-600000</f>
        <v>160000</v>
      </c>
      <c r="J22" s="142"/>
      <c r="K22" s="142">
        <v>10000000</v>
      </c>
      <c r="L22" s="142">
        <v>20000000</v>
      </c>
      <c r="M22" s="142">
        <v>10000000</v>
      </c>
      <c r="N22" s="142"/>
      <c r="O22" s="142"/>
      <c r="P22" s="142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377"/>
    </row>
    <row r="23" spans="1:40" ht="12.75">
      <c r="A23" s="287"/>
      <c r="B23" s="319"/>
      <c r="C23" s="381"/>
      <c r="D23" s="333"/>
      <c r="E23" s="354"/>
      <c r="F23" s="379"/>
      <c r="G23" s="139" t="s">
        <v>109</v>
      </c>
      <c r="H23" s="140"/>
      <c r="I23" s="189"/>
      <c r="J23" s="142"/>
      <c r="K23" s="142"/>
      <c r="L23" s="142"/>
      <c r="M23" s="142"/>
      <c r="N23" s="142"/>
      <c r="O23" s="142"/>
      <c r="P23" s="142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377"/>
    </row>
    <row r="24" spans="1:40" ht="12.75">
      <c r="A24" s="287"/>
      <c r="B24" s="319"/>
      <c r="C24" s="381"/>
      <c r="D24" s="333"/>
      <c r="E24" s="266"/>
      <c r="F24" s="145" t="s">
        <v>110</v>
      </c>
      <c r="G24" s="139" t="s">
        <v>111</v>
      </c>
      <c r="H24" s="140"/>
      <c r="I24" s="189"/>
      <c r="J24" s="142"/>
      <c r="K24" s="142"/>
      <c r="L24" s="142"/>
      <c r="M24" s="142"/>
      <c r="N24" s="142"/>
      <c r="O24" s="142"/>
      <c r="P24" s="142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377"/>
    </row>
    <row r="25" spans="1:40" ht="12.75">
      <c r="A25" s="287"/>
      <c r="B25" s="319"/>
      <c r="C25" s="381"/>
      <c r="D25" s="333"/>
      <c r="E25" s="336">
        <v>2015</v>
      </c>
      <c r="F25" s="281">
        <f>SUM(H28:AM28)</f>
        <v>40160000</v>
      </c>
      <c r="G25" s="139" t="s">
        <v>115</v>
      </c>
      <c r="H25" s="140"/>
      <c r="I25" s="189"/>
      <c r="J25" s="142"/>
      <c r="K25" s="142"/>
      <c r="L25" s="142"/>
      <c r="M25" s="142"/>
      <c r="N25" s="142"/>
      <c r="O25" s="142"/>
      <c r="P25" s="142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377"/>
    </row>
    <row r="26" spans="1:40" ht="12.75">
      <c r="A26" s="287"/>
      <c r="B26" s="319"/>
      <c r="C26" s="381"/>
      <c r="D26" s="333"/>
      <c r="E26" s="354"/>
      <c r="F26" s="379"/>
      <c r="G26" s="139" t="s">
        <v>116</v>
      </c>
      <c r="H26" s="140"/>
      <c r="I26" s="189"/>
      <c r="J26" s="142"/>
      <c r="K26" s="142"/>
      <c r="L26" s="142"/>
      <c r="M26" s="142"/>
      <c r="N26" s="142"/>
      <c r="O26" s="142"/>
      <c r="P26" s="142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377"/>
    </row>
    <row r="27" spans="1:40" ht="12.75">
      <c r="A27" s="287"/>
      <c r="B27" s="319"/>
      <c r="C27" s="381"/>
      <c r="D27" s="333"/>
      <c r="E27" s="354"/>
      <c r="F27" s="145" t="s">
        <v>114</v>
      </c>
      <c r="G27" s="139" t="s">
        <v>117</v>
      </c>
      <c r="H27" s="146">
        <f aca="true" t="shared" si="4" ref="H27:AM27">H21+H23+H25</f>
        <v>0</v>
      </c>
      <c r="I27" s="191">
        <f t="shared" si="4"/>
        <v>0</v>
      </c>
      <c r="J27" s="148">
        <f t="shared" si="4"/>
        <v>0</v>
      </c>
      <c r="K27" s="148">
        <f t="shared" si="4"/>
        <v>0</v>
      </c>
      <c r="L27" s="148">
        <f t="shared" si="4"/>
        <v>0</v>
      </c>
      <c r="M27" s="148">
        <f t="shared" si="4"/>
        <v>0</v>
      </c>
      <c r="N27" s="148">
        <f t="shared" si="4"/>
        <v>0</v>
      </c>
      <c r="O27" s="148">
        <f t="shared" si="4"/>
        <v>0</v>
      </c>
      <c r="P27" s="148">
        <f t="shared" si="4"/>
        <v>0</v>
      </c>
      <c r="Q27" s="148">
        <f t="shared" si="4"/>
        <v>0</v>
      </c>
      <c r="R27" s="148">
        <f t="shared" si="4"/>
        <v>0</v>
      </c>
      <c r="S27" s="148">
        <f t="shared" si="4"/>
        <v>0</v>
      </c>
      <c r="T27" s="148">
        <f t="shared" si="4"/>
        <v>0</v>
      </c>
      <c r="U27" s="148">
        <f t="shared" si="4"/>
        <v>0</v>
      </c>
      <c r="V27" s="148">
        <f t="shared" si="4"/>
        <v>0</v>
      </c>
      <c r="W27" s="148">
        <f t="shared" si="4"/>
        <v>0</v>
      </c>
      <c r="X27" s="148">
        <f t="shared" si="4"/>
        <v>0</v>
      </c>
      <c r="Y27" s="148">
        <f t="shared" si="4"/>
        <v>0</v>
      </c>
      <c r="Z27" s="148">
        <f t="shared" si="4"/>
        <v>0</v>
      </c>
      <c r="AA27" s="148">
        <f t="shared" si="4"/>
        <v>0</v>
      </c>
      <c r="AB27" s="148">
        <f t="shared" si="4"/>
        <v>0</v>
      </c>
      <c r="AC27" s="148">
        <f t="shared" si="4"/>
        <v>0</v>
      </c>
      <c r="AD27" s="148">
        <f t="shared" si="4"/>
        <v>0</v>
      </c>
      <c r="AE27" s="148">
        <f t="shared" si="4"/>
        <v>0</v>
      </c>
      <c r="AF27" s="148">
        <f t="shared" si="4"/>
        <v>0</v>
      </c>
      <c r="AG27" s="148">
        <f t="shared" si="4"/>
        <v>0</v>
      </c>
      <c r="AH27" s="148">
        <f t="shared" si="4"/>
        <v>0</v>
      </c>
      <c r="AI27" s="148">
        <f t="shared" si="4"/>
        <v>0</v>
      </c>
      <c r="AJ27" s="148">
        <f t="shared" si="4"/>
        <v>0</v>
      </c>
      <c r="AK27" s="148">
        <f t="shared" si="4"/>
        <v>0</v>
      </c>
      <c r="AL27" s="148">
        <f t="shared" si="4"/>
        <v>0</v>
      </c>
      <c r="AM27" s="149">
        <f t="shared" si="4"/>
        <v>0</v>
      </c>
      <c r="AN27" s="377"/>
    </row>
    <row r="28" spans="1:40" ht="13.5" thickBot="1">
      <c r="A28" s="318"/>
      <c r="B28" s="320"/>
      <c r="C28" s="382"/>
      <c r="D28" s="333"/>
      <c r="E28" s="355"/>
      <c r="F28" s="226">
        <f>F22+F25</f>
        <v>40160000</v>
      </c>
      <c r="G28" s="150" t="s">
        <v>118</v>
      </c>
      <c r="H28" s="151">
        <f aca="true" t="shared" si="5" ref="H28:AM28">H22+H24+H26</f>
        <v>0</v>
      </c>
      <c r="I28" s="228">
        <f t="shared" si="5"/>
        <v>160000</v>
      </c>
      <c r="J28" s="153">
        <f t="shared" si="5"/>
        <v>0</v>
      </c>
      <c r="K28" s="153">
        <f t="shared" si="5"/>
        <v>10000000</v>
      </c>
      <c r="L28" s="153">
        <f t="shared" si="5"/>
        <v>20000000</v>
      </c>
      <c r="M28" s="153">
        <f t="shared" si="5"/>
        <v>10000000</v>
      </c>
      <c r="N28" s="153">
        <f t="shared" si="5"/>
        <v>0</v>
      </c>
      <c r="O28" s="153">
        <f t="shared" si="5"/>
        <v>0</v>
      </c>
      <c r="P28" s="153">
        <f t="shared" si="5"/>
        <v>0</v>
      </c>
      <c r="Q28" s="153">
        <f t="shared" si="5"/>
        <v>0</v>
      </c>
      <c r="R28" s="153">
        <f t="shared" si="5"/>
        <v>0</v>
      </c>
      <c r="S28" s="153">
        <f t="shared" si="5"/>
        <v>0</v>
      </c>
      <c r="T28" s="153">
        <f t="shared" si="5"/>
        <v>0</v>
      </c>
      <c r="U28" s="153">
        <f t="shared" si="5"/>
        <v>0</v>
      </c>
      <c r="V28" s="153">
        <f t="shared" si="5"/>
        <v>0</v>
      </c>
      <c r="W28" s="153">
        <f t="shared" si="5"/>
        <v>0</v>
      </c>
      <c r="X28" s="153">
        <f t="shared" si="5"/>
        <v>0</v>
      </c>
      <c r="Y28" s="153">
        <f t="shared" si="5"/>
        <v>0</v>
      </c>
      <c r="Z28" s="153">
        <f t="shared" si="5"/>
        <v>0</v>
      </c>
      <c r="AA28" s="153">
        <f t="shared" si="5"/>
        <v>0</v>
      </c>
      <c r="AB28" s="153">
        <f t="shared" si="5"/>
        <v>0</v>
      </c>
      <c r="AC28" s="153">
        <f t="shared" si="5"/>
        <v>0</v>
      </c>
      <c r="AD28" s="153">
        <f t="shared" si="5"/>
        <v>0</v>
      </c>
      <c r="AE28" s="153">
        <f t="shared" si="5"/>
        <v>0</v>
      </c>
      <c r="AF28" s="153">
        <f t="shared" si="5"/>
        <v>0</v>
      </c>
      <c r="AG28" s="153">
        <f t="shared" si="5"/>
        <v>0</v>
      </c>
      <c r="AH28" s="153">
        <f t="shared" si="5"/>
        <v>0</v>
      </c>
      <c r="AI28" s="153">
        <f t="shared" si="5"/>
        <v>0</v>
      </c>
      <c r="AJ28" s="153">
        <f t="shared" si="5"/>
        <v>0</v>
      </c>
      <c r="AK28" s="153">
        <f t="shared" si="5"/>
        <v>0</v>
      </c>
      <c r="AL28" s="153">
        <f t="shared" si="5"/>
        <v>0</v>
      </c>
      <c r="AM28" s="154">
        <f t="shared" si="5"/>
        <v>0</v>
      </c>
      <c r="AN28" s="378"/>
    </row>
    <row r="29" spans="1:40" ht="12.75" customHeight="1">
      <c r="A29" s="286">
        <v>4</v>
      </c>
      <c r="B29" s="323" t="s">
        <v>196</v>
      </c>
      <c r="C29" s="380">
        <v>60015</v>
      </c>
      <c r="D29" s="332" t="s">
        <v>191</v>
      </c>
      <c r="E29" s="356">
        <v>2010</v>
      </c>
      <c r="F29" s="132" t="s">
        <v>106</v>
      </c>
      <c r="G29" s="133" t="s">
        <v>107</v>
      </c>
      <c r="H29" s="134"/>
      <c r="I29" s="227"/>
      <c r="J29" s="136"/>
      <c r="K29" s="136"/>
      <c r="L29" s="136"/>
      <c r="M29" s="136"/>
      <c r="N29" s="136"/>
      <c r="O29" s="136"/>
      <c r="P29" s="136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376">
        <f>SUM(J36:AM36)</f>
        <v>1700000</v>
      </c>
    </row>
    <row r="30" spans="1:40" ht="12.75">
      <c r="A30" s="287"/>
      <c r="B30" s="319"/>
      <c r="C30" s="381"/>
      <c r="D30" s="333"/>
      <c r="E30" s="354"/>
      <c r="F30" s="281">
        <f>SUM(H35:AM35)</f>
        <v>0</v>
      </c>
      <c r="G30" s="139" t="s">
        <v>108</v>
      </c>
      <c r="H30" s="140">
        <v>200000</v>
      </c>
      <c r="I30" s="189">
        <f>2300000-1500000</f>
        <v>800000</v>
      </c>
      <c r="J30" s="142">
        <v>1700000</v>
      </c>
      <c r="K30" s="142"/>
      <c r="L30" s="142"/>
      <c r="M30" s="142"/>
      <c r="N30" s="142"/>
      <c r="O30" s="142"/>
      <c r="P30" s="142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377"/>
    </row>
    <row r="31" spans="1:40" ht="12.75">
      <c r="A31" s="287"/>
      <c r="B31" s="319"/>
      <c r="C31" s="381"/>
      <c r="D31" s="333"/>
      <c r="E31" s="354"/>
      <c r="F31" s="379"/>
      <c r="G31" s="139" t="s">
        <v>109</v>
      </c>
      <c r="H31" s="140"/>
      <c r="I31" s="189"/>
      <c r="J31" s="142"/>
      <c r="K31" s="142"/>
      <c r="L31" s="142"/>
      <c r="M31" s="142"/>
      <c r="N31" s="142"/>
      <c r="O31" s="142"/>
      <c r="P31" s="142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377"/>
    </row>
    <row r="32" spans="1:40" ht="12.75">
      <c r="A32" s="287"/>
      <c r="B32" s="319"/>
      <c r="C32" s="381"/>
      <c r="D32" s="333"/>
      <c r="E32" s="266"/>
      <c r="F32" s="145" t="s">
        <v>110</v>
      </c>
      <c r="G32" s="139" t="s">
        <v>111</v>
      </c>
      <c r="H32" s="140"/>
      <c r="I32" s="189"/>
      <c r="J32" s="142"/>
      <c r="K32" s="142"/>
      <c r="L32" s="142"/>
      <c r="M32" s="142"/>
      <c r="N32" s="142"/>
      <c r="O32" s="142"/>
      <c r="P32" s="142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377"/>
    </row>
    <row r="33" spans="1:40" ht="12.75">
      <c r="A33" s="287"/>
      <c r="B33" s="319"/>
      <c r="C33" s="381"/>
      <c r="D33" s="333"/>
      <c r="E33" s="336">
        <v>2011</v>
      </c>
      <c r="F33" s="281">
        <f>SUM(H36:AM36)</f>
        <v>2700000</v>
      </c>
      <c r="G33" s="139" t="s">
        <v>115</v>
      </c>
      <c r="H33" s="140"/>
      <c r="I33" s="189"/>
      <c r="J33" s="142"/>
      <c r="K33" s="142"/>
      <c r="L33" s="142"/>
      <c r="M33" s="142"/>
      <c r="N33" s="142"/>
      <c r="O33" s="142"/>
      <c r="P33" s="142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377"/>
    </row>
    <row r="34" spans="1:40" ht="12.75">
      <c r="A34" s="287"/>
      <c r="B34" s="319"/>
      <c r="C34" s="381"/>
      <c r="D34" s="333"/>
      <c r="E34" s="354"/>
      <c r="F34" s="379"/>
      <c r="G34" s="139" t="s">
        <v>116</v>
      </c>
      <c r="H34" s="140"/>
      <c r="I34" s="189"/>
      <c r="J34" s="142"/>
      <c r="K34" s="142"/>
      <c r="L34" s="142"/>
      <c r="M34" s="142"/>
      <c r="N34" s="142"/>
      <c r="O34" s="142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377"/>
    </row>
    <row r="35" spans="1:40" ht="12.75">
      <c r="A35" s="287"/>
      <c r="B35" s="319"/>
      <c r="C35" s="381"/>
      <c r="D35" s="333"/>
      <c r="E35" s="354"/>
      <c r="F35" s="145" t="s">
        <v>114</v>
      </c>
      <c r="G35" s="139" t="s">
        <v>117</v>
      </c>
      <c r="H35" s="146">
        <f aca="true" t="shared" si="6" ref="H35:AM35">H29+H31+H33</f>
        <v>0</v>
      </c>
      <c r="I35" s="191">
        <f t="shared" si="6"/>
        <v>0</v>
      </c>
      <c r="J35" s="148">
        <f t="shared" si="6"/>
        <v>0</v>
      </c>
      <c r="K35" s="148">
        <f t="shared" si="6"/>
        <v>0</v>
      </c>
      <c r="L35" s="148">
        <f t="shared" si="6"/>
        <v>0</v>
      </c>
      <c r="M35" s="148">
        <f t="shared" si="6"/>
        <v>0</v>
      </c>
      <c r="N35" s="148">
        <f t="shared" si="6"/>
        <v>0</v>
      </c>
      <c r="O35" s="148">
        <f t="shared" si="6"/>
        <v>0</v>
      </c>
      <c r="P35" s="148">
        <f t="shared" si="6"/>
        <v>0</v>
      </c>
      <c r="Q35" s="148">
        <f t="shared" si="6"/>
        <v>0</v>
      </c>
      <c r="R35" s="148">
        <f t="shared" si="6"/>
        <v>0</v>
      </c>
      <c r="S35" s="148">
        <f t="shared" si="6"/>
        <v>0</v>
      </c>
      <c r="T35" s="148">
        <f t="shared" si="6"/>
        <v>0</v>
      </c>
      <c r="U35" s="148">
        <f t="shared" si="6"/>
        <v>0</v>
      </c>
      <c r="V35" s="148">
        <f t="shared" si="6"/>
        <v>0</v>
      </c>
      <c r="W35" s="148">
        <f t="shared" si="6"/>
        <v>0</v>
      </c>
      <c r="X35" s="148">
        <f t="shared" si="6"/>
        <v>0</v>
      </c>
      <c r="Y35" s="148">
        <f t="shared" si="6"/>
        <v>0</v>
      </c>
      <c r="Z35" s="148">
        <f t="shared" si="6"/>
        <v>0</v>
      </c>
      <c r="AA35" s="148">
        <f t="shared" si="6"/>
        <v>0</v>
      </c>
      <c r="AB35" s="148">
        <f t="shared" si="6"/>
        <v>0</v>
      </c>
      <c r="AC35" s="148">
        <f t="shared" si="6"/>
        <v>0</v>
      </c>
      <c r="AD35" s="148">
        <f t="shared" si="6"/>
        <v>0</v>
      </c>
      <c r="AE35" s="148">
        <f t="shared" si="6"/>
        <v>0</v>
      </c>
      <c r="AF35" s="148">
        <f t="shared" si="6"/>
        <v>0</v>
      </c>
      <c r="AG35" s="148">
        <f t="shared" si="6"/>
        <v>0</v>
      </c>
      <c r="AH35" s="148">
        <f t="shared" si="6"/>
        <v>0</v>
      </c>
      <c r="AI35" s="148">
        <f t="shared" si="6"/>
        <v>0</v>
      </c>
      <c r="AJ35" s="148">
        <f t="shared" si="6"/>
        <v>0</v>
      </c>
      <c r="AK35" s="148">
        <f t="shared" si="6"/>
        <v>0</v>
      </c>
      <c r="AL35" s="148">
        <f t="shared" si="6"/>
        <v>0</v>
      </c>
      <c r="AM35" s="148">
        <f t="shared" si="6"/>
        <v>0</v>
      </c>
      <c r="AN35" s="377"/>
    </row>
    <row r="36" spans="1:40" ht="13.5" thickBot="1">
      <c r="A36" s="318"/>
      <c r="B36" s="320"/>
      <c r="C36" s="382"/>
      <c r="D36" s="334"/>
      <c r="E36" s="355"/>
      <c r="F36" s="226">
        <f>F30+F33</f>
        <v>2700000</v>
      </c>
      <c r="G36" s="150" t="s">
        <v>118</v>
      </c>
      <c r="H36" s="151">
        <f aca="true" t="shared" si="7" ref="H36:AM36">H30+H32+H34</f>
        <v>200000</v>
      </c>
      <c r="I36" s="228">
        <f t="shared" si="7"/>
        <v>800000</v>
      </c>
      <c r="J36" s="153">
        <f t="shared" si="7"/>
        <v>1700000</v>
      </c>
      <c r="K36" s="153">
        <f t="shared" si="7"/>
        <v>0</v>
      </c>
      <c r="L36" s="153">
        <f t="shared" si="7"/>
        <v>0</v>
      </c>
      <c r="M36" s="153">
        <f t="shared" si="7"/>
        <v>0</v>
      </c>
      <c r="N36" s="153">
        <f t="shared" si="7"/>
        <v>0</v>
      </c>
      <c r="O36" s="153">
        <f t="shared" si="7"/>
        <v>0</v>
      </c>
      <c r="P36" s="153">
        <f t="shared" si="7"/>
        <v>0</v>
      </c>
      <c r="Q36" s="153">
        <f t="shared" si="7"/>
        <v>0</v>
      </c>
      <c r="R36" s="153">
        <f t="shared" si="7"/>
        <v>0</v>
      </c>
      <c r="S36" s="153">
        <f t="shared" si="7"/>
        <v>0</v>
      </c>
      <c r="T36" s="153">
        <f t="shared" si="7"/>
        <v>0</v>
      </c>
      <c r="U36" s="153">
        <f t="shared" si="7"/>
        <v>0</v>
      </c>
      <c r="V36" s="153">
        <f t="shared" si="7"/>
        <v>0</v>
      </c>
      <c r="W36" s="153">
        <f t="shared" si="7"/>
        <v>0</v>
      </c>
      <c r="X36" s="153">
        <f t="shared" si="7"/>
        <v>0</v>
      </c>
      <c r="Y36" s="153">
        <f t="shared" si="7"/>
        <v>0</v>
      </c>
      <c r="Z36" s="153">
        <f t="shared" si="7"/>
        <v>0</v>
      </c>
      <c r="AA36" s="153">
        <f t="shared" si="7"/>
        <v>0</v>
      </c>
      <c r="AB36" s="153">
        <f t="shared" si="7"/>
        <v>0</v>
      </c>
      <c r="AC36" s="153">
        <f t="shared" si="7"/>
        <v>0</v>
      </c>
      <c r="AD36" s="153">
        <f t="shared" si="7"/>
        <v>0</v>
      </c>
      <c r="AE36" s="153">
        <f t="shared" si="7"/>
        <v>0</v>
      </c>
      <c r="AF36" s="153">
        <f t="shared" si="7"/>
        <v>0</v>
      </c>
      <c r="AG36" s="153">
        <f t="shared" si="7"/>
        <v>0</v>
      </c>
      <c r="AH36" s="153">
        <f t="shared" si="7"/>
        <v>0</v>
      </c>
      <c r="AI36" s="153">
        <f t="shared" si="7"/>
        <v>0</v>
      </c>
      <c r="AJ36" s="153">
        <f t="shared" si="7"/>
        <v>0</v>
      </c>
      <c r="AK36" s="153">
        <f t="shared" si="7"/>
        <v>0</v>
      </c>
      <c r="AL36" s="153">
        <f t="shared" si="7"/>
        <v>0</v>
      </c>
      <c r="AM36" s="153">
        <f t="shared" si="7"/>
        <v>0</v>
      </c>
      <c r="AN36" s="378"/>
    </row>
    <row r="37" spans="1:40" ht="12.75" customHeight="1">
      <c r="A37" s="286">
        <v>5</v>
      </c>
      <c r="B37" s="323" t="s">
        <v>197</v>
      </c>
      <c r="C37" s="380">
        <v>60015</v>
      </c>
      <c r="D37" s="332" t="s">
        <v>191</v>
      </c>
      <c r="E37" s="356">
        <v>2010</v>
      </c>
      <c r="F37" s="132" t="s">
        <v>106</v>
      </c>
      <c r="G37" s="133" t="s">
        <v>107</v>
      </c>
      <c r="H37" s="134"/>
      <c r="I37" s="227"/>
      <c r="J37" s="136"/>
      <c r="K37" s="136"/>
      <c r="L37" s="136"/>
      <c r="M37" s="136"/>
      <c r="N37" s="136"/>
      <c r="O37" s="136"/>
      <c r="P37" s="136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376">
        <f>SUM(J44:AM44)</f>
        <v>4500000</v>
      </c>
    </row>
    <row r="38" spans="1:40" ht="12.75">
      <c r="A38" s="287"/>
      <c r="B38" s="319"/>
      <c r="C38" s="381"/>
      <c r="D38" s="333"/>
      <c r="E38" s="354"/>
      <c r="F38" s="281">
        <f>SUM(H43:AM43)</f>
        <v>0</v>
      </c>
      <c r="G38" s="139" t="s">
        <v>108</v>
      </c>
      <c r="H38" s="140">
        <v>500000</v>
      </c>
      <c r="I38" s="189">
        <f>2500000+450000-500000</f>
        <v>2450000</v>
      </c>
      <c r="J38" s="142">
        <v>2500000</v>
      </c>
      <c r="K38" s="142">
        <v>2000000</v>
      </c>
      <c r="L38" s="142"/>
      <c r="M38" s="142"/>
      <c r="N38" s="142"/>
      <c r="O38" s="142"/>
      <c r="P38" s="142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377"/>
    </row>
    <row r="39" spans="1:40" ht="12.75">
      <c r="A39" s="287"/>
      <c r="B39" s="319"/>
      <c r="C39" s="381"/>
      <c r="D39" s="333"/>
      <c r="E39" s="354"/>
      <c r="F39" s="379"/>
      <c r="G39" s="139" t="s">
        <v>109</v>
      </c>
      <c r="H39" s="140"/>
      <c r="I39" s="189"/>
      <c r="J39" s="142"/>
      <c r="K39" s="142"/>
      <c r="L39" s="142"/>
      <c r="M39" s="142"/>
      <c r="N39" s="142"/>
      <c r="O39" s="142"/>
      <c r="P39" s="142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377"/>
    </row>
    <row r="40" spans="1:40" ht="12.75">
      <c r="A40" s="287"/>
      <c r="B40" s="319"/>
      <c r="C40" s="381"/>
      <c r="D40" s="333"/>
      <c r="E40" s="266"/>
      <c r="F40" s="145" t="s">
        <v>110</v>
      </c>
      <c r="G40" s="139" t="s">
        <v>111</v>
      </c>
      <c r="H40" s="140"/>
      <c r="I40" s="189"/>
      <c r="J40" s="142"/>
      <c r="K40" s="142"/>
      <c r="L40" s="142"/>
      <c r="M40" s="142"/>
      <c r="N40" s="142"/>
      <c r="O40" s="142"/>
      <c r="P40" s="142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377"/>
    </row>
    <row r="41" spans="1:40" ht="12.75">
      <c r="A41" s="287"/>
      <c r="B41" s="319"/>
      <c r="C41" s="381"/>
      <c r="D41" s="333"/>
      <c r="E41" s="336">
        <v>2013</v>
      </c>
      <c r="F41" s="281">
        <f>SUM(H44:AM44)</f>
        <v>7450000</v>
      </c>
      <c r="G41" s="139" t="s">
        <v>115</v>
      </c>
      <c r="H41" s="140"/>
      <c r="I41" s="189"/>
      <c r="J41" s="142"/>
      <c r="K41" s="142"/>
      <c r="L41" s="142"/>
      <c r="M41" s="142"/>
      <c r="N41" s="142"/>
      <c r="O41" s="142"/>
      <c r="P41" s="142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377"/>
    </row>
    <row r="42" spans="1:40" ht="12.75">
      <c r="A42" s="287"/>
      <c r="B42" s="319"/>
      <c r="C42" s="381"/>
      <c r="D42" s="333"/>
      <c r="E42" s="354"/>
      <c r="F42" s="379"/>
      <c r="G42" s="139" t="s">
        <v>116</v>
      </c>
      <c r="H42" s="140"/>
      <c r="I42" s="189"/>
      <c r="J42" s="142"/>
      <c r="K42" s="142"/>
      <c r="L42" s="142"/>
      <c r="M42" s="142"/>
      <c r="N42" s="142"/>
      <c r="O42" s="142"/>
      <c r="P42" s="142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377"/>
    </row>
    <row r="43" spans="1:40" ht="12.75">
      <c r="A43" s="287"/>
      <c r="B43" s="319"/>
      <c r="C43" s="381"/>
      <c r="D43" s="333"/>
      <c r="E43" s="354"/>
      <c r="F43" s="145" t="s">
        <v>114</v>
      </c>
      <c r="G43" s="139" t="s">
        <v>117</v>
      </c>
      <c r="H43" s="146">
        <f aca="true" t="shared" si="8" ref="H43:AM43">H37+H39+H41</f>
        <v>0</v>
      </c>
      <c r="I43" s="191">
        <f t="shared" si="8"/>
        <v>0</v>
      </c>
      <c r="J43" s="148">
        <f t="shared" si="8"/>
        <v>0</v>
      </c>
      <c r="K43" s="148">
        <f t="shared" si="8"/>
        <v>0</v>
      </c>
      <c r="L43" s="148">
        <f t="shared" si="8"/>
        <v>0</v>
      </c>
      <c r="M43" s="148">
        <f t="shared" si="8"/>
        <v>0</v>
      </c>
      <c r="N43" s="148">
        <f t="shared" si="8"/>
        <v>0</v>
      </c>
      <c r="O43" s="148">
        <f t="shared" si="8"/>
        <v>0</v>
      </c>
      <c r="P43" s="148">
        <f t="shared" si="8"/>
        <v>0</v>
      </c>
      <c r="Q43" s="148">
        <f t="shared" si="8"/>
        <v>0</v>
      </c>
      <c r="R43" s="148">
        <f t="shared" si="8"/>
        <v>0</v>
      </c>
      <c r="S43" s="148">
        <f t="shared" si="8"/>
        <v>0</v>
      </c>
      <c r="T43" s="148">
        <f t="shared" si="8"/>
        <v>0</v>
      </c>
      <c r="U43" s="148">
        <f t="shared" si="8"/>
        <v>0</v>
      </c>
      <c r="V43" s="148">
        <f t="shared" si="8"/>
        <v>0</v>
      </c>
      <c r="W43" s="148">
        <f t="shared" si="8"/>
        <v>0</v>
      </c>
      <c r="X43" s="148">
        <f t="shared" si="8"/>
        <v>0</v>
      </c>
      <c r="Y43" s="148">
        <f t="shared" si="8"/>
        <v>0</v>
      </c>
      <c r="Z43" s="148">
        <f t="shared" si="8"/>
        <v>0</v>
      </c>
      <c r="AA43" s="148">
        <f t="shared" si="8"/>
        <v>0</v>
      </c>
      <c r="AB43" s="148">
        <f t="shared" si="8"/>
        <v>0</v>
      </c>
      <c r="AC43" s="148">
        <f t="shared" si="8"/>
        <v>0</v>
      </c>
      <c r="AD43" s="148">
        <f t="shared" si="8"/>
        <v>0</v>
      </c>
      <c r="AE43" s="148">
        <f t="shared" si="8"/>
        <v>0</v>
      </c>
      <c r="AF43" s="148">
        <f t="shared" si="8"/>
        <v>0</v>
      </c>
      <c r="AG43" s="148">
        <f t="shared" si="8"/>
        <v>0</v>
      </c>
      <c r="AH43" s="148">
        <f t="shared" si="8"/>
        <v>0</v>
      </c>
      <c r="AI43" s="148">
        <f t="shared" si="8"/>
        <v>0</v>
      </c>
      <c r="AJ43" s="148">
        <f t="shared" si="8"/>
        <v>0</v>
      </c>
      <c r="AK43" s="148">
        <f t="shared" si="8"/>
        <v>0</v>
      </c>
      <c r="AL43" s="148">
        <f t="shared" si="8"/>
        <v>0</v>
      </c>
      <c r="AM43" s="148">
        <f t="shared" si="8"/>
        <v>0</v>
      </c>
      <c r="AN43" s="377"/>
    </row>
    <row r="44" spans="1:40" ht="13.5" thickBot="1">
      <c r="A44" s="318"/>
      <c r="B44" s="320"/>
      <c r="C44" s="382"/>
      <c r="D44" s="334"/>
      <c r="E44" s="355"/>
      <c r="F44" s="226">
        <f>F38+F41</f>
        <v>7450000</v>
      </c>
      <c r="G44" s="150" t="s">
        <v>118</v>
      </c>
      <c r="H44" s="151">
        <f aca="true" t="shared" si="9" ref="H44:AM44">H38+H40+H42</f>
        <v>500000</v>
      </c>
      <c r="I44" s="228">
        <f t="shared" si="9"/>
        <v>2450000</v>
      </c>
      <c r="J44" s="153">
        <f t="shared" si="9"/>
        <v>2500000</v>
      </c>
      <c r="K44" s="153">
        <f t="shared" si="9"/>
        <v>2000000</v>
      </c>
      <c r="L44" s="153">
        <f t="shared" si="9"/>
        <v>0</v>
      </c>
      <c r="M44" s="153">
        <f t="shared" si="9"/>
        <v>0</v>
      </c>
      <c r="N44" s="153">
        <f t="shared" si="9"/>
        <v>0</v>
      </c>
      <c r="O44" s="153">
        <f t="shared" si="9"/>
        <v>0</v>
      </c>
      <c r="P44" s="153">
        <f t="shared" si="9"/>
        <v>0</v>
      </c>
      <c r="Q44" s="153">
        <f t="shared" si="9"/>
        <v>0</v>
      </c>
      <c r="R44" s="153">
        <f t="shared" si="9"/>
        <v>0</v>
      </c>
      <c r="S44" s="153">
        <f t="shared" si="9"/>
        <v>0</v>
      </c>
      <c r="T44" s="153">
        <f t="shared" si="9"/>
        <v>0</v>
      </c>
      <c r="U44" s="153">
        <f t="shared" si="9"/>
        <v>0</v>
      </c>
      <c r="V44" s="153">
        <f t="shared" si="9"/>
        <v>0</v>
      </c>
      <c r="W44" s="153">
        <f t="shared" si="9"/>
        <v>0</v>
      </c>
      <c r="X44" s="153">
        <f t="shared" si="9"/>
        <v>0</v>
      </c>
      <c r="Y44" s="153">
        <f t="shared" si="9"/>
        <v>0</v>
      </c>
      <c r="Z44" s="153">
        <f t="shared" si="9"/>
        <v>0</v>
      </c>
      <c r="AA44" s="153">
        <f t="shared" si="9"/>
        <v>0</v>
      </c>
      <c r="AB44" s="153">
        <f t="shared" si="9"/>
        <v>0</v>
      </c>
      <c r="AC44" s="153">
        <f t="shared" si="9"/>
        <v>0</v>
      </c>
      <c r="AD44" s="153">
        <f t="shared" si="9"/>
        <v>0</v>
      </c>
      <c r="AE44" s="153">
        <f t="shared" si="9"/>
        <v>0</v>
      </c>
      <c r="AF44" s="153">
        <f t="shared" si="9"/>
        <v>0</v>
      </c>
      <c r="AG44" s="153">
        <f t="shared" si="9"/>
        <v>0</v>
      </c>
      <c r="AH44" s="153">
        <f t="shared" si="9"/>
        <v>0</v>
      </c>
      <c r="AI44" s="153">
        <f t="shared" si="9"/>
        <v>0</v>
      </c>
      <c r="AJ44" s="153">
        <f t="shared" si="9"/>
        <v>0</v>
      </c>
      <c r="AK44" s="153">
        <f t="shared" si="9"/>
        <v>0</v>
      </c>
      <c r="AL44" s="153">
        <f t="shared" si="9"/>
        <v>0</v>
      </c>
      <c r="AM44" s="153">
        <f t="shared" si="9"/>
        <v>0</v>
      </c>
      <c r="AN44" s="378"/>
    </row>
    <row r="45" spans="1:40" ht="12.75" customHeight="1" hidden="1">
      <c r="A45" s="286">
        <v>6</v>
      </c>
      <c r="B45" s="323"/>
      <c r="C45" s="380"/>
      <c r="D45" s="332"/>
      <c r="E45" s="356"/>
      <c r="F45" s="132" t="s">
        <v>106</v>
      </c>
      <c r="G45" s="133" t="s">
        <v>107</v>
      </c>
      <c r="H45" s="134"/>
      <c r="I45" s="227"/>
      <c r="J45" s="136"/>
      <c r="K45" s="136"/>
      <c r="L45" s="136"/>
      <c r="M45" s="136"/>
      <c r="N45" s="136"/>
      <c r="O45" s="136"/>
      <c r="P45" s="136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376">
        <f>SUM(J51:AM51)</f>
        <v>0</v>
      </c>
    </row>
    <row r="46" spans="1:40" ht="12.75" hidden="1">
      <c r="A46" s="287"/>
      <c r="B46" s="319"/>
      <c r="C46" s="381"/>
      <c r="D46" s="333"/>
      <c r="E46" s="354"/>
      <c r="F46" s="138">
        <v>0</v>
      </c>
      <c r="G46" s="139" t="s">
        <v>108</v>
      </c>
      <c r="H46" s="140"/>
      <c r="I46" s="189"/>
      <c r="J46" s="142"/>
      <c r="K46" s="142"/>
      <c r="L46" s="142"/>
      <c r="M46" s="142"/>
      <c r="N46" s="142"/>
      <c r="O46" s="142"/>
      <c r="P46" s="142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377"/>
    </row>
    <row r="47" spans="1:40" ht="12.75" hidden="1">
      <c r="A47" s="287"/>
      <c r="B47" s="319"/>
      <c r="C47" s="381"/>
      <c r="D47" s="333"/>
      <c r="E47" s="266"/>
      <c r="F47" s="145" t="s">
        <v>110</v>
      </c>
      <c r="G47" s="139" t="s">
        <v>111</v>
      </c>
      <c r="H47" s="140"/>
      <c r="I47" s="189"/>
      <c r="J47" s="142"/>
      <c r="K47" s="142"/>
      <c r="L47" s="142"/>
      <c r="M47" s="142"/>
      <c r="N47" s="142"/>
      <c r="O47" s="142"/>
      <c r="P47" s="142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377"/>
    </row>
    <row r="48" spans="1:40" ht="12.75" hidden="1">
      <c r="A48" s="287"/>
      <c r="B48" s="319"/>
      <c r="C48" s="381"/>
      <c r="D48" s="333"/>
      <c r="E48" s="336"/>
      <c r="F48" s="281">
        <f>SUM(H51:AM51)</f>
        <v>0</v>
      </c>
      <c r="G48" s="139" t="s">
        <v>115</v>
      </c>
      <c r="H48" s="140"/>
      <c r="I48" s="189"/>
      <c r="J48" s="142"/>
      <c r="K48" s="142"/>
      <c r="L48" s="142"/>
      <c r="M48" s="142"/>
      <c r="N48" s="142"/>
      <c r="O48" s="142"/>
      <c r="P48" s="142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377"/>
    </row>
    <row r="49" spans="1:40" ht="12.75" hidden="1">
      <c r="A49" s="287"/>
      <c r="B49" s="319"/>
      <c r="C49" s="381"/>
      <c r="D49" s="333"/>
      <c r="E49" s="354"/>
      <c r="F49" s="317"/>
      <c r="G49" s="139" t="s">
        <v>116</v>
      </c>
      <c r="H49" s="140"/>
      <c r="I49" s="189"/>
      <c r="J49" s="142"/>
      <c r="K49" s="142"/>
      <c r="L49" s="142"/>
      <c r="M49" s="142"/>
      <c r="N49" s="142"/>
      <c r="O49" s="142"/>
      <c r="P49" s="142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377"/>
    </row>
    <row r="50" spans="1:40" ht="12.75" hidden="1">
      <c r="A50" s="287"/>
      <c r="B50" s="319"/>
      <c r="C50" s="381"/>
      <c r="D50" s="333"/>
      <c r="E50" s="354"/>
      <c r="F50" s="145" t="s">
        <v>114</v>
      </c>
      <c r="G50" s="139" t="s">
        <v>117</v>
      </c>
      <c r="H50" s="146"/>
      <c r="I50" s="191"/>
      <c r="J50" s="148"/>
      <c r="K50" s="148"/>
      <c r="L50" s="148"/>
      <c r="M50" s="148"/>
      <c r="N50" s="148"/>
      <c r="O50" s="148" t="e">
        <f>O45+#REF!+O48</f>
        <v>#REF!</v>
      </c>
      <c r="P50" s="148" t="e">
        <f>P45+#REF!+P48</f>
        <v>#REF!</v>
      </c>
      <c r="Q50" s="148" t="e">
        <f>Q45+#REF!+Q48</f>
        <v>#REF!</v>
      </c>
      <c r="R50" s="148" t="e">
        <f>R45+#REF!+R48</f>
        <v>#REF!</v>
      </c>
      <c r="S50" s="148" t="e">
        <f>S45+#REF!+S48</f>
        <v>#REF!</v>
      </c>
      <c r="T50" s="148" t="e">
        <f>T45+#REF!+T48</f>
        <v>#REF!</v>
      </c>
      <c r="U50" s="148" t="e">
        <f>U45+#REF!+U48</f>
        <v>#REF!</v>
      </c>
      <c r="V50" s="148" t="e">
        <f>V45+#REF!+V48</f>
        <v>#REF!</v>
      </c>
      <c r="W50" s="148" t="e">
        <f>W45+#REF!+W48</f>
        <v>#REF!</v>
      </c>
      <c r="X50" s="148" t="e">
        <f>X45+#REF!+X48</f>
        <v>#REF!</v>
      </c>
      <c r="Y50" s="148" t="e">
        <f>Y45+#REF!+Y48</f>
        <v>#REF!</v>
      </c>
      <c r="Z50" s="148" t="e">
        <f>Z45+#REF!+Z48</f>
        <v>#REF!</v>
      </c>
      <c r="AA50" s="148" t="e">
        <f>AA45+#REF!+AA48</f>
        <v>#REF!</v>
      </c>
      <c r="AB50" s="148" t="e">
        <f>AB45+#REF!+AB48</f>
        <v>#REF!</v>
      </c>
      <c r="AC50" s="148" t="e">
        <f>AC45+#REF!+AC48</f>
        <v>#REF!</v>
      </c>
      <c r="AD50" s="148" t="e">
        <f>AD45+#REF!+AD48</f>
        <v>#REF!</v>
      </c>
      <c r="AE50" s="148" t="e">
        <f>AE45+#REF!+AE48</f>
        <v>#REF!</v>
      </c>
      <c r="AF50" s="148" t="e">
        <f>AF45+#REF!+AF48</f>
        <v>#REF!</v>
      </c>
      <c r="AG50" s="148" t="e">
        <f>AG45+#REF!+AG48</f>
        <v>#REF!</v>
      </c>
      <c r="AH50" s="148" t="e">
        <f>AH45+#REF!+AH48</f>
        <v>#REF!</v>
      </c>
      <c r="AI50" s="148" t="e">
        <f>AI45+#REF!+AI48</f>
        <v>#REF!</v>
      </c>
      <c r="AJ50" s="148" t="e">
        <f>AJ45+#REF!+AJ48</f>
        <v>#REF!</v>
      </c>
      <c r="AK50" s="148" t="e">
        <f>AK45+#REF!+AK48</f>
        <v>#REF!</v>
      </c>
      <c r="AL50" s="148" t="e">
        <f>AL45+#REF!+AL48</f>
        <v>#REF!</v>
      </c>
      <c r="AM50" s="148" t="e">
        <f>AM45+#REF!+AM48</f>
        <v>#REF!</v>
      </c>
      <c r="AN50" s="377"/>
    </row>
    <row r="51" spans="1:40" ht="13.5" hidden="1" thickBot="1">
      <c r="A51" s="318"/>
      <c r="B51" s="320"/>
      <c r="C51" s="382"/>
      <c r="D51" s="334"/>
      <c r="E51" s="355"/>
      <c r="F51" s="226">
        <f>F46+F48</f>
        <v>0</v>
      </c>
      <c r="G51" s="150" t="s">
        <v>118</v>
      </c>
      <c r="H51" s="151"/>
      <c r="I51" s="228"/>
      <c r="J51" s="153"/>
      <c r="K51" s="153"/>
      <c r="L51" s="153"/>
      <c r="M51" s="153"/>
      <c r="N51" s="153"/>
      <c r="O51" s="153">
        <f aca="true" t="shared" si="10" ref="O51:AM51">O46+O47+O49</f>
        <v>0</v>
      </c>
      <c r="P51" s="153">
        <f t="shared" si="10"/>
        <v>0</v>
      </c>
      <c r="Q51" s="153">
        <f t="shared" si="10"/>
        <v>0</v>
      </c>
      <c r="R51" s="153">
        <f t="shared" si="10"/>
        <v>0</v>
      </c>
      <c r="S51" s="153">
        <f t="shared" si="10"/>
        <v>0</v>
      </c>
      <c r="T51" s="153">
        <f t="shared" si="10"/>
        <v>0</v>
      </c>
      <c r="U51" s="153">
        <f t="shared" si="10"/>
        <v>0</v>
      </c>
      <c r="V51" s="153">
        <f t="shared" si="10"/>
        <v>0</v>
      </c>
      <c r="W51" s="153">
        <f t="shared" si="10"/>
        <v>0</v>
      </c>
      <c r="X51" s="153">
        <f t="shared" si="10"/>
        <v>0</v>
      </c>
      <c r="Y51" s="153">
        <f t="shared" si="10"/>
        <v>0</v>
      </c>
      <c r="Z51" s="153">
        <f t="shared" si="10"/>
        <v>0</v>
      </c>
      <c r="AA51" s="153">
        <f t="shared" si="10"/>
        <v>0</v>
      </c>
      <c r="AB51" s="153">
        <f t="shared" si="10"/>
        <v>0</v>
      </c>
      <c r="AC51" s="153">
        <f t="shared" si="10"/>
        <v>0</v>
      </c>
      <c r="AD51" s="153">
        <f t="shared" si="10"/>
        <v>0</v>
      </c>
      <c r="AE51" s="153">
        <f t="shared" si="10"/>
        <v>0</v>
      </c>
      <c r="AF51" s="153">
        <f t="shared" si="10"/>
        <v>0</v>
      </c>
      <c r="AG51" s="153">
        <f t="shared" si="10"/>
        <v>0</v>
      </c>
      <c r="AH51" s="153">
        <f t="shared" si="10"/>
        <v>0</v>
      </c>
      <c r="AI51" s="153">
        <f t="shared" si="10"/>
        <v>0</v>
      </c>
      <c r="AJ51" s="153">
        <f t="shared" si="10"/>
        <v>0</v>
      </c>
      <c r="AK51" s="153">
        <f t="shared" si="10"/>
        <v>0</v>
      </c>
      <c r="AL51" s="153">
        <f t="shared" si="10"/>
        <v>0</v>
      </c>
      <c r="AM51" s="153">
        <f t="shared" si="10"/>
        <v>0</v>
      </c>
      <c r="AN51" s="378"/>
    </row>
    <row r="52" spans="1:40" ht="12.75" customHeight="1">
      <c r="A52" s="286">
        <v>6</v>
      </c>
      <c r="B52" s="323" t="s">
        <v>198</v>
      </c>
      <c r="C52" s="380">
        <v>60015</v>
      </c>
      <c r="D52" s="332" t="s">
        <v>191</v>
      </c>
      <c r="E52" s="356">
        <v>2010</v>
      </c>
      <c r="F52" s="132" t="s">
        <v>106</v>
      </c>
      <c r="G52" s="133" t="s">
        <v>107</v>
      </c>
      <c r="H52" s="134"/>
      <c r="I52" s="227"/>
      <c r="J52" s="136"/>
      <c r="K52" s="136"/>
      <c r="L52" s="136"/>
      <c r="M52" s="136"/>
      <c r="N52" s="136"/>
      <c r="O52" s="136"/>
      <c r="P52" s="136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376">
        <f>SUM(J59:AM59)</f>
        <v>71000000</v>
      </c>
    </row>
    <row r="53" spans="1:40" ht="12.75">
      <c r="A53" s="287"/>
      <c r="B53" s="319"/>
      <c r="C53" s="381"/>
      <c r="D53" s="333"/>
      <c r="E53" s="354"/>
      <c r="F53" s="281">
        <f>SUM(H58:AM58)</f>
        <v>0</v>
      </c>
      <c r="G53" s="139" t="s">
        <v>108</v>
      </c>
      <c r="H53" s="140">
        <v>4000000</v>
      </c>
      <c r="I53" s="189">
        <f>30000000+12000000-10100000-1500000</f>
        <v>30400000</v>
      </c>
      <c r="J53" s="142">
        <f>19500000+1500000</f>
        <v>21000000</v>
      </c>
      <c r="K53" s="142">
        <v>10500000</v>
      </c>
      <c r="L53" s="142">
        <v>30000000</v>
      </c>
      <c r="M53" s="142">
        <v>9500000</v>
      </c>
      <c r="N53" s="142"/>
      <c r="O53" s="142"/>
      <c r="P53" s="142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377"/>
    </row>
    <row r="54" spans="1:40" ht="12.75">
      <c r="A54" s="287"/>
      <c r="B54" s="319"/>
      <c r="C54" s="381"/>
      <c r="D54" s="333"/>
      <c r="E54" s="354"/>
      <c r="F54" s="379"/>
      <c r="G54" s="139" t="s">
        <v>109</v>
      </c>
      <c r="H54" s="140"/>
      <c r="I54" s="189"/>
      <c r="J54" s="142"/>
      <c r="K54" s="142"/>
      <c r="L54" s="142"/>
      <c r="M54" s="142"/>
      <c r="N54" s="142"/>
      <c r="O54" s="142"/>
      <c r="P54" s="142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377"/>
    </row>
    <row r="55" spans="1:40" ht="12.75">
      <c r="A55" s="287"/>
      <c r="B55" s="319"/>
      <c r="C55" s="381"/>
      <c r="D55" s="333"/>
      <c r="E55" s="266"/>
      <c r="F55" s="145" t="s">
        <v>110</v>
      </c>
      <c r="G55" s="139" t="s">
        <v>111</v>
      </c>
      <c r="H55" s="140"/>
      <c r="I55" s="189"/>
      <c r="J55" s="142"/>
      <c r="K55" s="142"/>
      <c r="L55" s="142"/>
      <c r="M55" s="142"/>
      <c r="N55" s="142"/>
      <c r="O55" s="142"/>
      <c r="P55" s="142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377"/>
    </row>
    <row r="56" spans="1:40" ht="12.75">
      <c r="A56" s="287"/>
      <c r="B56" s="319"/>
      <c r="C56" s="381"/>
      <c r="D56" s="333"/>
      <c r="E56" s="336">
        <v>2015</v>
      </c>
      <c r="F56" s="281">
        <f>SUM(H59:AM59)</f>
        <v>105400000</v>
      </c>
      <c r="G56" s="139" t="s">
        <v>115</v>
      </c>
      <c r="H56" s="140"/>
      <c r="I56" s="189"/>
      <c r="J56" s="142"/>
      <c r="K56" s="142"/>
      <c r="L56" s="142"/>
      <c r="M56" s="142"/>
      <c r="N56" s="142"/>
      <c r="O56" s="142"/>
      <c r="P56" s="142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377"/>
    </row>
    <row r="57" spans="1:40" ht="12.75">
      <c r="A57" s="287"/>
      <c r="B57" s="319"/>
      <c r="C57" s="381"/>
      <c r="D57" s="333"/>
      <c r="E57" s="354"/>
      <c r="F57" s="379"/>
      <c r="G57" s="139" t="s">
        <v>116</v>
      </c>
      <c r="H57" s="140"/>
      <c r="I57" s="189"/>
      <c r="J57" s="142"/>
      <c r="K57" s="142"/>
      <c r="L57" s="142"/>
      <c r="M57" s="142"/>
      <c r="N57" s="142"/>
      <c r="O57" s="142"/>
      <c r="P57" s="142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377"/>
    </row>
    <row r="58" spans="1:40" ht="12.75">
      <c r="A58" s="287"/>
      <c r="B58" s="319"/>
      <c r="C58" s="381"/>
      <c r="D58" s="333"/>
      <c r="E58" s="354"/>
      <c r="F58" s="145" t="s">
        <v>114</v>
      </c>
      <c r="G58" s="139" t="s">
        <v>117</v>
      </c>
      <c r="H58" s="146">
        <f aca="true" t="shared" si="11" ref="H58:AM58">H52+H54+H56</f>
        <v>0</v>
      </c>
      <c r="I58" s="191">
        <f t="shared" si="11"/>
        <v>0</v>
      </c>
      <c r="J58" s="148">
        <f t="shared" si="11"/>
        <v>0</v>
      </c>
      <c r="K58" s="148">
        <f t="shared" si="11"/>
        <v>0</v>
      </c>
      <c r="L58" s="148">
        <f t="shared" si="11"/>
        <v>0</v>
      </c>
      <c r="M58" s="148">
        <f t="shared" si="11"/>
        <v>0</v>
      </c>
      <c r="N58" s="148">
        <f t="shared" si="11"/>
        <v>0</v>
      </c>
      <c r="O58" s="148">
        <f t="shared" si="11"/>
        <v>0</v>
      </c>
      <c r="P58" s="148">
        <f t="shared" si="11"/>
        <v>0</v>
      </c>
      <c r="Q58" s="148">
        <f t="shared" si="11"/>
        <v>0</v>
      </c>
      <c r="R58" s="148">
        <f t="shared" si="11"/>
        <v>0</v>
      </c>
      <c r="S58" s="148">
        <f t="shared" si="11"/>
        <v>0</v>
      </c>
      <c r="T58" s="148">
        <f t="shared" si="11"/>
        <v>0</v>
      </c>
      <c r="U58" s="148">
        <f t="shared" si="11"/>
        <v>0</v>
      </c>
      <c r="V58" s="148">
        <f t="shared" si="11"/>
        <v>0</v>
      </c>
      <c r="W58" s="148">
        <f t="shared" si="11"/>
        <v>0</v>
      </c>
      <c r="X58" s="148">
        <f t="shared" si="11"/>
        <v>0</v>
      </c>
      <c r="Y58" s="148">
        <f t="shared" si="11"/>
        <v>0</v>
      </c>
      <c r="Z58" s="148">
        <f t="shared" si="11"/>
        <v>0</v>
      </c>
      <c r="AA58" s="148">
        <f t="shared" si="11"/>
        <v>0</v>
      </c>
      <c r="AB58" s="148">
        <f t="shared" si="11"/>
        <v>0</v>
      </c>
      <c r="AC58" s="148">
        <f t="shared" si="11"/>
        <v>0</v>
      </c>
      <c r="AD58" s="148">
        <f t="shared" si="11"/>
        <v>0</v>
      </c>
      <c r="AE58" s="148">
        <f t="shared" si="11"/>
        <v>0</v>
      </c>
      <c r="AF58" s="148">
        <f t="shared" si="11"/>
        <v>0</v>
      </c>
      <c r="AG58" s="148">
        <f t="shared" si="11"/>
        <v>0</v>
      </c>
      <c r="AH58" s="148">
        <f t="shared" si="11"/>
        <v>0</v>
      </c>
      <c r="AI58" s="148">
        <f t="shared" si="11"/>
        <v>0</v>
      </c>
      <c r="AJ58" s="148">
        <f t="shared" si="11"/>
        <v>0</v>
      </c>
      <c r="AK58" s="148">
        <f t="shared" si="11"/>
        <v>0</v>
      </c>
      <c r="AL58" s="148">
        <f t="shared" si="11"/>
        <v>0</v>
      </c>
      <c r="AM58" s="148">
        <f t="shared" si="11"/>
        <v>0</v>
      </c>
      <c r="AN58" s="377"/>
    </row>
    <row r="59" spans="1:40" ht="13.5" thickBot="1">
      <c r="A59" s="318"/>
      <c r="B59" s="320"/>
      <c r="C59" s="382"/>
      <c r="D59" s="333"/>
      <c r="E59" s="355"/>
      <c r="F59" s="226">
        <f>F53+F56</f>
        <v>105400000</v>
      </c>
      <c r="G59" s="150" t="s">
        <v>118</v>
      </c>
      <c r="H59" s="151">
        <f aca="true" t="shared" si="12" ref="H59:AM59">H53+H55+H57</f>
        <v>4000000</v>
      </c>
      <c r="I59" s="228">
        <f t="shared" si="12"/>
        <v>30400000</v>
      </c>
      <c r="J59" s="153">
        <f t="shared" si="12"/>
        <v>21000000</v>
      </c>
      <c r="K59" s="153">
        <f t="shared" si="12"/>
        <v>10500000</v>
      </c>
      <c r="L59" s="153">
        <f t="shared" si="12"/>
        <v>30000000</v>
      </c>
      <c r="M59" s="153">
        <f t="shared" si="12"/>
        <v>9500000</v>
      </c>
      <c r="N59" s="153">
        <f t="shared" si="12"/>
        <v>0</v>
      </c>
      <c r="O59" s="153">
        <f t="shared" si="12"/>
        <v>0</v>
      </c>
      <c r="P59" s="153">
        <f t="shared" si="12"/>
        <v>0</v>
      </c>
      <c r="Q59" s="153">
        <f t="shared" si="12"/>
        <v>0</v>
      </c>
      <c r="R59" s="153">
        <f t="shared" si="12"/>
        <v>0</v>
      </c>
      <c r="S59" s="153">
        <f t="shared" si="12"/>
        <v>0</v>
      </c>
      <c r="T59" s="153">
        <f t="shared" si="12"/>
        <v>0</v>
      </c>
      <c r="U59" s="153">
        <f t="shared" si="12"/>
        <v>0</v>
      </c>
      <c r="V59" s="153">
        <f t="shared" si="12"/>
        <v>0</v>
      </c>
      <c r="W59" s="153">
        <f t="shared" si="12"/>
        <v>0</v>
      </c>
      <c r="X59" s="153">
        <f t="shared" si="12"/>
        <v>0</v>
      </c>
      <c r="Y59" s="153">
        <f t="shared" si="12"/>
        <v>0</v>
      </c>
      <c r="Z59" s="153">
        <f t="shared" si="12"/>
        <v>0</v>
      </c>
      <c r="AA59" s="153">
        <f t="shared" si="12"/>
        <v>0</v>
      </c>
      <c r="AB59" s="153">
        <f t="shared" si="12"/>
        <v>0</v>
      </c>
      <c r="AC59" s="153">
        <f t="shared" si="12"/>
        <v>0</v>
      </c>
      <c r="AD59" s="153">
        <f t="shared" si="12"/>
        <v>0</v>
      </c>
      <c r="AE59" s="153">
        <f t="shared" si="12"/>
        <v>0</v>
      </c>
      <c r="AF59" s="153">
        <f t="shared" si="12"/>
        <v>0</v>
      </c>
      <c r="AG59" s="153">
        <f t="shared" si="12"/>
        <v>0</v>
      </c>
      <c r="AH59" s="153">
        <f t="shared" si="12"/>
        <v>0</v>
      </c>
      <c r="AI59" s="153">
        <f t="shared" si="12"/>
        <v>0</v>
      </c>
      <c r="AJ59" s="153">
        <f t="shared" si="12"/>
        <v>0</v>
      </c>
      <c r="AK59" s="153">
        <f t="shared" si="12"/>
        <v>0</v>
      </c>
      <c r="AL59" s="153">
        <f t="shared" si="12"/>
        <v>0</v>
      </c>
      <c r="AM59" s="153">
        <f t="shared" si="12"/>
        <v>0</v>
      </c>
      <c r="AN59" s="378"/>
    </row>
    <row r="60" spans="1:40" ht="12.75" customHeight="1">
      <c r="A60" s="286">
        <v>7</v>
      </c>
      <c r="B60" s="323" t="s">
        <v>199</v>
      </c>
      <c r="C60" s="380">
        <v>60015</v>
      </c>
      <c r="D60" s="332" t="s">
        <v>191</v>
      </c>
      <c r="E60" s="354">
        <v>2009</v>
      </c>
      <c r="F60" s="132" t="s">
        <v>106</v>
      </c>
      <c r="G60" s="155" t="s">
        <v>107</v>
      </c>
      <c r="H60" s="134"/>
      <c r="I60" s="187"/>
      <c r="J60" s="158"/>
      <c r="K60" s="158"/>
      <c r="L60" s="158"/>
      <c r="M60" s="158"/>
      <c r="N60" s="158"/>
      <c r="O60" s="158"/>
      <c r="P60" s="158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376">
        <f>SUM(J67:AM67)</f>
        <v>0</v>
      </c>
    </row>
    <row r="61" spans="1:40" ht="12.75">
      <c r="A61" s="287"/>
      <c r="B61" s="319"/>
      <c r="C61" s="381"/>
      <c r="D61" s="333"/>
      <c r="E61" s="354"/>
      <c r="F61" s="281">
        <f>SUM(H66:AM66)</f>
        <v>0</v>
      </c>
      <c r="G61" s="139" t="s">
        <v>108</v>
      </c>
      <c r="H61" s="140">
        <v>279990</v>
      </c>
      <c r="I61" s="189">
        <v>650000</v>
      </c>
      <c r="J61" s="142"/>
      <c r="K61" s="142"/>
      <c r="L61" s="142"/>
      <c r="M61" s="142"/>
      <c r="N61" s="142"/>
      <c r="O61" s="142"/>
      <c r="P61" s="142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377"/>
    </row>
    <row r="62" spans="1:40" ht="12.75">
      <c r="A62" s="287"/>
      <c r="B62" s="319"/>
      <c r="C62" s="381"/>
      <c r="D62" s="333"/>
      <c r="E62" s="354"/>
      <c r="F62" s="379"/>
      <c r="G62" s="139" t="s">
        <v>109</v>
      </c>
      <c r="H62" s="140"/>
      <c r="I62" s="189"/>
      <c r="J62" s="142"/>
      <c r="K62" s="142"/>
      <c r="L62" s="142"/>
      <c r="M62" s="142"/>
      <c r="N62" s="142"/>
      <c r="O62" s="142"/>
      <c r="P62" s="142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377"/>
    </row>
    <row r="63" spans="1:40" ht="12.75">
      <c r="A63" s="287"/>
      <c r="B63" s="319"/>
      <c r="C63" s="381"/>
      <c r="D63" s="333"/>
      <c r="E63" s="266"/>
      <c r="F63" s="145" t="s">
        <v>110</v>
      </c>
      <c r="G63" s="139" t="s">
        <v>111</v>
      </c>
      <c r="H63" s="140"/>
      <c r="I63" s="189"/>
      <c r="J63" s="142"/>
      <c r="K63" s="142"/>
      <c r="L63" s="142"/>
      <c r="M63" s="142"/>
      <c r="N63" s="142"/>
      <c r="O63" s="142"/>
      <c r="P63" s="142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377"/>
    </row>
    <row r="64" spans="1:40" ht="12.75">
      <c r="A64" s="287"/>
      <c r="B64" s="319"/>
      <c r="C64" s="381"/>
      <c r="D64" s="333"/>
      <c r="E64" s="336">
        <v>2011</v>
      </c>
      <c r="F64" s="281">
        <f>SUM(H61:M61)</f>
        <v>929990</v>
      </c>
      <c r="G64" s="139" t="s">
        <v>115</v>
      </c>
      <c r="H64" s="140"/>
      <c r="I64" s="189"/>
      <c r="J64" s="142"/>
      <c r="K64" s="142"/>
      <c r="L64" s="142"/>
      <c r="M64" s="142"/>
      <c r="N64" s="142"/>
      <c r="O64" s="142"/>
      <c r="P64" s="142"/>
      <c r="Q64" s="143"/>
      <c r="R64" s="143"/>
      <c r="S64" s="143"/>
      <c r="T64" s="143"/>
      <c r="U64" s="142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377"/>
    </row>
    <row r="65" spans="1:40" ht="12.75">
      <c r="A65" s="287"/>
      <c r="B65" s="319"/>
      <c r="C65" s="381"/>
      <c r="D65" s="333"/>
      <c r="E65" s="354"/>
      <c r="F65" s="379"/>
      <c r="G65" s="139" t="s">
        <v>116</v>
      </c>
      <c r="H65" s="140"/>
      <c r="I65" s="189"/>
      <c r="J65" s="142"/>
      <c r="K65" s="142"/>
      <c r="L65" s="142"/>
      <c r="M65" s="142"/>
      <c r="N65" s="142"/>
      <c r="O65" s="142"/>
      <c r="P65" s="142"/>
      <c r="Q65" s="143"/>
      <c r="R65" s="143"/>
      <c r="S65" s="143"/>
      <c r="T65" s="143"/>
      <c r="U65" s="142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377"/>
    </row>
    <row r="66" spans="1:40" ht="12.75">
      <c r="A66" s="287"/>
      <c r="B66" s="319"/>
      <c r="C66" s="381"/>
      <c r="D66" s="333"/>
      <c r="E66" s="354"/>
      <c r="F66" s="145" t="s">
        <v>114</v>
      </c>
      <c r="G66" s="139" t="s">
        <v>117</v>
      </c>
      <c r="H66" s="146">
        <f aca="true" t="shared" si="13" ref="H66:AM66">H60+H62+H64</f>
        <v>0</v>
      </c>
      <c r="I66" s="191">
        <f t="shared" si="13"/>
        <v>0</v>
      </c>
      <c r="J66" s="148">
        <f t="shared" si="13"/>
        <v>0</v>
      </c>
      <c r="K66" s="148">
        <f t="shared" si="13"/>
        <v>0</v>
      </c>
      <c r="L66" s="148">
        <f t="shared" si="13"/>
        <v>0</v>
      </c>
      <c r="M66" s="148">
        <f t="shared" si="13"/>
        <v>0</v>
      </c>
      <c r="N66" s="148">
        <f t="shared" si="13"/>
        <v>0</v>
      </c>
      <c r="O66" s="148">
        <f t="shared" si="13"/>
        <v>0</v>
      </c>
      <c r="P66" s="148">
        <f t="shared" si="13"/>
        <v>0</v>
      </c>
      <c r="Q66" s="148">
        <f t="shared" si="13"/>
        <v>0</v>
      </c>
      <c r="R66" s="148">
        <f t="shared" si="13"/>
        <v>0</v>
      </c>
      <c r="S66" s="148">
        <f t="shared" si="13"/>
        <v>0</v>
      </c>
      <c r="T66" s="148">
        <f t="shared" si="13"/>
        <v>0</v>
      </c>
      <c r="U66" s="148">
        <f t="shared" si="13"/>
        <v>0</v>
      </c>
      <c r="V66" s="148">
        <f t="shared" si="13"/>
        <v>0</v>
      </c>
      <c r="W66" s="148">
        <f t="shared" si="13"/>
        <v>0</v>
      </c>
      <c r="X66" s="148">
        <f t="shared" si="13"/>
        <v>0</v>
      </c>
      <c r="Y66" s="148">
        <f t="shared" si="13"/>
        <v>0</v>
      </c>
      <c r="Z66" s="148">
        <f t="shared" si="13"/>
        <v>0</v>
      </c>
      <c r="AA66" s="148">
        <f t="shared" si="13"/>
        <v>0</v>
      </c>
      <c r="AB66" s="148">
        <f t="shared" si="13"/>
        <v>0</v>
      </c>
      <c r="AC66" s="148">
        <f t="shared" si="13"/>
        <v>0</v>
      </c>
      <c r="AD66" s="148">
        <f t="shared" si="13"/>
        <v>0</v>
      </c>
      <c r="AE66" s="148">
        <f t="shared" si="13"/>
        <v>0</v>
      </c>
      <c r="AF66" s="148">
        <f t="shared" si="13"/>
        <v>0</v>
      </c>
      <c r="AG66" s="148">
        <f t="shared" si="13"/>
        <v>0</v>
      </c>
      <c r="AH66" s="148">
        <f t="shared" si="13"/>
        <v>0</v>
      </c>
      <c r="AI66" s="148">
        <f t="shared" si="13"/>
        <v>0</v>
      </c>
      <c r="AJ66" s="148">
        <f t="shared" si="13"/>
        <v>0</v>
      </c>
      <c r="AK66" s="148">
        <f t="shared" si="13"/>
        <v>0</v>
      </c>
      <c r="AL66" s="148">
        <f t="shared" si="13"/>
        <v>0</v>
      </c>
      <c r="AM66" s="148">
        <f t="shared" si="13"/>
        <v>0</v>
      </c>
      <c r="AN66" s="377"/>
    </row>
    <row r="67" spans="1:40" ht="13.5" thickBot="1">
      <c r="A67" s="287"/>
      <c r="B67" s="320"/>
      <c r="C67" s="382"/>
      <c r="D67" s="333"/>
      <c r="E67" s="355"/>
      <c r="F67" s="226">
        <f>F61+F64</f>
        <v>929990</v>
      </c>
      <c r="G67" s="150" t="s">
        <v>118</v>
      </c>
      <c r="H67" s="151">
        <f aca="true" t="shared" si="14" ref="H67:AM67">H61+H63+H65</f>
        <v>279990</v>
      </c>
      <c r="I67" s="228">
        <f t="shared" si="14"/>
        <v>650000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53">
        <f t="shared" si="14"/>
        <v>0</v>
      </c>
      <c r="P67" s="153">
        <f t="shared" si="14"/>
        <v>0</v>
      </c>
      <c r="Q67" s="153">
        <f t="shared" si="14"/>
        <v>0</v>
      </c>
      <c r="R67" s="153">
        <f t="shared" si="14"/>
        <v>0</v>
      </c>
      <c r="S67" s="153">
        <f t="shared" si="14"/>
        <v>0</v>
      </c>
      <c r="T67" s="153">
        <f t="shared" si="14"/>
        <v>0</v>
      </c>
      <c r="U67" s="153">
        <f t="shared" si="14"/>
        <v>0</v>
      </c>
      <c r="V67" s="166">
        <f t="shared" si="14"/>
        <v>0</v>
      </c>
      <c r="W67" s="166">
        <f t="shared" si="14"/>
        <v>0</v>
      </c>
      <c r="X67" s="166">
        <f t="shared" si="14"/>
        <v>0</v>
      </c>
      <c r="Y67" s="166">
        <f t="shared" si="14"/>
        <v>0</v>
      </c>
      <c r="Z67" s="166">
        <f t="shared" si="14"/>
        <v>0</v>
      </c>
      <c r="AA67" s="166">
        <f t="shared" si="14"/>
        <v>0</v>
      </c>
      <c r="AB67" s="166">
        <f t="shared" si="14"/>
        <v>0</v>
      </c>
      <c r="AC67" s="166">
        <f t="shared" si="14"/>
        <v>0</v>
      </c>
      <c r="AD67" s="166">
        <f t="shared" si="14"/>
        <v>0</v>
      </c>
      <c r="AE67" s="166">
        <f t="shared" si="14"/>
        <v>0</v>
      </c>
      <c r="AF67" s="166">
        <f t="shared" si="14"/>
        <v>0</v>
      </c>
      <c r="AG67" s="166">
        <f t="shared" si="14"/>
        <v>0</v>
      </c>
      <c r="AH67" s="166">
        <f t="shared" si="14"/>
        <v>0</v>
      </c>
      <c r="AI67" s="166">
        <f t="shared" si="14"/>
        <v>0</v>
      </c>
      <c r="AJ67" s="166">
        <f t="shared" si="14"/>
        <v>0</v>
      </c>
      <c r="AK67" s="166">
        <f t="shared" si="14"/>
        <v>0</v>
      </c>
      <c r="AL67" s="166">
        <f t="shared" si="14"/>
        <v>0</v>
      </c>
      <c r="AM67" s="166">
        <f t="shared" si="14"/>
        <v>0</v>
      </c>
      <c r="AN67" s="378"/>
    </row>
    <row r="68" spans="1:40" ht="12.75" customHeight="1">
      <c r="A68" s="286">
        <v>8</v>
      </c>
      <c r="B68" s="323" t="s">
        <v>200</v>
      </c>
      <c r="C68" s="380">
        <v>60015</v>
      </c>
      <c r="D68" s="332" t="s">
        <v>191</v>
      </c>
      <c r="E68" s="354">
        <v>2008</v>
      </c>
      <c r="F68" s="132" t="s">
        <v>106</v>
      </c>
      <c r="G68" s="155" t="s">
        <v>107</v>
      </c>
      <c r="H68" s="134"/>
      <c r="I68" s="187"/>
      <c r="J68" s="158"/>
      <c r="K68" s="158"/>
      <c r="L68" s="158"/>
      <c r="M68" s="158"/>
      <c r="N68" s="158"/>
      <c r="O68" s="158"/>
      <c r="P68" s="158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376">
        <f>SUM(J75:AM75)</f>
        <v>1000000</v>
      </c>
    </row>
    <row r="69" spans="1:40" ht="12.75">
      <c r="A69" s="287"/>
      <c r="B69" s="319"/>
      <c r="C69" s="381"/>
      <c r="D69" s="333"/>
      <c r="E69" s="354"/>
      <c r="F69" s="281">
        <f>SUM(H74:AM74)</f>
        <v>0</v>
      </c>
      <c r="G69" s="139" t="s">
        <v>108</v>
      </c>
      <c r="H69" s="140">
        <v>603114</v>
      </c>
      <c r="I69" s="189">
        <f>500000+850000+350000</f>
        <v>1700000</v>
      </c>
      <c r="J69" s="142">
        <v>500000</v>
      </c>
      <c r="K69" s="142">
        <v>500000</v>
      </c>
      <c r="L69" s="142"/>
      <c r="M69" s="142"/>
      <c r="N69" s="142"/>
      <c r="O69" s="142"/>
      <c r="P69" s="142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377"/>
    </row>
    <row r="70" spans="1:40" ht="12.75">
      <c r="A70" s="287"/>
      <c r="B70" s="319"/>
      <c r="C70" s="381"/>
      <c r="D70" s="333"/>
      <c r="E70" s="354"/>
      <c r="F70" s="379"/>
      <c r="G70" s="139" t="s">
        <v>109</v>
      </c>
      <c r="H70" s="140"/>
      <c r="I70" s="189"/>
      <c r="J70" s="142"/>
      <c r="K70" s="142"/>
      <c r="L70" s="142"/>
      <c r="M70" s="142"/>
      <c r="N70" s="142"/>
      <c r="O70" s="142"/>
      <c r="P70" s="142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377"/>
    </row>
    <row r="71" spans="1:40" ht="12.75">
      <c r="A71" s="287"/>
      <c r="B71" s="319"/>
      <c r="C71" s="381"/>
      <c r="D71" s="333"/>
      <c r="E71" s="266"/>
      <c r="F71" s="145" t="s">
        <v>110</v>
      </c>
      <c r="G71" s="139" t="s">
        <v>111</v>
      </c>
      <c r="H71" s="140"/>
      <c r="I71" s="189"/>
      <c r="J71" s="142"/>
      <c r="K71" s="142"/>
      <c r="L71" s="142"/>
      <c r="M71" s="142"/>
      <c r="N71" s="142"/>
      <c r="O71" s="142"/>
      <c r="P71" s="142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377"/>
    </row>
    <row r="72" spans="1:40" ht="12.75">
      <c r="A72" s="287"/>
      <c r="B72" s="319"/>
      <c r="C72" s="381"/>
      <c r="D72" s="333"/>
      <c r="E72" s="336">
        <v>2013</v>
      </c>
      <c r="F72" s="281">
        <f>SUM(H75:AM75)</f>
        <v>3303114</v>
      </c>
      <c r="G72" s="139" t="s">
        <v>115</v>
      </c>
      <c r="H72" s="140"/>
      <c r="I72" s="189"/>
      <c r="J72" s="142"/>
      <c r="K72" s="142"/>
      <c r="L72" s="142"/>
      <c r="M72" s="142"/>
      <c r="N72" s="142"/>
      <c r="O72" s="142"/>
      <c r="P72" s="142"/>
      <c r="Q72" s="143"/>
      <c r="R72" s="143"/>
      <c r="S72" s="143"/>
      <c r="T72" s="143"/>
      <c r="U72" s="142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377"/>
    </row>
    <row r="73" spans="1:40" ht="12.75">
      <c r="A73" s="287"/>
      <c r="B73" s="319"/>
      <c r="C73" s="381"/>
      <c r="D73" s="333"/>
      <c r="E73" s="354"/>
      <c r="F73" s="379"/>
      <c r="G73" s="139" t="s">
        <v>116</v>
      </c>
      <c r="H73" s="140"/>
      <c r="I73" s="189"/>
      <c r="J73" s="142"/>
      <c r="K73" s="142"/>
      <c r="L73" s="142"/>
      <c r="M73" s="142"/>
      <c r="N73" s="142"/>
      <c r="O73" s="142"/>
      <c r="P73" s="142"/>
      <c r="Q73" s="143"/>
      <c r="R73" s="143"/>
      <c r="S73" s="143"/>
      <c r="T73" s="143"/>
      <c r="U73" s="142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377"/>
    </row>
    <row r="74" spans="1:40" ht="12.75">
      <c r="A74" s="287"/>
      <c r="B74" s="319"/>
      <c r="C74" s="381"/>
      <c r="D74" s="333"/>
      <c r="E74" s="354"/>
      <c r="F74" s="145" t="s">
        <v>114</v>
      </c>
      <c r="G74" s="139" t="s">
        <v>117</v>
      </c>
      <c r="H74" s="146">
        <f aca="true" t="shared" si="15" ref="H74:AM74">H68+H70+H72</f>
        <v>0</v>
      </c>
      <c r="I74" s="191">
        <f t="shared" si="15"/>
        <v>0</v>
      </c>
      <c r="J74" s="148">
        <f t="shared" si="15"/>
        <v>0</v>
      </c>
      <c r="K74" s="148">
        <f t="shared" si="15"/>
        <v>0</v>
      </c>
      <c r="L74" s="148">
        <f t="shared" si="15"/>
        <v>0</v>
      </c>
      <c r="M74" s="148">
        <f t="shared" si="15"/>
        <v>0</v>
      </c>
      <c r="N74" s="148">
        <f t="shared" si="15"/>
        <v>0</v>
      </c>
      <c r="O74" s="148">
        <f t="shared" si="15"/>
        <v>0</v>
      </c>
      <c r="P74" s="148">
        <f t="shared" si="15"/>
        <v>0</v>
      </c>
      <c r="Q74" s="148">
        <f t="shared" si="15"/>
        <v>0</v>
      </c>
      <c r="R74" s="148">
        <f t="shared" si="15"/>
        <v>0</v>
      </c>
      <c r="S74" s="148">
        <f t="shared" si="15"/>
        <v>0</v>
      </c>
      <c r="T74" s="148">
        <f t="shared" si="15"/>
        <v>0</v>
      </c>
      <c r="U74" s="148">
        <f t="shared" si="15"/>
        <v>0</v>
      </c>
      <c r="V74" s="148">
        <f t="shared" si="15"/>
        <v>0</v>
      </c>
      <c r="W74" s="148">
        <f t="shared" si="15"/>
        <v>0</v>
      </c>
      <c r="X74" s="148">
        <f t="shared" si="15"/>
        <v>0</v>
      </c>
      <c r="Y74" s="148">
        <f t="shared" si="15"/>
        <v>0</v>
      </c>
      <c r="Z74" s="148">
        <f t="shared" si="15"/>
        <v>0</v>
      </c>
      <c r="AA74" s="148">
        <f t="shared" si="15"/>
        <v>0</v>
      </c>
      <c r="AB74" s="148">
        <f t="shared" si="15"/>
        <v>0</v>
      </c>
      <c r="AC74" s="148">
        <f t="shared" si="15"/>
        <v>0</v>
      </c>
      <c r="AD74" s="148">
        <f t="shared" si="15"/>
        <v>0</v>
      </c>
      <c r="AE74" s="148">
        <f t="shared" si="15"/>
        <v>0</v>
      </c>
      <c r="AF74" s="148">
        <f t="shared" si="15"/>
        <v>0</v>
      </c>
      <c r="AG74" s="148">
        <f t="shared" si="15"/>
        <v>0</v>
      </c>
      <c r="AH74" s="148">
        <f t="shared" si="15"/>
        <v>0</v>
      </c>
      <c r="AI74" s="148">
        <f t="shared" si="15"/>
        <v>0</v>
      </c>
      <c r="AJ74" s="148">
        <f t="shared" si="15"/>
        <v>0</v>
      </c>
      <c r="AK74" s="148">
        <f t="shared" si="15"/>
        <v>0</v>
      </c>
      <c r="AL74" s="148">
        <f t="shared" si="15"/>
        <v>0</v>
      </c>
      <c r="AM74" s="148">
        <f t="shared" si="15"/>
        <v>0</v>
      </c>
      <c r="AN74" s="377"/>
    </row>
    <row r="75" spans="1:40" ht="13.5" thickBot="1">
      <c r="A75" s="287"/>
      <c r="B75" s="320"/>
      <c r="C75" s="382"/>
      <c r="D75" s="333"/>
      <c r="E75" s="355"/>
      <c r="F75" s="226">
        <f>F69+F72</f>
        <v>3303114</v>
      </c>
      <c r="G75" s="150" t="s">
        <v>118</v>
      </c>
      <c r="H75" s="151">
        <f aca="true" t="shared" si="16" ref="H75:AM75">H69+H71+H73</f>
        <v>603114</v>
      </c>
      <c r="I75" s="228">
        <f t="shared" si="16"/>
        <v>1700000</v>
      </c>
      <c r="J75" s="153">
        <f t="shared" si="16"/>
        <v>500000</v>
      </c>
      <c r="K75" s="153">
        <f t="shared" si="16"/>
        <v>500000</v>
      </c>
      <c r="L75" s="153">
        <f t="shared" si="16"/>
        <v>0</v>
      </c>
      <c r="M75" s="153">
        <f t="shared" si="16"/>
        <v>0</v>
      </c>
      <c r="N75" s="153">
        <f t="shared" si="16"/>
        <v>0</v>
      </c>
      <c r="O75" s="153">
        <f t="shared" si="16"/>
        <v>0</v>
      </c>
      <c r="P75" s="153">
        <f t="shared" si="16"/>
        <v>0</v>
      </c>
      <c r="Q75" s="153">
        <f t="shared" si="16"/>
        <v>0</v>
      </c>
      <c r="R75" s="153">
        <f t="shared" si="16"/>
        <v>0</v>
      </c>
      <c r="S75" s="153">
        <f t="shared" si="16"/>
        <v>0</v>
      </c>
      <c r="T75" s="153">
        <f t="shared" si="16"/>
        <v>0</v>
      </c>
      <c r="U75" s="153">
        <f t="shared" si="16"/>
        <v>0</v>
      </c>
      <c r="V75" s="166">
        <f t="shared" si="16"/>
        <v>0</v>
      </c>
      <c r="W75" s="166">
        <f t="shared" si="16"/>
        <v>0</v>
      </c>
      <c r="X75" s="166">
        <f t="shared" si="16"/>
        <v>0</v>
      </c>
      <c r="Y75" s="166">
        <f t="shared" si="16"/>
        <v>0</v>
      </c>
      <c r="Z75" s="166">
        <f t="shared" si="16"/>
        <v>0</v>
      </c>
      <c r="AA75" s="166">
        <f t="shared" si="16"/>
        <v>0</v>
      </c>
      <c r="AB75" s="166">
        <f t="shared" si="16"/>
        <v>0</v>
      </c>
      <c r="AC75" s="166">
        <f t="shared" si="16"/>
        <v>0</v>
      </c>
      <c r="AD75" s="166">
        <f t="shared" si="16"/>
        <v>0</v>
      </c>
      <c r="AE75" s="166">
        <f t="shared" si="16"/>
        <v>0</v>
      </c>
      <c r="AF75" s="166">
        <f t="shared" si="16"/>
        <v>0</v>
      </c>
      <c r="AG75" s="166">
        <f t="shared" si="16"/>
        <v>0</v>
      </c>
      <c r="AH75" s="166">
        <f t="shared" si="16"/>
        <v>0</v>
      </c>
      <c r="AI75" s="166">
        <f t="shared" si="16"/>
        <v>0</v>
      </c>
      <c r="AJ75" s="166">
        <f t="shared" si="16"/>
        <v>0</v>
      </c>
      <c r="AK75" s="166">
        <f t="shared" si="16"/>
        <v>0</v>
      </c>
      <c r="AL75" s="166">
        <f t="shared" si="16"/>
        <v>0</v>
      </c>
      <c r="AM75" s="166">
        <f t="shared" si="16"/>
        <v>0</v>
      </c>
      <c r="AN75" s="378"/>
    </row>
    <row r="76" spans="1:40" ht="12.75" customHeight="1">
      <c r="A76" s="286">
        <v>9</v>
      </c>
      <c r="B76" s="319" t="s">
        <v>201</v>
      </c>
      <c r="C76" s="381">
        <v>60015</v>
      </c>
      <c r="D76" s="332" t="s">
        <v>191</v>
      </c>
      <c r="E76" s="354">
        <v>2011</v>
      </c>
      <c r="F76" s="144" t="s">
        <v>106</v>
      </c>
      <c r="G76" s="155" t="s">
        <v>107</v>
      </c>
      <c r="H76" s="156"/>
      <c r="I76" s="187"/>
      <c r="J76" s="158"/>
      <c r="K76" s="158"/>
      <c r="L76" s="158"/>
      <c r="M76" s="158"/>
      <c r="N76" s="158"/>
      <c r="O76" s="158"/>
      <c r="P76" s="158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376">
        <f>SUM(J83:AM83)</f>
        <v>5000000</v>
      </c>
    </row>
    <row r="77" spans="1:40" ht="12.75">
      <c r="A77" s="287"/>
      <c r="B77" s="319"/>
      <c r="C77" s="381"/>
      <c r="D77" s="333"/>
      <c r="E77" s="354"/>
      <c r="F77" s="281">
        <f>SUM(H82:AM82)</f>
        <v>0</v>
      </c>
      <c r="G77" s="139" t="s">
        <v>108</v>
      </c>
      <c r="H77" s="140"/>
      <c r="I77" s="189">
        <v>2000000</v>
      </c>
      <c r="J77" s="142">
        <v>2000000</v>
      </c>
      <c r="K77" s="142">
        <v>3000000</v>
      </c>
      <c r="L77" s="142"/>
      <c r="M77" s="142"/>
      <c r="N77" s="142"/>
      <c r="O77" s="142"/>
      <c r="P77" s="142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377"/>
    </row>
    <row r="78" spans="1:40" ht="12.75">
      <c r="A78" s="287"/>
      <c r="B78" s="319"/>
      <c r="C78" s="381"/>
      <c r="D78" s="333"/>
      <c r="E78" s="354"/>
      <c r="F78" s="379"/>
      <c r="G78" s="139" t="s">
        <v>109</v>
      </c>
      <c r="H78" s="140"/>
      <c r="I78" s="189"/>
      <c r="J78" s="142"/>
      <c r="K78" s="142"/>
      <c r="L78" s="142"/>
      <c r="M78" s="142"/>
      <c r="N78" s="142"/>
      <c r="O78" s="142"/>
      <c r="P78" s="142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377"/>
    </row>
    <row r="79" spans="1:40" ht="12.75">
      <c r="A79" s="287"/>
      <c r="B79" s="319"/>
      <c r="C79" s="381"/>
      <c r="D79" s="333"/>
      <c r="E79" s="266"/>
      <c r="F79" s="145" t="s">
        <v>110</v>
      </c>
      <c r="G79" s="139" t="s">
        <v>111</v>
      </c>
      <c r="H79" s="140"/>
      <c r="I79" s="189"/>
      <c r="J79" s="142"/>
      <c r="K79" s="142"/>
      <c r="L79" s="142"/>
      <c r="M79" s="142"/>
      <c r="N79" s="142"/>
      <c r="O79" s="142"/>
      <c r="P79" s="142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377"/>
    </row>
    <row r="80" spans="1:40" ht="12.75">
      <c r="A80" s="287"/>
      <c r="B80" s="319"/>
      <c r="C80" s="381"/>
      <c r="D80" s="333"/>
      <c r="E80" s="336">
        <v>2013</v>
      </c>
      <c r="F80" s="281">
        <f>SUM(H83:AM83)</f>
        <v>7000000</v>
      </c>
      <c r="G80" s="139" t="s">
        <v>115</v>
      </c>
      <c r="H80" s="140"/>
      <c r="I80" s="189"/>
      <c r="J80" s="142"/>
      <c r="K80" s="142"/>
      <c r="L80" s="142"/>
      <c r="M80" s="142"/>
      <c r="N80" s="142"/>
      <c r="O80" s="142"/>
      <c r="P80" s="142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377"/>
    </row>
    <row r="81" spans="1:40" ht="12.75">
      <c r="A81" s="287"/>
      <c r="B81" s="319"/>
      <c r="C81" s="381"/>
      <c r="D81" s="333"/>
      <c r="E81" s="354"/>
      <c r="F81" s="379"/>
      <c r="G81" s="139" t="s">
        <v>116</v>
      </c>
      <c r="H81" s="140"/>
      <c r="I81" s="189"/>
      <c r="J81" s="142"/>
      <c r="K81" s="142"/>
      <c r="L81" s="142"/>
      <c r="M81" s="142"/>
      <c r="N81" s="142"/>
      <c r="O81" s="142"/>
      <c r="P81" s="142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377"/>
    </row>
    <row r="82" spans="1:40" ht="12.75">
      <c r="A82" s="287"/>
      <c r="B82" s="319"/>
      <c r="C82" s="381"/>
      <c r="D82" s="333"/>
      <c r="E82" s="354"/>
      <c r="F82" s="145" t="s">
        <v>114</v>
      </c>
      <c r="G82" s="139" t="s">
        <v>117</v>
      </c>
      <c r="H82" s="146">
        <f aca="true" t="shared" si="17" ref="H82:AM82">H76+H78+H80</f>
        <v>0</v>
      </c>
      <c r="I82" s="191">
        <f t="shared" si="17"/>
        <v>0</v>
      </c>
      <c r="J82" s="148">
        <f t="shared" si="17"/>
        <v>0</v>
      </c>
      <c r="K82" s="148">
        <f t="shared" si="17"/>
        <v>0</v>
      </c>
      <c r="L82" s="148">
        <f t="shared" si="17"/>
        <v>0</v>
      </c>
      <c r="M82" s="148">
        <f t="shared" si="17"/>
        <v>0</v>
      </c>
      <c r="N82" s="148">
        <f t="shared" si="17"/>
        <v>0</v>
      </c>
      <c r="O82" s="148">
        <f t="shared" si="17"/>
        <v>0</v>
      </c>
      <c r="P82" s="148">
        <f t="shared" si="17"/>
        <v>0</v>
      </c>
      <c r="Q82" s="148">
        <f t="shared" si="17"/>
        <v>0</v>
      </c>
      <c r="R82" s="148">
        <f t="shared" si="17"/>
        <v>0</v>
      </c>
      <c r="S82" s="148">
        <f t="shared" si="17"/>
        <v>0</v>
      </c>
      <c r="T82" s="148">
        <f t="shared" si="17"/>
        <v>0</v>
      </c>
      <c r="U82" s="148">
        <f t="shared" si="17"/>
        <v>0</v>
      </c>
      <c r="V82" s="148">
        <f t="shared" si="17"/>
        <v>0</v>
      </c>
      <c r="W82" s="148">
        <f t="shared" si="17"/>
        <v>0</v>
      </c>
      <c r="X82" s="148">
        <f t="shared" si="17"/>
        <v>0</v>
      </c>
      <c r="Y82" s="148">
        <f t="shared" si="17"/>
        <v>0</v>
      </c>
      <c r="Z82" s="148">
        <f t="shared" si="17"/>
        <v>0</v>
      </c>
      <c r="AA82" s="148">
        <f t="shared" si="17"/>
        <v>0</v>
      </c>
      <c r="AB82" s="148">
        <f t="shared" si="17"/>
        <v>0</v>
      </c>
      <c r="AC82" s="148">
        <f t="shared" si="17"/>
        <v>0</v>
      </c>
      <c r="AD82" s="148">
        <f t="shared" si="17"/>
        <v>0</v>
      </c>
      <c r="AE82" s="148">
        <f t="shared" si="17"/>
        <v>0</v>
      </c>
      <c r="AF82" s="148">
        <f t="shared" si="17"/>
        <v>0</v>
      </c>
      <c r="AG82" s="148">
        <f t="shared" si="17"/>
        <v>0</v>
      </c>
      <c r="AH82" s="148">
        <f t="shared" si="17"/>
        <v>0</v>
      </c>
      <c r="AI82" s="148">
        <f t="shared" si="17"/>
        <v>0</v>
      </c>
      <c r="AJ82" s="148">
        <f t="shared" si="17"/>
        <v>0</v>
      </c>
      <c r="AK82" s="148">
        <f t="shared" si="17"/>
        <v>0</v>
      </c>
      <c r="AL82" s="148">
        <f t="shared" si="17"/>
        <v>0</v>
      </c>
      <c r="AM82" s="148">
        <f t="shared" si="17"/>
        <v>0</v>
      </c>
      <c r="AN82" s="377"/>
    </row>
    <row r="83" spans="1:40" ht="13.5" thickBot="1">
      <c r="A83" s="318"/>
      <c r="B83" s="320"/>
      <c r="C83" s="382"/>
      <c r="D83" s="334"/>
      <c r="E83" s="355"/>
      <c r="F83" s="226">
        <f>F77+F80</f>
        <v>7000000</v>
      </c>
      <c r="G83" s="150" t="s">
        <v>118</v>
      </c>
      <c r="H83" s="151">
        <f aca="true" t="shared" si="18" ref="H83:AM83">H77+H79+H81</f>
        <v>0</v>
      </c>
      <c r="I83" s="228">
        <f t="shared" si="18"/>
        <v>2000000</v>
      </c>
      <c r="J83" s="153">
        <f t="shared" si="18"/>
        <v>2000000</v>
      </c>
      <c r="K83" s="153">
        <f t="shared" si="18"/>
        <v>3000000</v>
      </c>
      <c r="L83" s="153">
        <f t="shared" si="18"/>
        <v>0</v>
      </c>
      <c r="M83" s="153">
        <f t="shared" si="18"/>
        <v>0</v>
      </c>
      <c r="N83" s="153">
        <f t="shared" si="18"/>
        <v>0</v>
      </c>
      <c r="O83" s="153">
        <f t="shared" si="18"/>
        <v>0</v>
      </c>
      <c r="P83" s="153">
        <f t="shared" si="18"/>
        <v>0</v>
      </c>
      <c r="Q83" s="153">
        <f t="shared" si="18"/>
        <v>0</v>
      </c>
      <c r="R83" s="153">
        <f t="shared" si="18"/>
        <v>0</v>
      </c>
      <c r="S83" s="153">
        <f t="shared" si="18"/>
        <v>0</v>
      </c>
      <c r="T83" s="153">
        <f t="shared" si="18"/>
        <v>0</v>
      </c>
      <c r="U83" s="153">
        <f t="shared" si="18"/>
        <v>0</v>
      </c>
      <c r="V83" s="153">
        <f t="shared" si="18"/>
        <v>0</v>
      </c>
      <c r="W83" s="153">
        <f t="shared" si="18"/>
        <v>0</v>
      </c>
      <c r="X83" s="153">
        <f t="shared" si="18"/>
        <v>0</v>
      </c>
      <c r="Y83" s="153">
        <f t="shared" si="18"/>
        <v>0</v>
      </c>
      <c r="Z83" s="153">
        <f t="shared" si="18"/>
        <v>0</v>
      </c>
      <c r="AA83" s="153">
        <f t="shared" si="18"/>
        <v>0</v>
      </c>
      <c r="AB83" s="153">
        <f t="shared" si="18"/>
        <v>0</v>
      </c>
      <c r="AC83" s="153">
        <f t="shared" si="18"/>
        <v>0</v>
      </c>
      <c r="AD83" s="153">
        <f t="shared" si="18"/>
        <v>0</v>
      </c>
      <c r="AE83" s="153">
        <f t="shared" si="18"/>
        <v>0</v>
      </c>
      <c r="AF83" s="153">
        <f t="shared" si="18"/>
        <v>0</v>
      </c>
      <c r="AG83" s="153">
        <f t="shared" si="18"/>
        <v>0</v>
      </c>
      <c r="AH83" s="153">
        <f t="shared" si="18"/>
        <v>0</v>
      </c>
      <c r="AI83" s="153">
        <f t="shared" si="18"/>
        <v>0</v>
      </c>
      <c r="AJ83" s="153">
        <f t="shared" si="18"/>
        <v>0</v>
      </c>
      <c r="AK83" s="153">
        <f t="shared" si="18"/>
        <v>0</v>
      </c>
      <c r="AL83" s="153">
        <f t="shared" si="18"/>
        <v>0</v>
      </c>
      <c r="AM83" s="153">
        <f t="shared" si="18"/>
        <v>0</v>
      </c>
      <c r="AN83" s="378"/>
    </row>
    <row r="84" spans="1:40" ht="12.75" customHeight="1">
      <c r="A84" s="286">
        <v>10</v>
      </c>
      <c r="B84" s="323" t="s">
        <v>202</v>
      </c>
      <c r="C84" s="380">
        <v>60016</v>
      </c>
      <c r="D84" s="332" t="s">
        <v>191</v>
      </c>
      <c r="E84" s="356">
        <v>2011</v>
      </c>
      <c r="F84" s="132" t="s">
        <v>106</v>
      </c>
      <c r="G84" s="133" t="s">
        <v>107</v>
      </c>
      <c r="H84" s="134"/>
      <c r="I84" s="227"/>
      <c r="J84" s="136"/>
      <c r="K84" s="136"/>
      <c r="L84" s="136"/>
      <c r="M84" s="136"/>
      <c r="N84" s="136"/>
      <c r="O84" s="136"/>
      <c r="P84" s="136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376">
        <f>SUM(J91:AM91)</f>
        <v>33200000</v>
      </c>
    </row>
    <row r="85" spans="1:40" ht="12.75">
      <c r="A85" s="287"/>
      <c r="B85" s="319"/>
      <c r="C85" s="381"/>
      <c r="D85" s="333"/>
      <c r="E85" s="354"/>
      <c r="F85" s="281">
        <f>SUM(H90:AM90)</f>
        <v>0</v>
      </c>
      <c r="G85" s="139" t="s">
        <v>108</v>
      </c>
      <c r="H85" s="140"/>
      <c r="I85" s="189">
        <f>10000000+1000000+2000000-1000000</f>
        <v>12000000</v>
      </c>
      <c r="J85" s="142">
        <v>18200000</v>
      </c>
      <c r="K85" s="142">
        <v>15000000</v>
      </c>
      <c r="L85" s="142"/>
      <c r="M85" s="142"/>
      <c r="N85" s="142"/>
      <c r="O85" s="142"/>
      <c r="P85" s="142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377"/>
    </row>
    <row r="86" spans="1:40" ht="12.75">
      <c r="A86" s="287"/>
      <c r="B86" s="319"/>
      <c r="C86" s="381"/>
      <c r="D86" s="333"/>
      <c r="E86" s="354"/>
      <c r="F86" s="379"/>
      <c r="G86" s="139" t="s">
        <v>109</v>
      </c>
      <c r="H86" s="140"/>
      <c r="I86" s="189"/>
      <c r="J86" s="142"/>
      <c r="K86" s="142"/>
      <c r="L86" s="142"/>
      <c r="M86" s="142"/>
      <c r="N86" s="142"/>
      <c r="O86" s="142"/>
      <c r="P86" s="142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377"/>
    </row>
    <row r="87" spans="1:40" ht="12.75">
      <c r="A87" s="287"/>
      <c r="B87" s="319"/>
      <c r="C87" s="381"/>
      <c r="D87" s="333"/>
      <c r="E87" s="266"/>
      <c r="F87" s="145" t="s">
        <v>110</v>
      </c>
      <c r="G87" s="139" t="s">
        <v>111</v>
      </c>
      <c r="H87" s="140"/>
      <c r="I87" s="189"/>
      <c r="J87" s="142"/>
      <c r="K87" s="142"/>
      <c r="L87" s="142"/>
      <c r="M87" s="142"/>
      <c r="N87" s="142"/>
      <c r="O87" s="142"/>
      <c r="P87" s="142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377"/>
    </row>
    <row r="88" spans="1:40" ht="12.75">
      <c r="A88" s="287"/>
      <c r="B88" s="319"/>
      <c r="C88" s="381"/>
      <c r="D88" s="333"/>
      <c r="E88" s="336">
        <v>2013</v>
      </c>
      <c r="F88" s="281">
        <f>SUM(H91:AM91)</f>
        <v>45200000</v>
      </c>
      <c r="G88" s="139" t="s">
        <v>115</v>
      </c>
      <c r="H88" s="140"/>
      <c r="I88" s="189"/>
      <c r="J88" s="142"/>
      <c r="K88" s="142"/>
      <c r="L88" s="142"/>
      <c r="M88" s="142"/>
      <c r="N88" s="142"/>
      <c r="O88" s="142"/>
      <c r="P88" s="142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377"/>
    </row>
    <row r="89" spans="1:40" ht="12.75">
      <c r="A89" s="287"/>
      <c r="B89" s="319"/>
      <c r="C89" s="381"/>
      <c r="D89" s="333"/>
      <c r="E89" s="354"/>
      <c r="F89" s="379"/>
      <c r="G89" s="139" t="s">
        <v>116</v>
      </c>
      <c r="H89" s="140"/>
      <c r="I89" s="189"/>
      <c r="J89" s="142"/>
      <c r="K89" s="142"/>
      <c r="L89" s="142"/>
      <c r="M89" s="142"/>
      <c r="N89" s="142"/>
      <c r="O89" s="142"/>
      <c r="P89" s="142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377"/>
    </row>
    <row r="90" spans="1:40" ht="12.75">
      <c r="A90" s="287"/>
      <c r="B90" s="319"/>
      <c r="C90" s="381"/>
      <c r="D90" s="333"/>
      <c r="E90" s="354"/>
      <c r="F90" s="145" t="s">
        <v>114</v>
      </c>
      <c r="G90" s="139" t="s">
        <v>117</v>
      </c>
      <c r="H90" s="146">
        <f aca="true" t="shared" si="19" ref="H90:AM90">H84+H86+H88</f>
        <v>0</v>
      </c>
      <c r="I90" s="191">
        <f t="shared" si="19"/>
        <v>0</v>
      </c>
      <c r="J90" s="148">
        <f t="shared" si="19"/>
        <v>0</v>
      </c>
      <c r="K90" s="148">
        <f t="shared" si="19"/>
        <v>0</v>
      </c>
      <c r="L90" s="148">
        <f t="shared" si="19"/>
        <v>0</v>
      </c>
      <c r="M90" s="148">
        <f t="shared" si="19"/>
        <v>0</v>
      </c>
      <c r="N90" s="148">
        <f t="shared" si="19"/>
        <v>0</v>
      </c>
      <c r="O90" s="148">
        <f t="shared" si="19"/>
        <v>0</v>
      </c>
      <c r="P90" s="148">
        <f t="shared" si="19"/>
        <v>0</v>
      </c>
      <c r="Q90" s="148">
        <f t="shared" si="19"/>
        <v>0</v>
      </c>
      <c r="R90" s="148">
        <f t="shared" si="19"/>
        <v>0</v>
      </c>
      <c r="S90" s="148">
        <f t="shared" si="19"/>
        <v>0</v>
      </c>
      <c r="T90" s="148">
        <f t="shared" si="19"/>
        <v>0</v>
      </c>
      <c r="U90" s="148">
        <f t="shared" si="19"/>
        <v>0</v>
      </c>
      <c r="V90" s="148">
        <f t="shared" si="19"/>
        <v>0</v>
      </c>
      <c r="W90" s="148">
        <f t="shared" si="19"/>
        <v>0</v>
      </c>
      <c r="X90" s="148">
        <f t="shared" si="19"/>
        <v>0</v>
      </c>
      <c r="Y90" s="148">
        <f t="shared" si="19"/>
        <v>0</v>
      </c>
      <c r="Z90" s="148">
        <f t="shared" si="19"/>
        <v>0</v>
      </c>
      <c r="AA90" s="148">
        <f t="shared" si="19"/>
        <v>0</v>
      </c>
      <c r="AB90" s="148">
        <f t="shared" si="19"/>
        <v>0</v>
      </c>
      <c r="AC90" s="148">
        <f t="shared" si="19"/>
        <v>0</v>
      </c>
      <c r="AD90" s="148">
        <f t="shared" si="19"/>
        <v>0</v>
      </c>
      <c r="AE90" s="148">
        <f t="shared" si="19"/>
        <v>0</v>
      </c>
      <c r="AF90" s="148">
        <f t="shared" si="19"/>
        <v>0</v>
      </c>
      <c r="AG90" s="148">
        <f t="shared" si="19"/>
        <v>0</v>
      </c>
      <c r="AH90" s="148">
        <f t="shared" si="19"/>
        <v>0</v>
      </c>
      <c r="AI90" s="148">
        <f t="shared" si="19"/>
        <v>0</v>
      </c>
      <c r="AJ90" s="148">
        <f t="shared" si="19"/>
        <v>0</v>
      </c>
      <c r="AK90" s="148">
        <f t="shared" si="19"/>
        <v>0</v>
      </c>
      <c r="AL90" s="148">
        <f t="shared" si="19"/>
        <v>0</v>
      </c>
      <c r="AM90" s="148">
        <f t="shared" si="19"/>
        <v>0</v>
      </c>
      <c r="AN90" s="377"/>
    </row>
    <row r="91" spans="1:40" ht="13.5" thickBot="1">
      <c r="A91" s="287"/>
      <c r="B91" s="320"/>
      <c r="C91" s="382"/>
      <c r="D91" s="334"/>
      <c r="E91" s="355"/>
      <c r="F91" s="226">
        <f>F85+F88</f>
        <v>45200000</v>
      </c>
      <c r="G91" s="150" t="s">
        <v>118</v>
      </c>
      <c r="H91" s="151">
        <f aca="true" t="shared" si="20" ref="H91:AM91">H85+H87+H89</f>
        <v>0</v>
      </c>
      <c r="I91" s="228">
        <f t="shared" si="20"/>
        <v>12000000</v>
      </c>
      <c r="J91" s="153">
        <f t="shared" si="20"/>
        <v>18200000</v>
      </c>
      <c r="K91" s="153">
        <f t="shared" si="20"/>
        <v>15000000</v>
      </c>
      <c r="L91" s="153">
        <f t="shared" si="20"/>
        <v>0</v>
      </c>
      <c r="M91" s="153">
        <f t="shared" si="20"/>
        <v>0</v>
      </c>
      <c r="N91" s="153">
        <f t="shared" si="20"/>
        <v>0</v>
      </c>
      <c r="O91" s="153">
        <f t="shared" si="20"/>
        <v>0</v>
      </c>
      <c r="P91" s="153">
        <f t="shared" si="20"/>
        <v>0</v>
      </c>
      <c r="Q91" s="153">
        <f t="shared" si="20"/>
        <v>0</v>
      </c>
      <c r="R91" s="153">
        <f t="shared" si="20"/>
        <v>0</v>
      </c>
      <c r="S91" s="153">
        <f t="shared" si="20"/>
        <v>0</v>
      </c>
      <c r="T91" s="153">
        <f t="shared" si="20"/>
        <v>0</v>
      </c>
      <c r="U91" s="153">
        <f t="shared" si="20"/>
        <v>0</v>
      </c>
      <c r="V91" s="153">
        <f t="shared" si="20"/>
        <v>0</v>
      </c>
      <c r="W91" s="153">
        <f t="shared" si="20"/>
        <v>0</v>
      </c>
      <c r="X91" s="153">
        <f t="shared" si="20"/>
        <v>0</v>
      </c>
      <c r="Y91" s="153">
        <f t="shared" si="20"/>
        <v>0</v>
      </c>
      <c r="Z91" s="153">
        <f t="shared" si="20"/>
        <v>0</v>
      </c>
      <c r="AA91" s="153">
        <f t="shared" si="20"/>
        <v>0</v>
      </c>
      <c r="AB91" s="153">
        <f t="shared" si="20"/>
        <v>0</v>
      </c>
      <c r="AC91" s="153">
        <f t="shared" si="20"/>
        <v>0</v>
      </c>
      <c r="AD91" s="153">
        <f t="shared" si="20"/>
        <v>0</v>
      </c>
      <c r="AE91" s="153">
        <f t="shared" si="20"/>
        <v>0</v>
      </c>
      <c r="AF91" s="153">
        <f t="shared" si="20"/>
        <v>0</v>
      </c>
      <c r="AG91" s="153">
        <f t="shared" si="20"/>
        <v>0</v>
      </c>
      <c r="AH91" s="153">
        <f t="shared" si="20"/>
        <v>0</v>
      </c>
      <c r="AI91" s="153">
        <f t="shared" si="20"/>
        <v>0</v>
      </c>
      <c r="AJ91" s="153">
        <f t="shared" si="20"/>
        <v>0</v>
      </c>
      <c r="AK91" s="153">
        <f t="shared" si="20"/>
        <v>0</v>
      </c>
      <c r="AL91" s="153">
        <f t="shared" si="20"/>
        <v>0</v>
      </c>
      <c r="AM91" s="153">
        <f t="shared" si="20"/>
        <v>0</v>
      </c>
      <c r="AN91" s="378"/>
    </row>
    <row r="92" spans="1:40" ht="12.75" customHeight="1">
      <c r="A92" s="286">
        <v>11</v>
      </c>
      <c r="B92" s="323" t="s">
        <v>203</v>
      </c>
      <c r="C92" s="380">
        <v>60016</v>
      </c>
      <c r="D92" s="332" t="s">
        <v>191</v>
      </c>
      <c r="E92" s="356">
        <v>2011</v>
      </c>
      <c r="F92" s="132" t="s">
        <v>106</v>
      </c>
      <c r="G92" s="133" t="s">
        <v>107</v>
      </c>
      <c r="H92" s="134"/>
      <c r="I92" s="227"/>
      <c r="J92" s="136"/>
      <c r="K92" s="136"/>
      <c r="L92" s="136"/>
      <c r="M92" s="136"/>
      <c r="N92" s="136"/>
      <c r="O92" s="136"/>
      <c r="P92" s="136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376">
        <f>SUM(J99:AM99)</f>
        <v>6600000</v>
      </c>
    </row>
    <row r="93" spans="1:40" ht="12.75">
      <c r="A93" s="287"/>
      <c r="B93" s="319"/>
      <c r="C93" s="381"/>
      <c r="D93" s="333"/>
      <c r="E93" s="354"/>
      <c r="F93" s="281">
        <f>SUM(H98:AM98)</f>
        <v>0</v>
      </c>
      <c r="G93" s="139" t="s">
        <v>108</v>
      </c>
      <c r="H93" s="140"/>
      <c r="I93" s="189">
        <f>2500000-1100000</f>
        <v>1400000</v>
      </c>
      <c r="J93" s="142">
        <v>3000000</v>
      </c>
      <c r="K93" s="142">
        <f>2500000+1100000</f>
        <v>3600000</v>
      </c>
      <c r="L93" s="142"/>
      <c r="M93" s="142"/>
      <c r="N93" s="142"/>
      <c r="O93" s="142"/>
      <c r="P93" s="142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377"/>
    </row>
    <row r="94" spans="1:40" ht="12.75">
      <c r="A94" s="287"/>
      <c r="B94" s="319"/>
      <c r="C94" s="381"/>
      <c r="D94" s="333"/>
      <c r="E94" s="354"/>
      <c r="F94" s="379"/>
      <c r="G94" s="139" t="s">
        <v>109</v>
      </c>
      <c r="H94" s="140"/>
      <c r="I94" s="189"/>
      <c r="J94" s="142"/>
      <c r="K94" s="142"/>
      <c r="L94" s="142"/>
      <c r="M94" s="142"/>
      <c r="N94" s="142"/>
      <c r="O94" s="142"/>
      <c r="P94" s="142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377"/>
    </row>
    <row r="95" spans="1:40" ht="12.75">
      <c r="A95" s="287"/>
      <c r="B95" s="319"/>
      <c r="C95" s="381"/>
      <c r="D95" s="333"/>
      <c r="E95" s="266"/>
      <c r="F95" s="145" t="s">
        <v>110</v>
      </c>
      <c r="G95" s="139" t="s">
        <v>111</v>
      </c>
      <c r="H95" s="140"/>
      <c r="I95" s="189"/>
      <c r="J95" s="142"/>
      <c r="K95" s="142"/>
      <c r="L95" s="142"/>
      <c r="M95" s="142"/>
      <c r="N95" s="142"/>
      <c r="O95" s="142"/>
      <c r="P95" s="142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377"/>
    </row>
    <row r="96" spans="1:40" ht="12.75">
      <c r="A96" s="287"/>
      <c r="B96" s="319"/>
      <c r="C96" s="381"/>
      <c r="D96" s="333"/>
      <c r="E96" s="336">
        <v>2013</v>
      </c>
      <c r="F96" s="281">
        <f>SUM(H99:AM99)</f>
        <v>8000000</v>
      </c>
      <c r="G96" s="139" t="s">
        <v>115</v>
      </c>
      <c r="H96" s="140"/>
      <c r="I96" s="189"/>
      <c r="J96" s="142"/>
      <c r="K96" s="142"/>
      <c r="L96" s="142"/>
      <c r="M96" s="142"/>
      <c r="N96" s="142"/>
      <c r="O96" s="142"/>
      <c r="P96" s="142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377"/>
    </row>
    <row r="97" spans="1:40" ht="12.75">
      <c r="A97" s="287"/>
      <c r="B97" s="319"/>
      <c r="C97" s="381"/>
      <c r="D97" s="333"/>
      <c r="E97" s="354"/>
      <c r="F97" s="379"/>
      <c r="G97" s="139" t="s">
        <v>116</v>
      </c>
      <c r="H97" s="140"/>
      <c r="I97" s="189"/>
      <c r="J97" s="142"/>
      <c r="K97" s="142"/>
      <c r="L97" s="142"/>
      <c r="M97" s="142"/>
      <c r="N97" s="142"/>
      <c r="O97" s="142"/>
      <c r="P97" s="142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377"/>
    </row>
    <row r="98" spans="1:40" ht="12.75">
      <c r="A98" s="287"/>
      <c r="B98" s="319"/>
      <c r="C98" s="381"/>
      <c r="D98" s="333"/>
      <c r="E98" s="354"/>
      <c r="F98" s="145" t="s">
        <v>114</v>
      </c>
      <c r="G98" s="139" t="s">
        <v>117</v>
      </c>
      <c r="H98" s="146">
        <f aca="true" t="shared" si="21" ref="H98:AM98">H92+H94+H96</f>
        <v>0</v>
      </c>
      <c r="I98" s="191">
        <f t="shared" si="21"/>
        <v>0</v>
      </c>
      <c r="J98" s="148">
        <f t="shared" si="21"/>
        <v>0</v>
      </c>
      <c r="K98" s="148">
        <f t="shared" si="21"/>
        <v>0</v>
      </c>
      <c r="L98" s="148">
        <f t="shared" si="21"/>
        <v>0</v>
      </c>
      <c r="M98" s="148">
        <f t="shared" si="21"/>
        <v>0</v>
      </c>
      <c r="N98" s="148">
        <f t="shared" si="21"/>
        <v>0</v>
      </c>
      <c r="O98" s="148">
        <f t="shared" si="21"/>
        <v>0</v>
      </c>
      <c r="P98" s="148">
        <f t="shared" si="21"/>
        <v>0</v>
      </c>
      <c r="Q98" s="148">
        <f t="shared" si="21"/>
        <v>0</v>
      </c>
      <c r="R98" s="148">
        <f t="shared" si="21"/>
        <v>0</v>
      </c>
      <c r="S98" s="148">
        <f t="shared" si="21"/>
        <v>0</v>
      </c>
      <c r="T98" s="148">
        <f t="shared" si="21"/>
        <v>0</v>
      </c>
      <c r="U98" s="148">
        <f t="shared" si="21"/>
        <v>0</v>
      </c>
      <c r="V98" s="148">
        <f t="shared" si="21"/>
        <v>0</v>
      </c>
      <c r="W98" s="148">
        <f t="shared" si="21"/>
        <v>0</v>
      </c>
      <c r="X98" s="148">
        <f t="shared" si="21"/>
        <v>0</v>
      </c>
      <c r="Y98" s="148">
        <f t="shared" si="21"/>
        <v>0</v>
      </c>
      <c r="Z98" s="148">
        <f t="shared" si="21"/>
        <v>0</v>
      </c>
      <c r="AA98" s="148">
        <f t="shared" si="21"/>
        <v>0</v>
      </c>
      <c r="AB98" s="148">
        <f t="shared" si="21"/>
        <v>0</v>
      </c>
      <c r="AC98" s="148">
        <f t="shared" si="21"/>
        <v>0</v>
      </c>
      <c r="AD98" s="148">
        <f t="shared" si="21"/>
        <v>0</v>
      </c>
      <c r="AE98" s="148">
        <f t="shared" si="21"/>
        <v>0</v>
      </c>
      <c r="AF98" s="148">
        <f t="shared" si="21"/>
        <v>0</v>
      </c>
      <c r="AG98" s="148">
        <f t="shared" si="21"/>
        <v>0</v>
      </c>
      <c r="AH98" s="148">
        <f t="shared" si="21"/>
        <v>0</v>
      </c>
      <c r="AI98" s="148">
        <f t="shared" si="21"/>
        <v>0</v>
      </c>
      <c r="AJ98" s="148">
        <f t="shared" si="21"/>
        <v>0</v>
      </c>
      <c r="AK98" s="148">
        <f t="shared" si="21"/>
        <v>0</v>
      </c>
      <c r="AL98" s="148">
        <f t="shared" si="21"/>
        <v>0</v>
      </c>
      <c r="AM98" s="148">
        <f t="shared" si="21"/>
        <v>0</v>
      </c>
      <c r="AN98" s="377"/>
    </row>
    <row r="99" spans="1:40" ht="13.5" thickBot="1">
      <c r="A99" s="287"/>
      <c r="B99" s="320"/>
      <c r="C99" s="382"/>
      <c r="D99" s="334"/>
      <c r="E99" s="355"/>
      <c r="F99" s="226">
        <f>F93+F96</f>
        <v>8000000</v>
      </c>
      <c r="G99" s="150" t="s">
        <v>118</v>
      </c>
      <c r="H99" s="151">
        <f aca="true" t="shared" si="22" ref="H99:AM99">H93+H95+H97</f>
        <v>0</v>
      </c>
      <c r="I99" s="228">
        <f t="shared" si="22"/>
        <v>1400000</v>
      </c>
      <c r="J99" s="153">
        <f t="shared" si="22"/>
        <v>3000000</v>
      </c>
      <c r="K99" s="153">
        <f t="shared" si="22"/>
        <v>3600000</v>
      </c>
      <c r="L99" s="153">
        <f t="shared" si="22"/>
        <v>0</v>
      </c>
      <c r="M99" s="153">
        <f t="shared" si="22"/>
        <v>0</v>
      </c>
      <c r="N99" s="153">
        <f t="shared" si="22"/>
        <v>0</v>
      </c>
      <c r="O99" s="153">
        <f t="shared" si="22"/>
        <v>0</v>
      </c>
      <c r="P99" s="153">
        <f t="shared" si="22"/>
        <v>0</v>
      </c>
      <c r="Q99" s="153">
        <f t="shared" si="22"/>
        <v>0</v>
      </c>
      <c r="R99" s="153">
        <f t="shared" si="22"/>
        <v>0</v>
      </c>
      <c r="S99" s="153">
        <f t="shared" si="22"/>
        <v>0</v>
      </c>
      <c r="T99" s="153">
        <f t="shared" si="22"/>
        <v>0</v>
      </c>
      <c r="U99" s="153">
        <f t="shared" si="22"/>
        <v>0</v>
      </c>
      <c r="V99" s="153">
        <f t="shared" si="22"/>
        <v>0</v>
      </c>
      <c r="W99" s="153">
        <f t="shared" si="22"/>
        <v>0</v>
      </c>
      <c r="X99" s="153">
        <f t="shared" si="22"/>
        <v>0</v>
      </c>
      <c r="Y99" s="153">
        <f t="shared" si="22"/>
        <v>0</v>
      </c>
      <c r="Z99" s="153">
        <f t="shared" si="22"/>
        <v>0</v>
      </c>
      <c r="AA99" s="153">
        <f t="shared" si="22"/>
        <v>0</v>
      </c>
      <c r="AB99" s="153">
        <f t="shared" si="22"/>
        <v>0</v>
      </c>
      <c r="AC99" s="153">
        <f t="shared" si="22"/>
        <v>0</v>
      </c>
      <c r="AD99" s="153">
        <f t="shared" si="22"/>
        <v>0</v>
      </c>
      <c r="AE99" s="153">
        <f t="shared" si="22"/>
        <v>0</v>
      </c>
      <c r="AF99" s="153">
        <f t="shared" si="22"/>
        <v>0</v>
      </c>
      <c r="AG99" s="153">
        <f t="shared" si="22"/>
        <v>0</v>
      </c>
      <c r="AH99" s="153">
        <f t="shared" si="22"/>
        <v>0</v>
      </c>
      <c r="AI99" s="153">
        <f t="shared" si="22"/>
        <v>0</v>
      </c>
      <c r="AJ99" s="153">
        <f t="shared" si="22"/>
        <v>0</v>
      </c>
      <c r="AK99" s="153">
        <f t="shared" si="22"/>
        <v>0</v>
      </c>
      <c r="AL99" s="153">
        <f t="shared" si="22"/>
        <v>0</v>
      </c>
      <c r="AM99" s="153">
        <f t="shared" si="22"/>
        <v>0</v>
      </c>
      <c r="AN99" s="378"/>
    </row>
    <row r="100" spans="1:40" ht="12.75" customHeight="1">
      <c r="A100" s="286">
        <v>12</v>
      </c>
      <c r="B100" s="323" t="s">
        <v>204</v>
      </c>
      <c r="C100" s="380">
        <v>60016</v>
      </c>
      <c r="D100" s="332" t="s">
        <v>191</v>
      </c>
      <c r="E100" s="356">
        <v>2011</v>
      </c>
      <c r="F100" s="132" t="s">
        <v>106</v>
      </c>
      <c r="G100" s="133" t="s">
        <v>107</v>
      </c>
      <c r="H100" s="134"/>
      <c r="I100" s="227"/>
      <c r="J100" s="136"/>
      <c r="K100" s="136"/>
      <c r="L100" s="136"/>
      <c r="M100" s="136"/>
      <c r="N100" s="136"/>
      <c r="O100" s="136"/>
      <c r="P100" s="136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376">
        <f>SUM(J107:AM107)</f>
        <v>2000000</v>
      </c>
    </row>
    <row r="101" spans="1:40" ht="12.75">
      <c r="A101" s="287"/>
      <c r="B101" s="319"/>
      <c r="C101" s="381"/>
      <c r="D101" s="333"/>
      <c r="E101" s="354"/>
      <c r="F101" s="281">
        <f>SUM(H106:AM106)</f>
        <v>0</v>
      </c>
      <c r="G101" s="139" t="s">
        <v>108</v>
      </c>
      <c r="H101" s="140"/>
      <c r="I101" s="189">
        <f>1000000-950000</f>
        <v>50000</v>
      </c>
      <c r="J101" s="142">
        <v>1000000</v>
      </c>
      <c r="K101" s="142">
        <v>1000000</v>
      </c>
      <c r="L101" s="142"/>
      <c r="M101" s="142"/>
      <c r="N101" s="142"/>
      <c r="O101" s="142"/>
      <c r="P101" s="142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377"/>
    </row>
    <row r="102" spans="1:40" ht="12.75">
      <c r="A102" s="287"/>
      <c r="B102" s="319"/>
      <c r="C102" s="381"/>
      <c r="D102" s="333"/>
      <c r="E102" s="354"/>
      <c r="F102" s="379"/>
      <c r="G102" s="139" t="s">
        <v>109</v>
      </c>
      <c r="H102" s="140"/>
      <c r="I102" s="189"/>
      <c r="J102" s="142"/>
      <c r="K102" s="142"/>
      <c r="L102" s="142"/>
      <c r="M102" s="142"/>
      <c r="N102" s="142"/>
      <c r="O102" s="142"/>
      <c r="P102" s="142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377"/>
    </row>
    <row r="103" spans="1:40" ht="12.75">
      <c r="A103" s="287"/>
      <c r="B103" s="319"/>
      <c r="C103" s="381"/>
      <c r="D103" s="333"/>
      <c r="E103" s="266"/>
      <c r="F103" s="145" t="s">
        <v>110</v>
      </c>
      <c r="G103" s="139" t="s">
        <v>111</v>
      </c>
      <c r="H103" s="140"/>
      <c r="I103" s="189"/>
      <c r="J103" s="142"/>
      <c r="K103" s="142"/>
      <c r="L103" s="142"/>
      <c r="M103" s="142"/>
      <c r="N103" s="142"/>
      <c r="O103" s="142"/>
      <c r="P103" s="142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377"/>
    </row>
    <row r="104" spans="1:40" ht="12.75">
      <c r="A104" s="287"/>
      <c r="B104" s="319"/>
      <c r="C104" s="381"/>
      <c r="D104" s="333"/>
      <c r="E104" s="336">
        <v>2013</v>
      </c>
      <c r="F104" s="281">
        <f>SUM(H107:AM107)</f>
        <v>2050000</v>
      </c>
      <c r="G104" s="139" t="s">
        <v>115</v>
      </c>
      <c r="H104" s="140"/>
      <c r="I104" s="189"/>
      <c r="J104" s="142"/>
      <c r="K104" s="142"/>
      <c r="L104" s="142"/>
      <c r="M104" s="142"/>
      <c r="N104" s="142"/>
      <c r="O104" s="142"/>
      <c r="P104" s="142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377"/>
    </row>
    <row r="105" spans="1:40" ht="12.75">
      <c r="A105" s="287"/>
      <c r="B105" s="319"/>
      <c r="C105" s="381"/>
      <c r="D105" s="333"/>
      <c r="E105" s="354"/>
      <c r="F105" s="379"/>
      <c r="G105" s="139" t="s">
        <v>116</v>
      </c>
      <c r="H105" s="140"/>
      <c r="I105" s="189"/>
      <c r="J105" s="142"/>
      <c r="K105" s="142"/>
      <c r="L105" s="142"/>
      <c r="M105" s="142"/>
      <c r="N105" s="142"/>
      <c r="O105" s="142"/>
      <c r="P105" s="142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377"/>
    </row>
    <row r="106" spans="1:40" ht="12.75">
      <c r="A106" s="287"/>
      <c r="B106" s="319"/>
      <c r="C106" s="381"/>
      <c r="D106" s="333"/>
      <c r="E106" s="354"/>
      <c r="F106" s="145" t="s">
        <v>114</v>
      </c>
      <c r="G106" s="139" t="s">
        <v>117</v>
      </c>
      <c r="H106" s="146">
        <f aca="true" t="shared" si="23" ref="H106:AM106">H100+H102+H104</f>
        <v>0</v>
      </c>
      <c r="I106" s="191">
        <f t="shared" si="23"/>
        <v>0</v>
      </c>
      <c r="J106" s="148">
        <f t="shared" si="23"/>
        <v>0</v>
      </c>
      <c r="K106" s="148">
        <f t="shared" si="23"/>
        <v>0</v>
      </c>
      <c r="L106" s="148">
        <f t="shared" si="23"/>
        <v>0</v>
      </c>
      <c r="M106" s="148">
        <f t="shared" si="23"/>
        <v>0</v>
      </c>
      <c r="N106" s="148">
        <f t="shared" si="23"/>
        <v>0</v>
      </c>
      <c r="O106" s="148">
        <f t="shared" si="23"/>
        <v>0</v>
      </c>
      <c r="P106" s="148">
        <f t="shared" si="23"/>
        <v>0</v>
      </c>
      <c r="Q106" s="148">
        <f t="shared" si="23"/>
        <v>0</v>
      </c>
      <c r="R106" s="148">
        <f t="shared" si="23"/>
        <v>0</v>
      </c>
      <c r="S106" s="148">
        <f t="shared" si="23"/>
        <v>0</v>
      </c>
      <c r="T106" s="148">
        <f t="shared" si="23"/>
        <v>0</v>
      </c>
      <c r="U106" s="148">
        <f t="shared" si="23"/>
        <v>0</v>
      </c>
      <c r="V106" s="148">
        <f t="shared" si="23"/>
        <v>0</v>
      </c>
      <c r="W106" s="148">
        <f t="shared" si="23"/>
        <v>0</v>
      </c>
      <c r="X106" s="148">
        <f t="shared" si="23"/>
        <v>0</v>
      </c>
      <c r="Y106" s="148">
        <f t="shared" si="23"/>
        <v>0</v>
      </c>
      <c r="Z106" s="148">
        <f t="shared" si="23"/>
        <v>0</v>
      </c>
      <c r="AA106" s="148">
        <f t="shared" si="23"/>
        <v>0</v>
      </c>
      <c r="AB106" s="148">
        <f t="shared" si="23"/>
        <v>0</v>
      </c>
      <c r="AC106" s="148">
        <f t="shared" si="23"/>
        <v>0</v>
      </c>
      <c r="AD106" s="148">
        <f t="shared" si="23"/>
        <v>0</v>
      </c>
      <c r="AE106" s="148">
        <f t="shared" si="23"/>
        <v>0</v>
      </c>
      <c r="AF106" s="148">
        <f t="shared" si="23"/>
        <v>0</v>
      </c>
      <c r="AG106" s="148">
        <f t="shared" si="23"/>
        <v>0</v>
      </c>
      <c r="AH106" s="148">
        <f t="shared" si="23"/>
        <v>0</v>
      </c>
      <c r="AI106" s="148">
        <f t="shared" si="23"/>
        <v>0</v>
      </c>
      <c r="AJ106" s="148">
        <f t="shared" si="23"/>
        <v>0</v>
      </c>
      <c r="AK106" s="148">
        <f t="shared" si="23"/>
        <v>0</v>
      </c>
      <c r="AL106" s="148">
        <f t="shared" si="23"/>
        <v>0</v>
      </c>
      <c r="AM106" s="148">
        <f t="shared" si="23"/>
        <v>0</v>
      </c>
      <c r="AN106" s="377"/>
    </row>
    <row r="107" spans="1:40" ht="13.5" thickBot="1">
      <c r="A107" s="287"/>
      <c r="B107" s="320"/>
      <c r="C107" s="382"/>
      <c r="D107" s="333"/>
      <c r="E107" s="355"/>
      <c r="F107" s="226">
        <f>F101+F104</f>
        <v>2050000</v>
      </c>
      <c r="G107" s="150" t="s">
        <v>118</v>
      </c>
      <c r="H107" s="151">
        <f aca="true" t="shared" si="24" ref="H107:AM107">H101+H103+H105</f>
        <v>0</v>
      </c>
      <c r="I107" s="228">
        <f t="shared" si="24"/>
        <v>50000</v>
      </c>
      <c r="J107" s="153">
        <f t="shared" si="24"/>
        <v>1000000</v>
      </c>
      <c r="K107" s="153">
        <f t="shared" si="24"/>
        <v>1000000</v>
      </c>
      <c r="L107" s="153">
        <f t="shared" si="24"/>
        <v>0</v>
      </c>
      <c r="M107" s="153">
        <f t="shared" si="24"/>
        <v>0</v>
      </c>
      <c r="N107" s="153">
        <f t="shared" si="24"/>
        <v>0</v>
      </c>
      <c r="O107" s="153">
        <f t="shared" si="24"/>
        <v>0</v>
      </c>
      <c r="P107" s="153">
        <f t="shared" si="24"/>
        <v>0</v>
      </c>
      <c r="Q107" s="153">
        <f t="shared" si="24"/>
        <v>0</v>
      </c>
      <c r="R107" s="153">
        <f t="shared" si="24"/>
        <v>0</v>
      </c>
      <c r="S107" s="153">
        <f t="shared" si="24"/>
        <v>0</v>
      </c>
      <c r="T107" s="153">
        <f t="shared" si="24"/>
        <v>0</v>
      </c>
      <c r="U107" s="153">
        <f t="shared" si="24"/>
        <v>0</v>
      </c>
      <c r="V107" s="153">
        <f t="shared" si="24"/>
        <v>0</v>
      </c>
      <c r="W107" s="153">
        <f t="shared" si="24"/>
        <v>0</v>
      </c>
      <c r="X107" s="153">
        <f t="shared" si="24"/>
        <v>0</v>
      </c>
      <c r="Y107" s="153">
        <f t="shared" si="24"/>
        <v>0</v>
      </c>
      <c r="Z107" s="153">
        <f t="shared" si="24"/>
        <v>0</v>
      </c>
      <c r="AA107" s="153">
        <f t="shared" si="24"/>
        <v>0</v>
      </c>
      <c r="AB107" s="153">
        <f t="shared" si="24"/>
        <v>0</v>
      </c>
      <c r="AC107" s="153">
        <f t="shared" si="24"/>
        <v>0</v>
      </c>
      <c r="AD107" s="153">
        <f t="shared" si="24"/>
        <v>0</v>
      </c>
      <c r="AE107" s="153">
        <f t="shared" si="24"/>
        <v>0</v>
      </c>
      <c r="AF107" s="153">
        <f t="shared" si="24"/>
        <v>0</v>
      </c>
      <c r="AG107" s="153">
        <f t="shared" si="24"/>
        <v>0</v>
      </c>
      <c r="AH107" s="153">
        <f t="shared" si="24"/>
        <v>0</v>
      </c>
      <c r="AI107" s="153">
        <f t="shared" si="24"/>
        <v>0</v>
      </c>
      <c r="AJ107" s="153">
        <f t="shared" si="24"/>
        <v>0</v>
      </c>
      <c r="AK107" s="153">
        <f t="shared" si="24"/>
        <v>0</v>
      </c>
      <c r="AL107" s="153">
        <f t="shared" si="24"/>
        <v>0</v>
      </c>
      <c r="AM107" s="153">
        <f t="shared" si="24"/>
        <v>0</v>
      </c>
      <c r="AN107" s="378"/>
    </row>
    <row r="108" spans="1:40" ht="12.75" customHeight="1">
      <c r="A108" s="286">
        <v>13</v>
      </c>
      <c r="B108" s="323" t="s">
        <v>205</v>
      </c>
      <c r="C108" s="380">
        <v>60016</v>
      </c>
      <c r="D108" s="332" t="s">
        <v>191</v>
      </c>
      <c r="E108" s="356">
        <v>2011</v>
      </c>
      <c r="F108" s="132" t="s">
        <v>106</v>
      </c>
      <c r="G108" s="133" t="s">
        <v>192</v>
      </c>
      <c r="H108" s="134"/>
      <c r="I108" s="187"/>
      <c r="J108" s="158"/>
      <c r="K108" s="158"/>
      <c r="L108" s="158"/>
      <c r="M108" s="158"/>
      <c r="N108" s="158"/>
      <c r="O108" s="158"/>
      <c r="P108" s="158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376">
        <f>SUM(J115:AM115)</f>
        <v>2000000</v>
      </c>
    </row>
    <row r="109" spans="1:40" ht="12.75">
      <c r="A109" s="287"/>
      <c r="B109" s="319"/>
      <c r="C109" s="381"/>
      <c r="D109" s="333"/>
      <c r="E109" s="354"/>
      <c r="F109" s="281">
        <f>SUM(H114:AM114)</f>
        <v>0</v>
      </c>
      <c r="G109" s="139" t="s">
        <v>193</v>
      </c>
      <c r="H109" s="140"/>
      <c r="I109" s="189">
        <f>1400000+15000</f>
        <v>1415000</v>
      </c>
      <c r="J109" s="142">
        <v>1000000</v>
      </c>
      <c r="K109" s="142">
        <v>1000000</v>
      </c>
      <c r="L109" s="142"/>
      <c r="M109" s="142"/>
      <c r="N109" s="142"/>
      <c r="O109" s="142"/>
      <c r="P109" s="142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377"/>
    </row>
    <row r="110" spans="1:40" ht="12.75">
      <c r="A110" s="287"/>
      <c r="B110" s="319"/>
      <c r="C110" s="381"/>
      <c r="D110" s="333"/>
      <c r="E110" s="354"/>
      <c r="F110" s="379"/>
      <c r="G110" s="139" t="s">
        <v>109</v>
      </c>
      <c r="H110" s="140"/>
      <c r="I110" s="189"/>
      <c r="J110" s="142"/>
      <c r="K110" s="142"/>
      <c r="L110" s="142"/>
      <c r="M110" s="142"/>
      <c r="N110" s="142"/>
      <c r="O110" s="142"/>
      <c r="P110" s="142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377"/>
    </row>
    <row r="111" spans="1:40" ht="12.75">
      <c r="A111" s="287"/>
      <c r="B111" s="319"/>
      <c r="C111" s="381"/>
      <c r="D111" s="333"/>
      <c r="E111" s="266"/>
      <c r="F111" s="145" t="s">
        <v>110</v>
      </c>
      <c r="G111" s="139" t="s">
        <v>111</v>
      </c>
      <c r="H111" s="140"/>
      <c r="I111" s="189"/>
      <c r="J111" s="142"/>
      <c r="K111" s="142"/>
      <c r="L111" s="142"/>
      <c r="M111" s="142"/>
      <c r="N111" s="142"/>
      <c r="O111" s="142"/>
      <c r="P111" s="142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377"/>
    </row>
    <row r="112" spans="1:40" ht="12.75">
      <c r="A112" s="287"/>
      <c r="B112" s="319"/>
      <c r="C112" s="381"/>
      <c r="D112" s="333"/>
      <c r="E112" s="336">
        <v>2013</v>
      </c>
      <c r="F112" s="281">
        <f>SUM(H115:AM115)</f>
        <v>3415000</v>
      </c>
      <c r="G112" s="139" t="s">
        <v>115</v>
      </c>
      <c r="H112" s="140"/>
      <c r="I112" s="189"/>
      <c r="J112" s="142"/>
      <c r="K112" s="142"/>
      <c r="L112" s="142"/>
      <c r="M112" s="142"/>
      <c r="N112" s="142"/>
      <c r="O112" s="142"/>
      <c r="P112" s="142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377"/>
    </row>
    <row r="113" spans="1:40" ht="12.75">
      <c r="A113" s="287"/>
      <c r="B113" s="319"/>
      <c r="C113" s="381"/>
      <c r="D113" s="333"/>
      <c r="E113" s="354"/>
      <c r="F113" s="379"/>
      <c r="G113" s="139" t="s">
        <v>116</v>
      </c>
      <c r="H113" s="140"/>
      <c r="I113" s="189"/>
      <c r="J113" s="142"/>
      <c r="K113" s="142"/>
      <c r="L113" s="142"/>
      <c r="M113" s="142"/>
      <c r="N113" s="142"/>
      <c r="O113" s="142"/>
      <c r="P113" s="142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377"/>
    </row>
    <row r="114" spans="1:40" ht="12.75">
      <c r="A114" s="287"/>
      <c r="B114" s="319"/>
      <c r="C114" s="381"/>
      <c r="D114" s="333"/>
      <c r="E114" s="354"/>
      <c r="F114" s="145" t="s">
        <v>114</v>
      </c>
      <c r="G114" s="139" t="s">
        <v>117</v>
      </c>
      <c r="H114" s="146">
        <f aca="true" t="shared" si="25" ref="H114:AM114">H108+H110+H112</f>
        <v>0</v>
      </c>
      <c r="I114" s="191">
        <f t="shared" si="25"/>
        <v>0</v>
      </c>
      <c r="J114" s="148">
        <f t="shared" si="25"/>
        <v>0</v>
      </c>
      <c r="K114" s="148">
        <f t="shared" si="25"/>
        <v>0</v>
      </c>
      <c r="L114" s="148">
        <f t="shared" si="25"/>
        <v>0</v>
      </c>
      <c r="M114" s="148">
        <f t="shared" si="25"/>
        <v>0</v>
      </c>
      <c r="N114" s="148">
        <f t="shared" si="25"/>
        <v>0</v>
      </c>
      <c r="O114" s="148">
        <f t="shared" si="25"/>
        <v>0</v>
      </c>
      <c r="P114" s="148">
        <f t="shared" si="25"/>
        <v>0</v>
      </c>
      <c r="Q114" s="148">
        <f t="shared" si="25"/>
        <v>0</v>
      </c>
      <c r="R114" s="148">
        <f t="shared" si="25"/>
        <v>0</v>
      </c>
      <c r="S114" s="148">
        <f t="shared" si="25"/>
        <v>0</v>
      </c>
      <c r="T114" s="148">
        <f t="shared" si="25"/>
        <v>0</v>
      </c>
      <c r="U114" s="148">
        <f t="shared" si="25"/>
        <v>0</v>
      </c>
      <c r="V114" s="148">
        <f t="shared" si="25"/>
        <v>0</v>
      </c>
      <c r="W114" s="148">
        <f t="shared" si="25"/>
        <v>0</v>
      </c>
      <c r="X114" s="148">
        <f t="shared" si="25"/>
        <v>0</v>
      </c>
      <c r="Y114" s="148">
        <f t="shared" si="25"/>
        <v>0</v>
      </c>
      <c r="Z114" s="148">
        <f t="shared" si="25"/>
        <v>0</v>
      </c>
      <c r="AA114" s="148">
        <f t="shared" si="25"/>
        <v>0</v>
      </c>
      <c r="AB114" s="148">
        <f t="shared" si="25"/>
        <v>0</v>
      </c>
      <c r="AC114" s="148">
        <f t="shared" si="25"/>
        <v>0</v>
      </c>
      <c r="AD114" s="148">
        <f t="shared" si="25"/>
        <v>0</v>
      </c>
      <c r="AE114" s="148">
        <f t="shared" si="25"/>
        <v>0</v>
      </c>
      <c r="AF114" s="148">
        <f t="shared" si="25"/>
        <v>0</v>
      </c>
      <c r="AG114" s="148">
        <f t="shared" si="25"/>
        <v>0</v>
      </c>
      <c r="AH114" s="148">
        <f t="shared" si="25"/>
        <v>0</v>
      </c>
      <c r="AI114" s="148">
        <f t="shared" si="25"/>
        <v>0</v>
      </c>
      <c r="AJ114" s="148">
        <f t="shared" si="25"/>
        <v>0</v>
      </c>
      <c r="AK114" s="148">
        <f t="shared" si="25"/>
        <v>0</v>
      </c>
      <c r="AL114" s="148">
        <f t="shared" si="25"/>
        <v>0</v>
      </c>
      <c r="AM114" s="148">
        <f t="shared" si="25"/>
        <v>0</v>
      </c>
      <c r="AN114" s="377"/>
    </row>
    <row r="115" spans="1:40" ht="13.5" thickBot="1">
      <c r="A115" s="287"/>
      <c r="B115" s="319"/>
      <c r="C115" s="381"/>
      <c r="D115" s="333"/>
      <c r="E115" s="354"/>
      <c r="F115" s="226">
        <f>F109+F112</f>
        <v>3415000</v>
      </c>
      <c r="G115" s="164" t="s">
        <v>118</v>
      </c>
      <c r="H115" s="151">
        <f aca="true" t="shared" si="26" ref="H115:AM115">H109+H111+H113</f>
        <v>0</v>
      </c>
      <c r="I115" s="193">
        <f t="shared" si="26"/>
        <v>1415000</v>
      </c>
      <c r="J115" s="166">
        <f t="shared" si="26"/>
        <v>1000000</v>
      </c>
      <c r="K115" s="166">
        <f t="shared" si="26"/>
        <v>1000000</v>
      </c>
      <c r="L115" s="166">
        <f t="shared" si="26"/>
        <v>0</v>
      </c>
      <c r="M115" s="166">
        <f t="shared" si="26"/>
        <v>0</v>
      </c>
      <c r="N115" s="166">
        <f t="shared" si="26"/>
        <v>0</v>
      </c>
      <c r="O115" s="166">
        <f t="shared" si="26"/>
        <v>0</v>
      </c>
      <c r="P115" s="166">
        <f t="shared" si="26"/>
        <v>0</v>
      </c>
      <c r="Q115" s="166">
        <f t="shared" si="26"/>
        <v>0</v>
      </c>
      <c r="R115" s="166">
        <f t="shared" si="26"/>
        <v>0</v>
      </c>
      <c r="S115" s="166">
        <f t="shared" si="26"/>
        <v>0</v>
      </c>
      <c r="T115" s="166">
        <f t="shared" si="26"/>
        <v>0</v>
      </c>
      <c r="U115" s="166">
        <f t="shared" si="26"/>
        <v>0</v>
      </c>
      <c r="V115" s="166">
        <f t="shared" si="26"/>
        <v>0</v>
      </c>
      <c r="W115" s="166">
        <f t="shared" si="26"/>
        <v>0</v>
      </c>
      <c r="X115" s="166">
        <f t="shared" si="26"/>
        <v>0</v>
      </c>
      <c r="Y115" s="166">
        <f t="shared" si="26"/>
        <v>0</v>
      </c>
      <c r="Z115" s="166">
        <f t="shared" si="26"/>
        <v>0</v>
      </c>
      <c r="AA115" s="166">
        <f t="shared" si="26"/>
        <v>0</v>
      </c>
      <c r="AB115" s="166">
        <f t="shared" si="26"/>
        <v>0</v>
      </c>
      <c r="AC115" s="166">
        <f t="shared" si="26"/>
        <v>0</v>
      </c>
      <c r="AD115" s="166">
        <f t="shared" si="26"/>
        <v>0</v>
      </c>
      <c r="AE115" s="166">
        <f t="shared" si="26"/>
        <v>0</v>
      </c>
      <c r="AF115" s="166">
        <f t="shared" si="26"/>
        <v>0</v>
      </c>
      <c r="AG115" s="166">
        <f t="shared" si="26"/>
        <v>0</v>
      </c>
      <c r="AH115" s="166">
        <f t="shared" si="26"/>
        <v>0</v>
      </c>
      <c r="AI115" s="166">
        <f t="shared" si="26"/>
        <v>0</v>
      </c>
      <c r="AJ115" s="166">
        <f t="shared" si="26"/>
        <v>0</v>
      </c>
      <c r="AK115" s="166">
        <f t="shared" si="26"/>
        <v>0</v>
      </c>
      <c r="AL115" s="166">
        <f t="shared" si="26"/>
        <v>0</v>
      </c>
      <c r="AM115" s="166">
        <f t="shared" si="26"/>
        <v>0</v>
      </c>
      <c r="AN115" s="378"/>
    </row>
    <row r="116" spans="1:40" ht="12.75" customHeight="1">
      <c r="A116" s="286">
        <v>14</v>
      </c>
      <c r="B116" s="323" t="s">
        <v>206</v>
      </c>
      <c r="C116" s="380">
        <v>60016</v>
      </c>
      <c r="D116" s="332" t="s">
        <v>191</v>
      </c>
      <c r="E116" s="356">
        <v>2011</v>
      </c>
      <c r="F116" s="132" t="s">
        <v>106</v>
      </c>
      <c r="G116" s="133" t="s">
        <v>107</v>
      </c>
      <c r="H116" s="134"/>
      <c r="I116" s="227"/>
      <c r="J116" s="136"/>
      <c r="K116" s="136"/>
      <c r="L116" s="136"/>
      <c r="M116" s="136"/>
      <c r="N116" s="136"/>
      <c r="O116" s="136"/>
      <c r="P116" s="136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376">
        <f>SUM(J123:AM123)</f>
        <v>2000000</v>
      </c>
    </row>
    <row r="117" spans="1:40" ht="12.75">
      <c r="A117" s="287"/>
      <c r="B117" s="319"/>
      <c r="C117" s="381"/>
      <c r="D117" s="333"/>
      <c r="E117" s="354"/>
      <c r="F117" s="281">
        <f>SUM(H122:AM122)</f>
        <v>0</v>
      </c>
      <c r="G117" s="139" t="s">
        <v>108</v>
      </c>
      <c r="H117" s="140"/>
      <c r="I117" s="189">
        <v>2000000</v>
      </c>
      <c r="J117" s="142">
        <v>1000000</v>
      </c>
      <c r="K117" s="142">
        <v>1000000</v>
      </c>
      <c r="L117" s="142"/>
      <c r="M117" s="142"/>
      <c r="N117" s="142"/>
      <c r="O117" s="142"/>
      <c r="P117" s="142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377"/>
    </row>
    <row r="118" spans="1:40" ht="12.75">
      <c r="A118" s="287"/>
      <c r="B118" s="319"/>
      <c r="C118" s="381"/>
      <c r="D118" s="333"/>
      <c r="E118" s="354"/>
      <c r="F118" s="379"/>
      <c r="G118" s="139" t="s">
        <v>109</v>
      </c>
      <c r="H118" s="140"/>
      <c r="I118" s="189"/>
      <c r="J118" s="142"/>
      <c r="K118" s="142"/>
      <c r="L118" s="142"/>
      <c r="M118" s="142"/>
      <c r="N118" s="142"/>
      <c r="O118" s="142"/>
      <c r="P118" s="142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377"/>
    </row>
    <row r="119" spans="1:40" ht="12.75">
      <c r="A119" s="287"/>
      <c r="B119" s="319"/>
      <c r="C119" s="381"/>
      <c r="D119" s="333"/>
      <c r="E119" s="266"/>
      <c r="F119" s="145" t="s">
        <v>110</v>
      </c>
      <c r="G119" s="139" t="s">
        <v>111</v>
      </c>
      <c r="H119" s="140"/>
      <c r="I119" s="189"/>
      <c r="J119" s="142"/>
      <c r="K119" s="142"/>
      <c r="L119" s="142"/>
      <c r="M119" s="142"/>
      <c r="N119" s="142"/>
      <c r="O119" s="142"/>
      <c r="P119" s="142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377"/>
    </row>
    <row r="120" spans="1:40" ht="12.75">
      <c r="A120" s="287"/>
      <c r="B120" s="319"/>
      <c r="C120" s="381"/>
      <c r="D120" s="333"/>
      <c r="E120" s="336">
        <v>2013</v>
      </c>
      <c r="F120" s="281">
        <f>SUM(H123:AM123)</f>
        <v>4000000</v>
      </c>
      <c r="G120" s="139" t="s">
        <v>115</v>
      </c>
      <c r="H120" s="140"/>
      <c r="I120" s="189"/>
      <c r="J120" s="142"/>
      <c r="K120" s="142"/>
      <c r="L120" s="142"/>
      <c r="M120" s="142"/>
      <c r="N120" s="142"/>
      <c r="O120" s="142"/>
      <c r="P120" s="142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377"/>
    </row>
    <row r="121" spans="1:40" ht="12.75">
      <c r="A121" s="287"/>
      <c r="B121" s="319"/>
      <c r="C121" s="381"/>
      <c r="D121" s="333"/>
      <c r="E121" s="354"/>
      <c r="F121" s="379"/>
      <c r="G121" s="139" t="s">
        <v>116</v>
      </c>
      <c r="H121" s="140"/>
      <c r="I121" s="189"/>
      <c r="J121" s="142"/>
      <c r="K121" s="142"/>
      <c r="L121" s="142"/>
      <c r="M121" s="142"/>
      <c r="N121" s="142"/>
      <c r="O121" s="142"/>
      <c r="P121" s="142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377"/>
    </row>
    <row r="122" spans="1:40" ht="12.75">
      <c r="A122" s="287"/>
      <c r="B122" s="319"/>
      <c r="C122" s="381"/>
      <c r="D122" s="333"/>
      <c r="E122" s="354"/>
      <c r="F122" s="145" t="s">
        <v>114</v>
      </c>
      <c r="G122" s="139" t="s">
        <v>117</v>
      </c>
      <c r="H122" s="146">
        <f aca="true" t="shared" si="27" ref="H122:AM122">H116+H118+H120</f>
        <v>0</v>
      </c>
      <c r="I122" s="191">
        <f t="shared" si="27"/>
        <v>0</v>
      </c>
      <c r="J122" s="148">
        <f t="shared" si="27"/>
        <v>0</v>
      </c>
      <c r="K122" s="148">
        <f t="shared" si="27"/>
        <v>0</v>
      </c>
      <c r="L122" s="148">
        <f t="shared" si="27"/>
        <v>0</v>
      </c>
      <c r="M122" s="148">
        <f t="shared" si="27"/>
        <v>0</v>
      </c>
      <c r="N122" s="148">
        <f t="shared" si="27"/>
        <v>0</v>
      </c>
      <c r="O122" s="148">
        <f t="shared" si="27"/>
        <v>0</v>
      </c>
      <c r="P122" s="148">
        <f t="shared" si="27"/>
        <v>0</v>
      </c>
      <c r="Q122" s="148">
        <f t="shared" si="27"/>
        <v>0</v>
      </c>
      <c r="R122" s="148">
        <f t="shared" si="27"/>
        <v>0</v>
      </c>
      <c r="S122" s="148">
        <f t="shared" si="27"/>
        <v>0</v>
      </c>
      <c r="T122" s="148">
        <f t="shared" si="27"/>
        <v>0</v>
      </c>
      <c r="U122" s="148">
        <f t="shared" si="27"/>
        <v>0</v>
      </c>
      <c r="V122" s="148">
        <f t="shared" si="27"/>
        <v>0</v>
      </c>
      <c r="W122" s="148">
        <f t="shared" si="27"/>
        <v>0</v>
      </c>
      <c r="X122" s="148">
        <f t="shared" si="27"/>
        <v>0</v>
      </c>
      <c r="Y122" s="148">
        <f t="shared" si="27"/>
        <v>0</v>
      </c>
      <c r="Z122" s="148">
        <f t="shared" si="27"/>
        <v>0</v>
      </c>
      <c r="AA122" s="148">
        <f t="shared" si="27"/>
        <v>0</v>
      </c>
      <c r="AB122" s="148">
        <f t="shared" si="27"/>
        <v>0</v>
      </c>
      <c r="AC122" s="148">
        <f t="shared" si="27"/>
        <v>0</v>
      </c>
      <c r="AD122" s="148">
        <f t="shared" si="27"/>
        <v>0</v>
      </c>
      <c r="AE122" s="148">
        <f t="shared" si="27"/>
        <v>0</v>
      </c>
      <c r="AF122" s="148">
        <f t="shared" si="27"/>
        <v>0</v>
      </c>
      <c r="AG122" s="148">
        <f t="shared" si="27"/>
        <v>0</v>
      </c>
      <c r="AH122" s="148">
        <f t="shared" si="27"/>
        <v>0</v>
      </c>
      <c r="AI122" s="148">
        <f t="shared" si="27"/>
        <v>0</v>
      </c>
      <c r="AJ122" s="148">
        <f t="shared" si="27"/>
        <v>0</v>
      </c>
      <c r="AK122" s="148">
        <f t="shared" si="27"/>
        <v>0</v>
      </c>
      <c r="AL122" s="148">
        <f t="shared" si="27"/>
        <v>0</v>
      </c>
      <c r="AM122" s="148">
        <f t="shared" si="27"/>
        <v>0</v>
      </c>
      <c r="AN122" s="377"/>
    </row>
    <row r="123" spans="1:40" ht="13.5" thickBot="1">
      <c r="A123" s="318"/>
      <c r="B123" s="320"/>
      <c r="C123" s="382"/>
      <c r="D123" s="334"/>
      <c r="E123" s="355"/>
      <c r="F123" s="226">
        <f>F117+F120</f>
        <v>4000000</v>
      </c>
      <c r="G123" s="150" t="s">
        <v>118</v>
      </c>
      <c r="H123" s="151">
        <f aca="true" t="shared" si="28" ref="H123:AM123">H117+H119+H121</f>
        <v>0</v>
      </c>
      <c r="I123" s="228">
        <f t="shared" si="28"/>
        <v>2000000</v>
      </c>
      <c r="J123" s="153">
        <f t="shared" si="28"/>
        <v>1000000</v>
      </c>
      <c r="K123" s="153">
        <f t="shared" si="28"/>
        <v>1000000</v>
      </c>
      <c r="L123" s="153">
        <f t="shared" si="28"/>
        <v>0</v>
      </c>
      <c r="M123" s="153">
        <f t="shared" si="28"/>
        <v>0</v>
      </c>
      <c r="N123" s="153">
        <f t="shared" si="28"/>
        <v>0</v>
      </c>
      <c r="O123" s="153">
        <f t="shared" si="28"/>
        <v>0</v>
      </c>
      <c r="P123" s="153">
        <f t="shared" si="28"/>
        <v>0</v>
      </c>
      <c r="Q123" s="153">
        <f t="shared" si="28"/>
        <v>0</v>
      </c>
      <c r="R123" s="153">
        <f t="shared" si="28"/>
        <v>0</v>
      </c>
      <c r="S123" s="153">
        <f t="shared" si="28"/>
        <v>0</v>
      </c>
      <c r="T123" s="153">
        <f t="shared" si="28"/>
        <v>0</v>
      </c>
      <c r="U123" s="153">
        <f t="shared" si="28"/>
        <v>0</v>
      </c>
      <c r="V123" s="153">
        <f t="shared" si="28"/>
        <v>0</v>
      </c>
      <c r="W123" s="153">
        <f t="shared" si="28"/>
        <v>0</v>
      </c>
      <c r="X123" s="153">
        <f t="shared" si="28"/>
        <v>0</v>
      </c>
      <c r="Y123" s="153">
        <f t="shared" si="28"/>
        <v>0</v>
      </c>
      <c r="Z123" s="153">
        <f t="shared" si="28"/>
        <v>0</v>
      </c>
      <c r="AA123" s="153">
        <f t="shared" si="28"/>
        <v>0</v>
      </c>
      <c r="AB123" s="153">
        <f t="shared" si="28"/>
        <v>0</v>
      </c>
      <c r="AC123" s="153">
        <f t="shared" si="28"/>
        <v>0</v>
      </c>
      <c r="AD123" s="153">
        <f t="shared" si="28"/>
        <v>0</v>
      </c>
      <c r="AE123" s="153">
        <f t="shared" si="28"/>
        <v>0</v>
      </c>
      <c r="AF123" s="153">
        <f t="shared" si="28"/>
        <v>0</v>
      </c>
      <c r="AG123" s="153">
        <f t="shared" si="28"/>
        <v>0</v>
      </c>
      <c r="AH123" s="153">
        <f t="shared" si="28"/>
        <v>0</v>
      </c>
      <c r="AI123" s="153">
        <f t="shared" si="28"/>
        <v>0</v>
      </c>
      <c r="AJ123" s="153">
        <f t="shared" si="28"/>
        <v>0</v>
      </c>
      <c r="AK123" s="153">
        <f t="shared" si="28"/>
        <v>0</v>
      </c>
      <c r="AL123" s="153">
        <f t="shared" si="28"/>
        <v>0</v>
      </c>
      <c r="AM123" s="153">
        <f t="shared" si="28"/>
        <v>0</v>
      </c>
      <c r="AN123" s="378"/>
    </row>
    <row r="124" spans="1:40" ht="12.75" customHeight="1">
      <c r="A124" s="286">
        <v>15</v>
      </c>
      <c r="B124" s="323" t="s">
        <v>207</v>
      </c>
      <c r="C124" s="380">
        <v>60095</v>
      </c>
      <c r="D124" s="332" t="s">
        <v>191</v>
      </c>
      <c r="E124" s="356">
        <v>2010</v>
      </c>
      <c r="F124" s="132" t="s">
        <v>106</v>
      </c>
      <c r="G124" s="133" t="s">
        <v>107</v>
      </c>
      <c r="H124" s="134"/>
      <c r="I124" s="227"/>
      <c r="J124" s="136"/>
      <c r="K124" s="136"/>
      <c r="L124" s="136"/>
      <c r="M124" s="136"/>
      <c r="N124" s="136"/>
      <c r="O124" s="136"/>
      <c r="P124" s="136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376">
        <f>SUM(J131:AM131)</f>
        <v>0</v>
      </c>
    </row>
    <row r="125" spans="1:40" ht="12.75">
      <c r="A125" s="287"/>
      <c r="B125" s="319"/>
      <c r="C125" s="381"/>
      <c r="D125" s="333"/>
      <c r="E125" s="354"/>
      <c r="F125" s="281">
        <f>SUM(H130:AM130)</f>
        <v>0</v>
      </c>
      <c r="G125" s="139" t="s">
        <v>108</v>
      </c>
      <c r="H125" s="140">
        <v>1000000</v>
      </c>
      <c r="I125" s="189">
        <v>1000000</v>
      </c>
      <c r="J125" s="142"/>
      <c r="K125" s="142"/>
      <c r="L125" s="142"/>
      <c r="M125" s="142"/>
      <c r="N125" s="142"/>
      <c r="O125" s="142"/>
      <c r="P125" s="142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377"/>
    </row>
    <row r="126" spans="1:40" ht="12.75">
      <c r="A126" s="287"/>
      <c r="B126" s="319"/>
      <c r="C126" s="381"/>
      <c r="D126" s="333"/>
      <c r="E126" s="354"/>
      <c r="F126" s="379"/>
      <c r="G126" s="139" t="s">
        <v>109</v>
      </c>
      <c r="H126" s="140"/>
      <c r="I126" s="189"/>
      <c r="J126" s="142"/>
      <c r="K126" s="142"/>
      <c r="L126" s="142"/>
      <c r="M126" s="142"/>
      <c r="N126" s="142"/>
      <c r="O126" s="142"/>
      <c r="P126" s="142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377"/>
    </row>
    <row r="127" spans="1:40" ht="12.75">
      <c r="A127" s="287"/>
      <c r="B127" s="319"/>
      <c r="C127" s="381"/>
      <c r="D127" s="333"/>
      <c r="E127" s="266"/>
      <c r="F127" s="145" t="s">
        <v>110</v>
      </c>
      <c r="G127" s="139" t="s">
        <v>111</v>
      </c>
      <c r="H127" s="140"/>
      <c r="I127" s="189"/>
      <c r="J127" s="142"/>
      <c r="K127" s="142"/>
      <c r="L127" s="142"/>
      <c r="M127" s="142"/>
      <c r="N127" s="142"/>
      <c r="O127" s="142"/>
      <c r="P127" s="142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377"/>
    </row>
    <row r="128" spans="1:40" ht="12.75">
      <c r="A128" s="287"/>
      <c r="B128" s="319"/>
      <c r="C128" s="381"/>
      <c r="D128" s="333"/>
      <c r="E128" s="336">
        <v>2011</v>
      </c>
      <c r="F128" s="281">
        <f>SUM(H131:AM131)</f>
        <v>2000000</v>
      </c>
      <c r="G128" s="139" t="s">
        <v>115</v>
      </c>
      <c r="H128" s="140"/>
      <c r="I128" s="189"/>
      <c r="J128" s="142"/>
      <c r="K128" s="142"/>
      <c r="L128" s="142"/>
      <c r="M128" s="142"/>
      <c r="N128" s="142"/>
      <c r="O128" s="142"/>
      <c r="P128" s="142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377"/>
    </row>
    <row r="129" spans="1:40" ht="12.75">
      <c r="A129" s="287"/>
      <c r="B129" s="319"/>
      <c r="C129" s="381"/>
      <c r="D129" s="333"/>
      <c r="E129" s="354"/>
      <c r="F129" s="379"/>
      <c r="G129" s="139" t="s">
        <v>116</v>
      </c>
      <c r="H129" s="140"/>
      <c r="I129" s="189"/>
      <c r="J129" s="142"/>
      <c r="K129" s="142"/>
      <c r="L129" s="142"/>
      <c r="M129" s="142"/>
      <c r="N129" s="142"/>
      <c r="O129" s="142"/>
      <c r="P129" s="142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377"/>
    </row>
    <row r="130" spans="1:40" ht="12.75">
      <c r="A130" s="287"/>
      <c r="B130" s="319"/>
      <c r="C130" s="381"/>
      <c r="D130" s="333"/>
      <c r="E130" s="354"/>
      <c r="F130" s="145" t="s">
        <v>114</v>
      </c>
      <c r="G130" s="139" t="s">
        <v>117</v>
      </c>
      <c r="H130" s="146">
        <f aca="true" t="shared" si="29" ref="H130:AM130">H124+H126+H128</f>
        <v>0</v>
      </c>
      <c r="I130" s="191">
        <f t="shared" si="29"/>
        <v>0</v>
      </c>
      <c r="J130" s="148">
        <f t="shared" si="29"/>
        <v>0</v>
      </c>
      <c r="K130" s="148">
        <f t="shared" si="29"/>
        <v>0</v>
      </c>
      <c r="L130" s="148">
        <f t="shared" si="29"/>
        <v>0</v>
      </c>
      <c r="M130" s="148">
        <f t="shared" si="29"/>
        <v>0</v>
      </c>
      <c r="N130" s="148">
        <f t="shared" si="29"/>
        <v>0</v>
      </c>
      <c r="O130" s="148">
        <f t="shared" si="29"/>
        <v>0</v>
      </c>
      <c r="P130" s="148">
        <f t="shared" si="29"/>
        <v>0</v>
      </c>
      <c r="Q130" s="148">
        <f t="shared" si="29"/>
        <v>0</v>
      </c>
      <c r="R130" s="148">
        <f t="shared" si="29"/>
        <v>0</v>
      </c>
      <c r="S130" s="148">
        <f t="shared" si="29"/>
        <v>0</v>
      </c>
      <c r="T130" s="148">
        <f t="shared" si="29"/>
        <v>0</v>
      </c>
      <c r="U130" s="148">
        <f t="shared" si="29"/>
        <v>0</v>
      </c>
      <c r="V130" s="148">
        <f t="shared" si="29"/>
        <v>0</v>
      </c>
      <c r="W130" s="148">
        <f t="shared" si="29"/>
        <v>0</v>
      </c>
      <c r="X130" s="148">
        <f t="shared" si="29"/>
        <v>0</v>
      </c>
      <c r="Y130" s="148">
        <f t="shared" si="29"/>
        <v>0</v>
      </c>
      <c r="Z130" s="148">
        <f t="shared" si="29"/>
        <v>0</v>
      </c>
      <c r="AA130" s="148">
        <f t="shared" si="29"/>
        <v>0</v>
      </c>
      <c r="AB130" s="148">
        <f t="shared" si="29"/>
        <v>0</v>
      </c>
      <c r="AC130" s="148">
        <f t="shared" si="29"/>
        <v>0</v>
      </c>
      <c r="AD130" s="148">
        <f t="shared" si="29"/>
        <v>0</v>
      </c>
      <c r="AE130" s="148">
        <f t="shared" si="29"/>
        <v>0</v>
      </c>
      <c r="AF130" s="148">
        <f t="shared" si="29"/>
        <v>0</v>
      </c>
      <c r="AG130" s="148">
        <f t="shared" si="29"/>
        <v>0</v>
      </c>
      <c r="AH130" s="148">
        <f t="shared" si="29"/>
        <v>0</v>
      </c>
      <c r="AI130" s="148">
        <f t="shared" si="29"/>
        <v>0</v>
      </c>
      <c r="AJ130" s="148">
        <f t="shared" si="29"/>
        <v>0</v>
      </c>
      <c r="AK130" s="148">
        <f t="shared" si="29"/>
        <v>0</v>
      </c>
      <c r="AL130" s="148">
        <f t="shared" si="29"/>
        <v>0</v>
      </c>
      <c r="AM130" s="148">
        <f t="shared" si="29"/>
        <v>0</v>
      </c>
      <c r="AN130" s="377"/>
    </row>
    <row r="131" spans="1:40" ht="19.5" customHeight="1" thickBot="1">
      <c r="A131" s="287"/>
      <c r="B131" s="320"/>
      <c r="C131" s="382"/>
      <c r="D131" s="334"/>
      <c r="E131" s="355"/>
      <c r="F131" s="226">
        <f>F125+F128</f>
        <v>2000000</v>
      </c>
      <c r="G131" s="150" t="s">
        <v>118</v>
      </c>
      <c r="H131" s="151">
        <f aca="true" t="shared" si="30" ref="H131:AM131">H125+H127+H129</f>
        <v>1000000</v>
      </c>
      <c r="I131" s="228">
        <f t="shared" si="30"/>
        <v>1000000</v>
      </c>
      <c r="J131" s="153">
        <f t="shared" si="30"/>
        <v>0</v>
      </c>
      <c r="K131" s="153">
        <f t="shared" si="30"/>
        <v>0</v>
      </c>
      <c r="L131" s="153">
        <f t="shared" si="30"/>
        <v>0</v>
      </c>
      <c r="M131" s="153">
        <f t="shared" si="30"/>
        <v>0</v>
      </c>
      <c r="N131" s="153">
        <f t="shared" si="30"/>
        <v>0</v>
      </c>
      <c r="O131" s="153">
        <f t="shared" si="30"/>
        <v>0</v>
      </c>
      <c r="P131" s="153">
        <f t="shared" si="30"/>
        <v>0</v>
      </c>
      <c r="Q131" s="153">
        <f t="shared" si="30"/>
        <v>0</v>
      </c>
      <c r="R131" s="153">
        <f t="shared" si="30"/>
        <v>0</v>
      </c>
      <c r="S131" s="153">
        <f t="shared" si="30"/>
        <v>0</v>
      </c>
      <c r="T131" s="153">
        <f t="shared" si="30"/>
        <v>0</v>
      </c>
      <c r="U131" s="153">
        <f t="shared" si="30"/>
        <v>0</v>
      </c>
      <c r="V131" s="153">
        <f t="shared" si="30"/>
        <v>0</v>
      </c>
      <c r="W131" s="153">
        <f t="shared" si="30"/>
        <v>0</v>
      </c>
      <c r="X131" s="153">
        <f t="shared" si="30"/>
        <v>0</v>
      </c>
      <c r="Y131" s="153">
        <f t="shared" si="30"/>
        <v>0</v>
      </c>
      <c r="Z131" s="153">
        <f t="shared" si="30"/>
        <v>0</v>
      </c>
      <c r="AA131" s="153">
        <f t="shared" si="30"/>
        <v>0</v>
      </c>
      <c r="AB131" s="153">
        <f t="shared" si="30"/>
        <v>0</v>
      </c>
      <c r="AC131" s="153">
        <f t="shared" si="30"/>
        <v>0</v>
      </c>
      <c r="AD131" s="153">
        <f t="shared" si="30"/>
        <v>0</v>
      </c>
      <c r="AE131" s="153">
        <f t="shared" si="30"/>
        <v>0</v>
      </c>
      <c r="AF131" s="153">
        <f t="shared" si="30"/>
        <v>0</v>
      </c>
      <c r="AG131" s="153">
        <f t="shared" si="30"/>
        <v>0</v>
      </c>
      <c r="AH131" s="153">
        <f t="shared" si="30"/>
        <v>0</v>
      </c>
      <c r="AI131" s="153">
        <f t="shared" si="30"/>
        <v>0</v>
      </c>
      <c r="AJ131" s="153">
        <f t="shared" si="30"/>
        <v>0</v>
      </c>
      <c r="AK131" s="153">
        <f t="shared" si="30"/>
        <v>0</v>
      </c>
      <c r="AL131" s="153">
        <f t="shared" si="30"/>
        <v>0</v>
      </c>
      <c r="AM131" s="153">
        <f t="shared" si="30"/>
        <v>0</v>
      </c>
      <c r="AN131" s="378"/>
    </row>
    <row r="132" spans="1:40" ht="12.75" customHeight="1">
      <c r="A132" s="286">
        <v>16</v>
      </c>
      <c r="B132" s="323" t="s">
        <v>208</v>
      </c>
      <c r="C132" s="380">
        <v>60095</v>
      </c>
      <c r="D132" s="332" t="s">
        <v>191</v>
      </c>
      <c r="E132" s="356">
        <v>2011</v>
      </c>
      <c r="F132" s="132" t="s">
        <v>106</v>
      </c>
      <c r="G132" s="133" t="s">
        <v>107</v>
      </c>
      <c r="H132" s="134"/>
      <c r="I132" s="227"/>
      <c r="J132" s="136"/>
      <c r="K132" s="136"/>
      <c r="L132" s="136"/>
      <c r="M132" s="136"/>
      <c r="N132" s="136"/>
      <c r="O132" s="136"/>
      <c r="P132" s="136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376">
        <f>SUM(J139:AM139)</f>
        <v>37289000</v>
      </c>
    </row>
    <row r="133" spans="1:40" ht="12.75">
      <c r="A133" s="287"/>
      <c r="B133" s="319"/>
      <c r="C133" s="381"/>
      <c r="D133" s="333"/>
      <c r="E133" s="354"/>
      <c r="F133" s="281">
        <f>SUM(H138:AM138)</f>
        <v>0</v>
      </c>
      <c r="G133" s="139" t="s">
        <v>108</v>
      </c>
      <c r="H133" s="140"/>
      <c r="I133" s="189">
        <f>23970000+2000000</f>
        <v>25970000</v>
      </c>
      <c r="J133" s="142">
        <f>20809000+8000000</f>
        <v>28809000</v>
      </c>
      <c r="K133" s="142">
        <v>8480000</v>
      </c>
      <c r="L133" s="142"/>
      <c r="M133" s="142"/>
      <c r="N133" s="142"/>
      <c r="O133" s="142"/>
      <c r="P133" s="142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377"/>
    </row>
    <row r="134" spans="1:40" ht="12.75">
      <c r="A134" s="287"/>
      <c r="B134" s="319"/>
      <c r="C134" s="381"/>
      <c r="D134" s="333"/>
      <c r="E134" s="354"/>
      <c r="F134" s="379"/>
      <c r="G134" s="139" t="s">
        <v>109</v>
      </c>
      <c r="H134" s="140"/>
      <c r="I134" s="189"/>
      <c r="J134" s="142"/>
      <c r="K134" s="142"/>
      <c r="L134" s="142"/>
      <c r="M134" s="142"/>
      <c r="N134" s="142"/>
      <c r="O134" s="142"/>
      <c r="P134" s="142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377"/>
    </row>
    <row r="135" spans="1:40" ht="12.75">
      <c r="A135" s="287"/>
      <c r="B135" s="319"/>
      <c r="C135" s="381"/>
      <c r="D135" s="333"/>
      <c r="E135" s="266"/>
      <c r="F135" s="145" t="s">
        <v>110</v>
      </c>
      <c r="G135" s="139" t="s">
        <v>111</v>
      </c>
      <c r="H135" s="140"/>
      <c r="I135" s="189"/>
      <c r="J135" s="142"/>
      <c r="K135" s="142"/>
      <c r="L135" s="142"/>
      <c r="M135" s="142"/>
      <c r="N135" s="142"/>
      <c r="O135" s="142"/>
      <c r="P135" s="142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377"/>
    </row>
    <row r="136" spans="1:40" ht="12.75">
      <c r="A136" s="287"/>
      <c r="B136" s="319"/>
      <c r="C136" s="381"/>
      <c r="D136" s="333"/>
      <c r="E136" s="336">
        <v>2013</v>
      </c>
      <c r="F136" s="281">
        <f>SUM(H139:AM139)</f>
        <v>63259000</v>
      </c>
      <c r="G136" s="139" t="s">
        <v>115</v>
      </c>
      <c r="H136" s="140"/>
      <c r="I136" s="189"/>
      <c r="J136" s="142"/>
      <c r="K136" s="142"/>
      <c r="L136" s="142"/>
      <c r="M136" s="142"/>
      <c r="N136" s="142"/>
      <c r="O136" s="142"/>
      <c r="P136" s="142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377"/>
    </row>
    <row r="137" spans="1:40" ht="12.75">
      <c r="A137" s="287"/>
      <c r="B137" s="319"/>
      <c r="C137" s="381"/>
      <c r="D137" s="333"/>
      <c r="E137" s="354"/>
      <c r="F137" s="379"/>
      <c r="G137" s="139" t="s">
        <v>116</v>
      </c>
      <c r="H137" s="140"/>
      <c r="I137" s="189"/>
      <c r="J137" s="142"/>
      <c r="K137" s="142"/>
      <c r="L137" s="142"/>
      <c r="M137" s="142"/>
      <c r="N137" s="142"/>
      <c r="O137" s="142"/>
      <c r="P137" s="142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377"/>
    </row>
    <row r="138" spans="1:40" ht="12.75">
      <c r="A138" s="287"/>
      <c r="B138" s="319"/>
      <c r="C138" s="381"/>
      <c r="D138" s="333"/>
      <c r="E138" s="354"/>
      <c r="F138" s="145" t="s">
        <v>114</v>
      </c>
      <c r="G138" s="139" t="s">
        <v>117</v>
      </c>
      <c r="H138" s="146">
        <f aca="true" t="shared" si="31" ref="H138:AM138">H132+H134+H136</f>
        <v>0</v>
      </c>
      <c r="I138" s="191">
        <f t="shared" si="31"/>
        <v>0</v>
      </c>
      <c r="J138" s="148">
        <f t="shared" si="31"/>
        <v>0</v>
      </c>
      <c r="K138" s="148">
        <f t="shared" si="31"/>
        <v>0</v>
      </c>
      <c r="L138" s="148">
        <f t="shared" si="31"/>
        <v>0</v>
      </c>
      <c r="M138" s="148">
        <f t="shared" si="31"/>
        <v>0</v>
      </c>
      <c r="N138" s="148">
        <f t="shared" si="31"/>
        <v>0</v>
      </c>
      <c r="O138" s="148">
        <f t="shared" si="31"/>
        <v>0</v>
      </c>
      <c r="P138" s="148">
        <f t="shared" si="31"/>
        <v>0</v>
      </c>
      <c r="Q138" s="148">
        <f t="shared" si="31"/>
        <v>0</v>
      </c>
      <c r="R138" s="148">
        <f t="shared" si="31"/>
        <v>0</v>
      </c>
      <c r="S138" s="148">
        <f t="shared" si="31"/>
        <v>0</v>
      </c>
      <c r="T138" s="148">
        <f t="shared" si="31"/>
        <v>0</v>
      </c>
      <c r="U138" s="148">
        <f t="shared" si="31"/>
        <v>0</v>
      </c>
      <c r="V138" s="148">
        <f t="shared" si="31"/>
        <v>0</v>
      </c>
      <c r="W138" s="148">
        <f t="shared" si="31"/>
        <v>0</v>
      </c>
      <c r="X138" s="148">
        <f t="shared" si="31"/>
        <v>0</v>
      </c>
      <c r="Y138" s="148">
        <f t="shared" si="31"/>
        <v>0</v>
      </c>
      <c r="Z138" s="148">
        <f t="shared" si="31"/>
        <v>0</v>
      </c>
      <c r="AA138" s="148">
        <f t="shared" si="31"/>
        <v>0</v>
      </c>
      <c r="AB138" s="148">
        <f t="shared" si="31"/>
        <v>0</v>
      </c>
      <c r="AC138" s="148">
        <f t="shared" si="31"/>
        <v>0</v>
      </c>
      <c r="AD138" s="148">
        <f t="shared" si="31"/>
        <v>0</v>
      </c>
      <c r="AE138" s="148">
        <f t="shared" si="31"/>
        <v>0</v>
      </c>
      <c r="AF138" s="148">
        <f t="shared" si="31"/>
        <v>0</v>
      </c>
      <c r="AG138" s="148">
        <f t="shared" si="31"/>
        <v>0</v>
      </c>
      <c r="AH138" s="148">
        <f t="shared" si="31"/>
        <v>0</v>
      </c>
      <c r="AI138" s="148">
        <f t="shared" si="31"/>
        <v>0</v>
      </c>
      <c r="AJ138" s="148">
        <f t="shared" si="31"/>
        <v>0</v>
      </c>
      <c r="AK138" s="148">
        <f t="shared" si="31"/>
        <v>0</v>
      </c>
      <c r="AL138" s="148">
        <f t="shared" si="31"/>
        <v>0</v>
      </c>
      <c r="AM138" s="148">
        <f t="shared" si="31"/>
        <v>0</v>
      </c>
      <c r="AN138" s="377"/>
    </row>
    <row r="139" spans="1:40" ht="13.5" thickBot="1">
      <c r="A139" s="287"/>
      <c r="B139" s="320"/>
      <c r="C139" s="382"/>
      <c r="D139" s="334"/>
      <c r="E139" s="355"/>
      <c r="F139" s="226">
        <f>F133+F136</f>
        <v>63259000</v>
      </c>
      <c r="G139" s="150" t="s">
        <v>118</v>
      </c>
      <c r="H139" s="151">
        <f aca="true" t="shared" si="32" ref="H139:AM139">H133+H135+H137</f>
        <v>0</v>
      </c>
      <c r="I139" s="228">
        <f t="shared" si="32"/>
        <v>25970000</v>
      </c>
      <c r="J139" s="153">
        <f t="shared" si="32"/>
        <v>28809000</v>
      </c>
      <c r="K139" s="153">
        <f t="shared" si="32"/>
        <v>8480000</v>
      </c>
      <c r="L139" s="153">
        <f t="shared" si="32"/>
        <v>0</v>
      </c>
      <c r="M139" s="153">
        <f t="shared" si="32"/>
        <v>0</v>
      </c>
      <c r="N139" s="153">
        <f t="shared" si="32"/>
        <v>0</v>
      </c>
      <c r="O139" s="153">
        <f t="shared" si="32"/>
        <v>0</v>
      </c>
      <c r="P139" s="153">
        <f t="shared" si="32"/>
        <v>0</v>
      </c>
      <c r="Q139" s="153">
        <f t="shared" si="32"/>
        <v>0</v>
      </c>
      <c r="R139" s="153">
        <f t="shared" si="32"/>
        <v>0</v>
      </c>
      <c r="S139" s="153">
        <f t="shared" si="32"/>
        <v>0</v>
      </c>
      <c r="T139" s="153">
        <f t="shared" si="32"/>
        <v>0</v>
      </c>
      <c r="U139" s="153">
        <f t="shared" si="32"/>
        <v>0</v>
      </c>
      <c r="V139" s="153">
        <f t="shared" si="32"/>
        <v>0</v>
      </c>
      <c r="W139" s="153">
        <f t="shared" si="32"/>
        <v>0</v>
      </c>
      <c r="X139" s="153">
        <f t="shared" si="32"/>
        <v>0</v>
      </c>
      <c r="Y139" s="153">
        <f t="shared" si="32"/>
        <v>0</v>
      </c>
      <c r="Z139" s="153">
        <f t="shared" si="32"/>
        <v>0</v>
      </c>
      <c r="AA139" s="153">
        <f t="shared" si="32"/>
        <v>0</v>
      </c>
      <c r="AB139" s="153">
        <f t="shared" si="32"/>
        <v>0</v>
      </c>
      <c r="AC139" s="153">
        <f t="shared" si="32"/>
        <v>0</v>
      </c>
      <c r="AD139" s="153">
        <f t="shared" si="32"/>
        <v>0</v>
      </c>
      <c r="AE139" s="153">
        <f t="shared" si="32"/>
        <v>0</v>
      </c>
      <c r="AF139" s="153">
        <f t="shared" si="32"/>
        <v>0</v>
      </c>
      <c r="AG139" s="153">
        <f t="shared" si="32"/>
        <v>0</v>
      </c>
      <c r="AH139" s="153">
        <f t="shared" si="32"/>
        <v>0</v>
      </c>
      <c r="AI139" s="153">
        <f t="shared" si="32"/>
        <v>0</v>
      </c>
      <c r="AJ139" s="153">
        <f t="shared" si="32"/>
        <v>0</v>
      </c>
      <c r="AK139" s="153">
        <f t="shared" si="32"/>
        <v>0</v>
      </c>
      <c r="AL139" s="153">
        <f t="shared" si="32"/>
        <v>0</v>
      </c>
      <c r="AM139" s="153">
        <f t="shared" si="32"/>
        <v>0</v>
      </c>
      <c r="AN139" s="378"/>
    </row>
    <row r="140" spans="1:40" ht="12.75" customHeight="1">
      <c r="A140" s="286">
        <v>17</v>
      </c>
      <c r="B140" s="323" t="s">
        <v>209</v>
      </c>
      <c r="C140" s="380">
        <v>71035</v>
      </c>
      <c r="D140" s="332" t="s">
        <v>191</v>
      </c>
      <c r="E140" s="356">
        <v>2011</v>
      </c>
      <c r="F140" s="132" t="s">
        <v>106</v>
      </c>
      <c r="G140" s="133" t="s">
        <v>107</v>
      </c>
      <c r="H140" s="134"/>
      <c r="I140" s="227"/>
      <c r="J140" s="136"/>
      <c r="K140" s="136"/>
      <c r="L140" s="136"/>
      <c r="M140" s="136"/>
      <c r="N140" s="136"/>
      <c r="O140" s="136"/>
      <c r="P140" s="136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376">
        <f>SUM(J147:AM147)</f>
        <v>17000000</v>
      </c>
    </row>
    <row r="141" spans="1:40" ht="12.75">
      <c r="A141" s="287"/>
      <c r="B141" s="319"/>
      <c r="C141" s="381"/>
      <c r="D141" s="333"/>
      <c r="E141" s="354"/>
      <c r="F141" s="281">
        <f>SUM(H146:AM146)</f>
        <v>0</v>
      </c>
      <c r="G141" s="139" t="s">
        <v>108</v>
      </c>
      <c r="H141" s="140"/>
      <c r="I141" s="189">
        <f>10000000-4460000-3000000</f>
        <v>2540000</v>
      </c>
      <c r="J141" s="142">
        <v>7000000</v>
      </c>
      <c r="K141" s="142">
        <v>10000000</v>
      </c>
      <c r="L141" s="142"/>
      <c r="M141" s="142"/>
      <c r="N141" s="142"/>
      <c r="O141" s="142"/>
      <c r="P141" s="142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377"/>
    </row>
    <row r="142" spans="1:40" ht="12.75">
      <c r="A142" s="287"/>
      <c r="B142" s="319"/>
      <c r="C142" s="381"/>
      <c r="D142" s="333"/>
      <c r="E142" s="354"/>
      <c r="F142" s="379"/>
      <c r="G142" s="139" t="s">
        <v>109</v>
      </c>
      <c r="H142" s="140"/>
      <c r="I142" s="189"/>
      <c r="J142" s="142"/>
      <c r="K142" s="142"/>
      <c r="L142" s="142"/>
      <c r="M142" s="142"/>
      <c r="N142" s="142"/>
      <c r="O142" s="142"/>
      <c r="P142" s="142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377"/>
    </row>
    <row r="143" spans="1:40" ht="12.75">
      <c r="A143" s="287"/>
      <c r="B143" s="319"/>
      <c r="C143" s="381"/>
      <c r="D143" s="333"/>
      <c r="E143" s="266"/>
      <c r="F143" s="145" t="s">
        <v>110</v>
      </c>
      <c r="G143" s="139" t="s">
        <v>111</v>
      </c>
      <c r="H143" s="140"/>
      <c r="I143" s="189"/>
      <c r="J143" s="142"/>
      <c r="K143" s="142"/>
      <c r="L143" s="142"/>
      <c r="M143" s="142"/>
      <c r="N143" s="142"/>
      <c r="O143" s="142"/>
      <c r="P143" s="142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377"/>
    </row>
    <row r="144" spans="1:40" ht="12.75">
      <c r="A144" s="287"/>
      <c r="B144" s="319"/>
      <c r="C144" s="381"/>
      <c r="D144" s="333"/>
      <c r="E144" s="336">
        <v>2013</v>
      </c>
      <c r="F144" s="281">
        <f>SUM(H147:AM147)</f>
        <v>19540000</v>
      </c>
      <c r="G144" s="139" t="s">
        <v>115</v>
      </c>
      <c r="H144" s="140"/>
      <c r="I144" s="189"/>
      <c r="J144" s="142"/>
      <c r="K144" s="142"/>
      <c r="L144" s="142"/>
      <c r="M144" s="142"/>
      <c r="N144" s="142"/>
      <c r="O144" s="142"/>
      <c r="P144" s="142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377"/>
    </row>
    <row r="145" spans="1:40" ht="12.75">
      <c r="A145" s="287"/>
      <c r="B145" s="319"/>
      <c r="C145" s="381"/>
      <c r="D145" s="333"/>
      <c r="E145" s="354"/>
      <c r="F145" s="379"/>
      <c r="G145" s="139" t="s">
        <v>116</v>
      </c>
      <c r="H145" s="140"/>
      <c r="I145" s="189"/>
      <c r="J145" s="142"/>
      <c r="K145" s="142"/>
      <c r="L145" s="142"/>
      <c r="M145" s="142"/>
      <c r="N145" s="142"/>
      <c r="O145" s="142"/>
      <c r="P145" s="142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377"/>
    </row>
    <row r="146" spans="1:40" ht="12.75">
      <c r="A146" s="287"/>
      <c r="B146" s="319"/>
      <c r="C146" s="381"/>
      <c r="D146" s="333"/>
      <c r="E146" s="354"/>
      <c r="F146" s="145" t="s">
        <v>114</v>
      </c>
      <c r="G146" s="139" t="s">
        <v>117</v>
      </c>
      <c r="H146" s="146">
        <f aca="true" t="shared" si="33" ref="H146:AM146">H140+H142+H144</f>
        <v>0</v>
      </c>
      <c r="I146" s="191">
        <f t="shared" si="33"/>
        <v>0</v>
      </c>
      <c r="J146" s="148">
        <f t="shared" si="33"/>
        <v>0</v>
      </c>
      <c r="K146" s="148">
        <f t="shared" si="33"/>
        <v>0</v>
      </c>
      <c r="L146" s="148">
        <f t="shared" si="33"/>
        <v>0</v>
      </c>
      <c r="M146" s="148">
        <f t="shared" si="33"/>
        <v>0</v>
      </c>
      <c r="N146" s="148">
        <f t="shared" si="33"/>
        <v>0</v>
      </c>
      <c r="O146" s="148">
        <f t="shared" si="33"/>
        <v>0</v>
      </c>
      <c r="P146" s="148">
        <f t="shared" si="33"/>
        <v>0</v>
      </c>
      <c r="Q146" s="148">
        <f t="shared" si="33"/>
        <v>0</v>
      </c>
      <c r="R146" s="148">
        <f t="shared" si="33"/>
        <v>0</v>
      </c>
      <c r="S146" s="148">
        <f t="shared" si="33"/>
        <v>0</v>
      </c>
      <c r="T146" s="148">
        <f t="shared" si="33"/>
        <v>0</v>
      </c>
      <c r="U146" s="148">
        <f t="shared" si="33"/>
        <v>0</v>
      </c>
      <c r="V146" s="148">
        <f t="shared" si="33"/>
        <v>0</v>
      </c>
      <c r="W146" s="148">
        <f t="shared" si="33"/>
        <v>0</v>
      </c>
      <c r="X146" s="148">
        <f t="shared" si="33"/>
        <v>0</v>
      </c>
      <c r="Y146" s="148">
        <f t="shared" si="33"/>
        <v>0</v>
      </c>
      <c r="Z146" s="148">
        <f t="shared" si="33"/>
        <v>0</v>
      </c>
      <c r="AA146" s="148">
        <f t="shared" si="33"/>
        <v>0</v>
      </c>
      <c r="AB146" s="148">
        <f t="shared" si="33"/>
        <v>0</v>
      </c>
      <c r="AC146" s="148">
        <f t="shared" si="33"/>
        <v>0</v>
      </c>
      <c r="AD146" s="148">
        <f t="shared" si="33"/>
        <v>0</v>
      </c>
      <c r="AE146" s="148">
        <f t="shared" si="33"/>
        <v>0</v>
      </c>
      <c r="AF146" s="148">
        <f t="shared" si="33"/>
        <v>0</v>
      </c>
      <c r="AG146" s="148">
        <f t="shared" si="33"/>
        <v>0</v>
      </c>
      <c r="AH146" s="148">
        <f t="shared" si="33"/>
        <v>0</v>
      </c>
      <c r="AI146" s="148">
        <f t="shared" si="33"/>
        <v>0</v>
      </c>
      <c r="AJ146" s="148">
        <f t="shared" si="33"/>
        <v>0</v>
      </c>
      <c r="AK146" s="148">
        <f t="shared" si="33"/>
        <v>0</v>
      </c>
      <c r="AL146" s="148">
        <f t="shared" si="33"/>
        <v>0</v>
      </c>
      <c r="AM146" s="148">
        <f t="shared" si="33"/>
        <v>0</v>
      </c>
      <c r="AN146" s="377"/>
    </row>
    <row r="147" spans="1:40" ht="13.5" thickBot="1">
      <c r="A147" s="287"/>
      <c r="B147" s="320"/>
      <c r="C147" s="382"/>
      <c r="D147" s="333"/>
      <c r="E147" s="355"/>
      <c r="F147" s="226">
        <f>F141+F144</f>
        <v>19540000</v>
      </c>
      <c r="G147" s="150" t="s">
        <v>118</v>
      </c>
      <c r="H147" s="151">
        <f aca="true" t="shared" si="34" ref="H147:AM147">H141+H143+H145</f>
        <v>0</v>
      </c>
      <c r="I147" s="228">
        <f t="shared" si="34"/>
        <v>2540000</v>
      </c>
      <c r="J147" s="153">
        <f t="shared" si="34"/>
        <v>7000000</v>
      </c>
      <c r="K147" s="153">
        <f t="shared" si="34"/>
        <v>10000000</v>
      </c>
      <c r="L147" s="153">
        <f t="shared" si="34"/>
        <v>0</v>
      </c>
      <c r="M147" s="153">
        <f t="shared" si="34"/>
        <v>0</v>
      </c>
      <c r="N147" s="153">
        <f t="shared" si="34"/>
        <v>0</v>
      </c>
      <c r="O147" s="153">
        <f t="shared" si="34"/>
        <v>0</v>
      </c>
      <c r="P147" s="153">
        <f t="shared" si="34"/>
        <v>0</v>
      </c>
      <c r="Q147" s="153">
        <f t="shared" si="34"/>
        <v>0</v>
      </c>
      <c r="R147" s="153">
        <f t="shared" si="34"/>
        <v>0</v>
      </c>
      <c r="S147" s="153">
        <f t="shared" si="34"/>
        <v>0</v>
      </c>
      <c r="T147" s="153">
        <f t="shared" si="34"/>
        <v>0</v>
      </c>
      <c r="U147" s="153">
        <f t="shared" si="34"/>
        <v>0</v>
      </c>
      <c r="V147" s="153">
        <f t="shared" si="34"/>
        <v>0</v>
      </c>
      <c r="W147" s="153">
        <f t="shared" si="34"/>
        <v>0</v>
      </c>
      <c r="X147" s="153">
        <f t="shared" si="34"/>
        <v>0</v>
      </c>
      <c r="Y147" s="153">
        <f t="shared" si="34"/>
        <v>0</v>
      </c>
      <c r="Z147" s="153">
        <f t="shared" si="34"/>
        <v>0</v>
      </c>
      <c r="AA147" s="153">
        <f t="shared" si="34"/>
        <v>0</v>
      </c>
      <c r="AB147" s="153">
        <f t="shared" si="34"/>
        <v>0</v>
      </c>
      <c r="AC147" s="153">
        <f t="shared" si="34"/>
        <v>0</v>
      </c>
      <c r="AD147" s="153">
        <f t="shared" si="34"/>
        <v>0</v>
      </c>
      <c r="AE147" s="153">
        <f t="shared" si="34"/>
        <v>0</v>
      </c>
      <c r="AF147" s="153">
        <f t="shared" si="34"/>
        <v>0</v>
      </c>
      <c r="AG147" s="153">
        <f t="shared" si="34"/>
        <v>0</v>
      </c>
      <c r="AH147" s="153">
        <f t="shared" si="34"/>
        <v>0</v>
      </c>
      <c r="AI147" s="153">
        <f t="shared" si="34"/>
        <v>0</v>
      </c>
      <c r="AJ147" s="153">
        <f t="shared" si="34"/>
        <v>0</v>
      </c>
      <c r="AK147" s="153">
        <f t="shared" si="34"/>
        <v>0</v>
      </c>
      <c r="AL147" s="153">
        <f t="shared" si="34"/>
        <v>0</v>
      </c>
      <c r="AM147" s="153">
        <f t="shared" si="34"/>
        <v>0</v>
      </c>
      <c r="AN147" s="378"/>
    </row>
    <row r="148" spans="1:40" ht="12.75" customHeight="1">
      <c r="A148" s="286">
        <v>18</v>
      </c>
      <c r="B148" s="319" t="s">
        <v>205</v>
      </c>
      <c r="C148" s="381">
        <v>71035</v>
      </c>
      <c r="D148" s="332" t="s">
        <v>191</v>
      </c>
      <c r="E148" s="354">
        <v>2011</v>
      </c>
      <c r="F148" s="132" t="s">
        <v>106</v>
      </c>
      <c r="G148" s="155" t="s">
        <v>107</v>
      </c>
      <c r="H148" s="134"/>
      <c r="I148" s="187"/>
      <c r="J148" s="158"/>
      <c r="K148" s="158"/>
      <c r="L148" s="158"/>
      <c r="M148" s="158"/>
      <c r="N148" s="158"/>
      <c r="O148" s="158"/>
      <c r="P148" s="158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376">
        <f>SUM(J155:AM155)</f>
        <v>400000</v>
      </c>
    </row>
    <row r="149" spans="1:40" ht="12.75">
      <c r="A149" s="287"/>
      <c r="B149" s="319"/>
      <c r="C149" s="381"/>
      <c r="D149" s="333"/>
      <c r="E149" s="354"/>
      <c r="F149" s="281">
        <f>SUM(H154:AM154)</f>
        <v>0</v>
      </c>
      <c r="G149" s="139" t="s">
        <v>108</v>
      </c>
      <c r="H149" s="140"/>
      <c r="I149" s="189">
        <v>280000</v>
      </c>
      <c r="J149" s="142">
        <v>200000</v>
      </c>
      <c r="K149" s="142">
        <v>200000</v>
      </c>
      <c r="L149" s="142"/>
      <c r="M149" s="142"/>
      <c r="N149" s="142"/>
      <c r="O149" s="142"/>
      <c r="P149" s="142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377"/>
    </row>
    <row r="150" spans="1:40" ht="12.75">
      <c r="A150" s="287"/>
      <c r="B150" s="319"/>
      <c r="C150" s="381"/>
      <c r="D150" s="333"/>
      <c r="E150" s="354"/>
      <c r="F150" s="379"/>
      <c r="G150" s="139" t="s">
        <v>109</v>
      </c>
      <c r="H150" s="140"/>
      <c r="I150" s="189"/>
      <c r="J150" s="142"/>
      <c r="K150" s="142"/>
      <c r="L150" s="142"/>
      <c r="M150" s="142"/>
      <c r="N150" s="142"/>
      <c r="O150" s="142"/>
      <c r="P150" s="142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377"/>
    </row>
    <row r="151" spans="1:40" ht="12.75">
      <c r="A151" s="287"/>
      <c r="B151" s="319"/>
      <c r="C151" s="381"/>
      <c r="D151" s="333"/>
      <c r="E151" s="266"/>
      <c r="F151" s="145" t="s">
        <v>110</v>
      </c>
      <c r="G151" s="139" t="s">
        <v>111</v>
      </c>
      <c r="H151" s="140"/>
      <c r="I151" s="189"/>
      <c r="J151" s="142"/>
      <c r="K151" s="142"/>
      <c r="L151" s="142"/>
      <c r="M151" s="142"/>
      <c r="N151" s="142"/>
      <c r="O151" s="142"/>
      <c r="P151" s="142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377"/>
    </row>
    <row r="152" spans="1:40" ht="12.75">
      <c r="A152" s="287"/>
      <c r="B152" s="319"/>
      <c r="C152" s="381"/>
      <c r="D152" s="333"/>
      <c r="E152" s="336">
        <v>2013</v>
      </c>
      <c r="F152" s="281">
        <f>SUM(H155:AM155)</f>
        <v>680000</v>
      </c>
      <c r="G152" s="139" t="s">
        <v>115</v>
      </c>
      <c r="H152" s="140"/>
      <c r="I152" s="189"/>
      <c r="J152" s="142"/>
      <c r="K152" s="142"/>
      <c r="L152" s="142"/>
      <c r="M152" s="142"/>
      <c r="N152" s="142"/>
      <c r="O152" s="142"/>
      <c r="P152" s="142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377"/>
    </row>
    <row r="153" spans="1:40" ht="12.75">
      <c r="A153" s="287"/>
      <c r="B153" s="319"/>
      <c r="C153" s="381"/>
      <c r="D153" s="333"/>
      <c r="E153" s="354"/>
      <c r="F153" s="379"/>
      <c r="G153" s="139" t="s">
        <v>116</v>
      </c>
      <c r="H153" s="140"/>
      <c r="I153" s="189"/>
      <c r="J153" s="142"/>
      <c r="K153" s="142"/>
      <c r="L153" s="142"/>
      <c r="M153" s="142"/>
      <c r="N153" s="142"/>
      <c r="O153" s="142"/>
      <c r="P153" s="142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377"/>
    </row>
    <row r="154" spans="1:40" ht="12.75">
      <c r="A154" s="287"/>
      <c r="B154" s="319"/>
      <c r="C154" s="381"/>
      <c r="D154" s="333"/>
      <c r="E154" s="354"/>
      <c r="F154" s="145" t="s">
        <v>114</v>
      </c>
      <c r="G154" s="139" t="s">
        <v>117</v>
      </c>
      <c r="H154" s="146">
        <f aca="true" t="shared" si="35" ref="H154:AM154">H148+H150+H152</f>
        <v>0</v>
      </c>
      <c r="I154" s="191">
        <f t="shared" si="35"/>
        <v>0</v>
      </c>
      <c r="J154" s="148">
        <f t="shared" si="35"/>
        <v>0</v>
      </c>
      <c r="K154" s="148">
        <f t="shared" si="35"/>
        <v>0</v>
      </c>
      <c r="L154" s="148">
        <f t="shared" si="35"/>
        <v>0</v>
      </c>
      <c r="M154" s="148">
        <f t="shared" si="35"/>
        <v>0</v>
      </c>
      <c r="N154" s="148">
        <f t="shared" si="35"/>
        <v>0</v>
      </c>
      <c r="O154" s="148">
        <f t="shared" si="35"/>
        <v>0</v>
      </c>
      <c r="P154" s="148">
        <f t="shared" si="35"/>
        <v>0</v>
      </c>
      <c r="Q154" s="148">
        <f t="shared" si="35"/>
        <v>0</v>
      </c>
      <c r="R154" s="148">
        <f t="shared" si="35"/>
        <v>0</v>
      </c>
      <c r="S154" s="148">
        <f t="shared" si="35"/>
        <v>0</v>
      </c>
      <c r="T154" s="148">
        <f t="shared" si="35"/>
        <v>0</v>
      </c>
      <c r="U154" s="148">
        <f t="shared" si="35"/>
        <v>0</v>
      </c>
      <c r="V154" s="148">
        <f t="shared" si="35"/>
        <v>0</v>
      </c>
      <c r="W154" s="148">
        <f t="shared" si="35"/>
        <v>0</v>
      </c>
      <c r="X154" s="148">
        <f t="shared" si="35"/>
        <v>0</v>
      </c>
      <c r="Y154" s="148">
        <f t="shared" si="35"/>
        <v>0</v>
      </c>
      <c r="Z154" s="148">
        <f t="shared" si="35"/>
        <v>0</v>
      </c>
      <c r="AA154" s="148">
        <f t="shared" si="35"/>
        <v>0</v>
      </c>
      <c r="AB154" s="148">
        <f t="shared" si="35"/>
        <v>0</v>
      </c>
      <c r="AC154" s="148">
        <f t="shared" si="35"/>
        <v>0</v>
      </c>
      <c r="AD154" s="148">
        <f t="shared" si="35"/>
        <v>0</v>
      </c>
      <c r="AE154" s="148">
        <f t="shared" si="35"/>
        <v>0</v>
      </c>
      <c r="AF154" s="148">
        <f t="shared" si="35"/>
        <v>0</v>
      </c>
      <c r="AG154" s="148">
        <f t="shared" si="35"/>
        <v>0</v>
      </c>
      <c r="AH154" s="148">
        <f t="shared" si="35"/>
        <v>0</v>
      </c>
      <c r="AI154" s="148">
        <f t="shared" si="35"/>
        <v>0</v>
      </c>
      <c r="AJ154" s="148">
        <f t="shared" si="35"/>
        <v>0</v>
      </c>
      <c r="AK154" s="148">
        <f t="shared" si="35"/>
        <v>0</v>
      </c>
      <c r="AL154" s="148">
        <f t="shared" si="35"/>
        <v>0</v>
      </c>
      <c r="AM154" s="148">
        <f t="shared" si="35"/>
        <v>0</v>
      </c>
      <c r="AN154" s="377"/>
    </row>
    <row r="155" spans="1:40" ht="13.5" thickBot="1">
      <c r="A155" s="287"/>
      <c r="B155" s="319"/>
      <c r="C155" s="381"/>
      <c r="D155" s="333"/>
      <c r="E155" s="354"/>
      <c r="F155" s="226">
        <f>F149+F152</f>
        <v>680000</v>
      </c>
      <c r="G155" s="164" t="s">
        <v>118</v>
      </c>
      <c r="H155" s="151">
        <f aca="true" t="shared" si="36" ref="H155:AM155">H149+H151+H153</f>
        <v>0</v>
      </c>
      <c r="I155" s="193">
        <f t="shared" si="36"/>
        <v>280000</v>
      </c>
      <c r="J155" s="166">
        <f t="shared" si="36"/>
        <v>200000</v>
      </c>
      <c r="K155" s="166">
        <f t="shared" si="36"/>
        <v>200000</v>
      </c>
      <c r="L155" s="166">
        <f t="shared" si="36"/>
        <v>0</v>
      </c>
      <c r="M155" s="166">
        <f t="shared" si="36"/>
        <v>0</v>
      </c>
      <c r="N155" s="166">
        <f t="shared" si="36"/>
        <v>0</v>
      </c>
      <c r="O155" s="166">
        <f t="shared" si="36"/>
        <v>0</v>
      </c>
      <c r="P155" s="166">
        <f t="shared" si="36"/>
        <v>0</v>
      </c>
      <c r="Q155" s="166">
        <f t="shared" si="36"/>
        <v>0</v>
      </c>
      <c r="R155" s="166">
        <f t="shared" si="36"/>
        <v>0</v>
      </c>
      <c r="S155" s="166">
        <f t="shared" si="36"/>
        <v>0</v>
      </c>
      <c r="T155" s="166">
        <f t="shared" si="36"/>
        <v>0</v>
      </c>
      <c r="U155" s="166">
        <f t="shared" si="36"/>
        <v>0</v>
      </c>
      <c r="V155" s="166">
        <f t="shared" si="36"/>
        <v>0</v>
      </c>
      <c r="W155" s="166">
        <f t="shared" si="36"/>
        <v>0</v>
      </c>
      <c r="X155" s="166">
        <f t="shared" si="36"/>
        <v>0</v>
      </c>
      <c r="Y155" s="166">
        <f t="shared" si="36"/>
        <v>0</v>
      </c>
      <c r="Z155" s="166">
        <f t="shared" si="36"/>
        <v>0</v>
      </c>
      <c r="AA155" s="166">
        <f t="shared" si="36"/>
        <v>0</v>
      </c>
      <c r="AB155" s="166">
        <f t="shared" si="36"/>
        <v>0</v>
      </c>
      <c r="AC155" s="166">
        <f t="shared" si="36"/>
        <v>0</v>
      </c>
      <c r="AD155" s="166">
        <f t="shared" si="36"/>
        <v>0</v>
      </c>
      <c r="AE155" s="166">
        <f t="shared" si="36"/>
        <v>0</v>
      </c>
      <c r="AF155" s="166">
        <f t="shared" si="36"/>
        <v>0</v>
      </c>
      <c r="AG155" s="166">
        <f t="shared" si="36"/>
        <v>0</v>
      </c>
      <c r="AH155" s="166">
        <f t="shared" si="36"/>
        <v>0</v>
      </c>
      <c r="AI155" s="166">
        <f t="shared" si="36"/>
        <v>0</v>
      </c>
      <c r="AJ155" s="166">
        <f t="shared" si="36"/>
        <v>0</v>
      </c>
      <c r="AK155" s="166">
        <f t="shared" si="36"/>
        <v>0</v>
      </c>
      <c r="AL155" s="166">
        <f t="shared" si="36"/>
        <v>0</v>
      </c>
      <c r="AM155" s="166">
        <f t="shared" si="36"/>
        <v>0</v>
      </c>
      <c r="AN155" s="378"/>
    </row>
    <row r="156" spans="1:40" ht="12.75" customHeight="1">
      <c r="A156" s="286">
        <v>19</v>
      </c>
      <c r="B156" s="323" t="s">
        <v>205</v>
      </c>
      <c r="C156" s="380">
        <v>75023</v>
      </c>
      <c r="D156" s="332" t="s">
        <v>191</v>
      </c>
      <c r="E156" s="356">
        <v>2008</v>
      </c>
      <c r="F156" s="132" t="s">
        <v>106</v>
      </c>
      <c r="G156" s="133" t="s">
        <v>107</v>
      </c>
      <c r="H156" s="134"/>
      <c r="I156" s="227"/>
      <c r="J156" s="136"/>
      <c r="K156" s="136"/>
      <c r="L156" s="136"/>
      <c r="M156" s="136"/>
      <c r="N156" s="136"/>
      <c r="O156" s="136"/>
      <c r="P156" s="136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376">
        <f>SUM(J163:AM163)</f>
        <v>0</v>
      </c>
    </row>
    <row r="157" spans="1:40" ht="12.75">
      <c r="A157" s="287"/>
      <c r="B157" s="319"/>
      <c r="C157" s="381"/>
      <c r="D157" s="333"/>
      <c r="E157" s="354"/>
      <c r="F157" s="281">
        <f>SUM(H162:AM162)</f>
        <v>0</v>
      </c>
      <c r="G157" s="139" t="s">
        <v>108</v>
      </c>
      <c r="H157" s="140">
        <v>2650545</v>
      </c>
      <c r="I157" s="189">
        <f>1800000+310000</f>
        <v>2110000</v>
      </c>
      <c r="J157" s="142"/>
      <c r="K157" s="142"/>
      <c r="L157" s="142"/>
      <c r="M157" s="142"/>
      <c r="N157" s="142"/>
      <c r="O157" s="142"/>
      <c r="P157" s="142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377"/>
    </row>
    <row r="158" spans="1:40" ht="12.75">
      <c r="A158" s="287"/>
      <c r="B158" s="319"/>
      <c r="C158" s="381"/>
      <c r="D158" s="333"/>
      <c r="E158" s="354"/>
      <c r="F158" s="379"/>
      <c r="G158" s="139" t="s">
        <v>109</v>
      </c>
      <c r="H158" s="140"/>
      <c r="I158" s="189"/>
      <c r="J158" s="142"/>
      <c r="K158" s="142"/>
      <c r="L158" s="142"/>
      <c r="M158" s="142"/>
      <c r="N158" s="142"/>
      <c r="O158" s="142"/>
      <c r="P158" s="142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377"/>
    </row>
    <row r="159" spans="1:40" ht="12.75">
      <c r="A159" s="287"/>
      <c r="B159" s="319"/>
      <c r="C159" s="381"/>
      <c r="D159" s="333"/>
      <c r="E159" s="266"/>
      <c r="F159" s="145" t="s">
        <v>110</v>
      </c>
      <c r="G159" s="139" t="s">
        <v>111</v>
      </c>
      <c r="H159" s="140"/>
      <c r="I159" s="189"/>
      <c r="J159" s="142"/>
      <c r="K159" s="142"/>
      <c r="L159" s="142"/>
      <c r="M159" s="142"/>
      <c r="N159" s="142"/>
      <c r="O159" s="142"/>
      <c r="P159" s="142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377"/>
    </row>
    <row r="160" spans="1:40" ht="12.75">
      <c r="A160" s="287"/>
      <c r="B160" s="319"/>
      <c r="C160" s="381"/>
      <c r="D160" s="333"/>
      <c r="E160" s="336">
        <v>2011</v>
      </c>
      <c r="F160" s="281">
        <f>SUM(H163:AM163)</f>
        <v>4760545</v>
      </c>
      <c r="G160" s="139" t="s">
        <v>115</v>
      </c>
      <c r="H160" s="140"/>
      <c r="I160" s="189"/>
      <c r="J160" s="142"/>
      <c r="K160" s="142"/>
      <c r="L160" s="142"/>
      <c r="M160" s="142"/>
      <c r="N160" s="142"/>
      <c r="O160" s="142"/>
      <c r="P160" s="142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377"/>
    </row>
    <row r="161" spans="1:40" ht="12.75">
      <c r="A161" s="287"/>
      <c r="B161" s="319"/>
      <c r="C161" s="381"/>
      <c r="D161" s="333"/>
      <c r="E161" s="354"/>
      <c r="F161" s="379"/>
      <c r="G161" s="139" t="s">
        <v>116</v>
      </c>
      <c r="H161" s="140"/>
      <c r="I161" s="189"/>
      <c r="J161" s="142"/>
      <c r="K161" s="142"/>
      <c r="L161" s="142"/>
      <c r="M161" s="142"/>
      <c r="N161" s="142"/>
      <c r="O161" s="142"/>
      <c r="P161" s="142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377"/>
    </row>
    <row r="162" spans="1:40" ht="12.75">
      <c r="A162" s="287"/>
      <c r="B162" s="319"/>
      <c r="C162" s="381"/>
      <c r="D162" s="333"/>
      <c r="E162" s="354"/>
      <c r="F162" s="145" t="s">
        <v>114</v>
      </c>
      <c r="G162" s="139" t="s">
        <v>117</v>
      </c>
      <c r="H162" s="146">
        <f aca="true" t="shared" si="37" ref="H162:AM162">H156+H158+H160</f>
        <v>0</v>
      </c>
      <c r="I162" s="191">
        <f t="shared" si="37"/>
        <v>0</v>
      </c>
      <c r="J162" s="148">
        <f t="shared" si="37"/>
        <v>0</v>
      </c>
      <c r="K162" s="148">
        <f t="shared" si="37"/>
        <v>0</v>
      </c>
      <c r="L162" s="148">
        <f t="shared" si="37"/>
        <v>0</v>
      </c>
      <c r="M162" s="148">
        <f t="shared" si="37"/>
        <v>0</v>
      </c>
      <c r="N162" s="148">
        <f t="shared" si="37"/>
        <v>0</v>
      </c>
      <c r="O162" s="148">
        <f t="shared" si="37"/>
        <v>0</v>
      </c>
      <c r="P162" s="148">
        <f t="shared" si="37"/>
        <v>0</v>
      </c>
      <c r="Q162" s="148">
        <f t="shared" si="37"/>
        <v>0</v>
      </c>
      <c r="R162" s="148">
        <f t="shared" si="37"/>
        <v>0</v>
      </c>
      <c r="S162" s="148">
        <f t="shared" si="37"/>
        <v>0</v>
      </c>
      <c r="T162" s="148">
        <f t="shared" si="37"/>
        <v>0</v>
      </c>
      <c r="U162" s="148">
        <f t="shared" si="37"/>
        <v>0</v>
      </c>
      <c r="V162" s="148">
        <f t="shared" si="37"/>
        <v>0</v>
      </c>
      <c r="W162" s="148">
        <f t="shared" si="37"/>
        <v>0</v>
      </c>
      <c r="X162" s="148">
        <f t="shared" si="37"/>
        <v>0</v>
      </c>
      <c r="Y162" s="148">
        <f t="shared" si="37"/>
        <v>0</v>
      </c>
      <c r="Z162" s="148">
        <f t="shared" si="37"/>
        <v>0</v>
      </c>
      <c r="AA162" s="148">
        <f t="shared" si="37"/>
        <v>0</v>
      </c>
      <c r="AB162" s="148">
        <f t="shared" si="37"/>
        <v>0</v>
      </c>
      <c r="AC162" s="148">
        <f t="shared" si="37"/>
        <v>0</v>
      </c>
      <c r="AD162" s="148">
        <f t="shared" si="37"/>
        <v>0</v>
      </c>
      <c r="AE162" s="148">
        <f t="shared" si="37"/>
        <v>0</v>
      </c>
      <c r="AF162" s="148">
        <f t="shared" si="37"/>
        <v>0</v>
      </c>
      <c r="AG162" s="148">
        <f t="shared" si="37"/>
        <v>0</v>
      </c>
      <c r="AH162" s="148">
        <f t="shared" si="37"/>
        <v>0</v>
      </c>
      <c r="AI162" s="148">
        <f t="shared" si="37"/>
        <v>0</v>
      </c>
      <c r="AJ162" s="148">
        <f t="shared" si="37"/>
        <v>0</v>
      </c>
      <c r="AK162" s="148">
        <f t="shared" si="37"/>
        <v>0</v>
      </c>
      <c r="AL162" s="148">
        <f t="shared" si="37"/>
        <v>0</v>
      </c>
      <c r="AM162" s="148">
        <f t="shared" si="37"/>
        <v>0</v>
      </c>
      <c r="AN162" s="377"/>
    </row>
    <row r="163" spans="1:40" ht="13.5" thickBot="1">
      <c r="A163" s="318"/>
      <c r="B163" s="320"/>
      <c r="C163" s="382"/>
      <c r="D163" s="334"/>
      <c r="E163" s="355"/>
      <c r="F163" s="226">
        <f>F157+F160</f>
        <v>4760545</v>
      </c>
      <c r="G163" s="150" t="s">
        <v>118</v>
      </c>
      <c r="H163" s="151">
        <f aca="true" t="shared" si="38" ref="H163:AM163">H157+H159+H161</f>
        <v>2650545</v>
      </c>
      <c r="I163" s="228">
        <f t="shared" si="38"/>
        <v>2110000</v>
      </c>
      <c r="J163" s="153">
        <f t="shared" si="38"/>
        <v>0</v>
      </c>
      <c r="K163" s="153">
        <f t="shared" si="38"/>
        <v>0</v>
      </c>
      <c r="L163" s="153">
        <f t="shared" si="38"/>
        <v>0</v>
      </c>
      <c r="M163" s="153">
        <f t="shared" si="38"/>
        <v>0</v>
      </c>
      <c r="N163" s="153">
        <f t="shared" si="38"/>
        <v>0</v>
      </c>
      <c r="O163" s="153">
        <f t="shared" si="38"/>
        <v>0</v>
      </c>
      <c r="P163" s="153">
        <f t="shared" si="38"/>
        <v>0</v>
      </c>
      <c r="Q163" s="153">
        <f t="shared" si="38"/>
        <v>0</v>
      </c>
      <c r="R163" s="153">
        <f t="shared" si="38"/>
        <v>0</v>
      </c>
      <c r="S163" s="153">
        <f t="shared" si="38"/>
        <v>0</v>
      </c>
      <c r="T163" s="153">
        <f t="shared" si="38"/>
        <v>0</v>
      </c>
      <c r="U163" s="153">
        <f t="shared" si="38"/>
        <v>0</v>
      </c>
      <c r="V163" s="153">
        <f t="shared" si="38"/>
        <v>0</v>
      </c>
      <c r="W163" s="153">
        <f t="shared" si="38"/>
        <v>0</v>
      </c>
      <c r="X163" s="153">
        <f t="shared" si="38"/>
        <v>0</v>
      </c>
      <c r="Y163" s="153">
        <f t="shared" si="38"/>
        <v>0</v>
      </c>
      <c r="Z163" s="153">
        <f t="shared" si="38"/>
        <v>0</v>
      </c>
      <c r="AA163" s="153">
        <f t="shared" si="38"/>
        <v>0</v>
      </c>
      <c r="AB163" s="153">
        <f t="shared" si="38"/>
        <v>0</v>
      </c>
      <c r="AC163" s="153">
        <f t="shared" si="38"/>
        <v>0</v>
      </c>
      <c r="AD163" s="153">
        <f t="shared" si="38"/>
        <v>0</v>
      </c>
      <c r="AE163" s="153">
        <f t="shared" si="38"/>
        <v>0</v>
      </c>
      <c r="AF163" s="153">
        <f t="shared" si="38"/>
        <v>0</v>
      </c>
      <c r="AG163" s="153">
        <f t="shared" si="38"/>
        <v>0</v>
      </c>
      <c r="AH163" s="153">
        <f t="shared" si="38"/>
        <v>0</v>
      </c>
      <c r="AI163" s="153">
        <f t="shared" si="38"/>
        <v>0</v>
      </c>
      <c r="AJ163" s="153">
        <f t="shared" si="38"/>
        <v>0</v>
      </c>
      <c r="AK163" s="153">
        <f t="shared" si="38"/>
        <v>0</v>
      </c>
      <c r="AL163" s="153">
        <f t="shared" si="38"/>
        <v>0</v>
      </c>
      <c r="AM163" s="153">
        <f t="shared" si="38"/>
        <v>0</v>
      </c>
      <c r="AN163" s="378"/>
    </row>
    <row r="164" spans="1:40" ht="12.75" customHeight="1">
      <c r="A164" s="286">
        <v>20</v>
      </c>
      <c r="B164" s="323" t="s">
        <v>210</v>
      </c>
      <c r="C164" s="380">
        <v>75495</v>
      </c>
      <c r="D164" s="332" t="s">
        <v>191</v>
      </c>
      <c r="E164" s="356">
        <v>2008</v>
      </c>
      <c r="F164" s="132" t="s">
        <v>106</v>
      </c>
      <c r="G164" s="133" t="s">
        <v>107</v>
      </c>
      <c r="H164" s="134"/>
      <c r="I164" s="227"/>
      <c r="J164" s="136"/>
      <c r="K164" s="136"/>
      <c r="L164" s="136"/>
      <c r="M164" s="136"/>
      <c r="N164" s="136"/>
      <c r="O164" s="136"/>
      <c r="P164" s="136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376">
        <f>SUM(J171:AM171)</f>
        <v>4400</v>
      </c>
    </row>
    <row r="165" spans="1:40" ht="12.75">
      <c r="A165" s="287"/>
      <c r="B165" s="319"/>
      <c r="C165" s="381"/>
      <c r="D165" s="333"/>
      <c r="E165" s="354"/>
      <c r="F165" s="281">
        <f>SUM(H170:AM170)</f>
        <v>0</v>
      </c>
      <c r="G165" s="139" t="s">
        <v>108</v>
      </c>
      <c r="H165" s="140">
        <v>679316</v>
      </c>
      <c r="I165" s="189">
        <f>916430-45063</f>
        <v>871367</v>
      </c>
      <c r="J165" s="142">
        <v>2200</v>
      </c>
      <c r="K165" s="142">
        <v>2200</v>
      </c>
      <c r="L165" s="142"/>
      <c r="M165" s="142"/>
      <c r="N165" s="142"/>
      <c r="O165" s="142"/>
      <c r="P165" s="142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377"/>
    </row>
    <row r="166" spans="1:40" ht="12.75">
      <c r="A166" s="287"/>
      <c r="B166" s="319"/>
      <c r="C166" s="381"/>
      <c r="D166" s="333"/>
      <c r="E166" s="354"/>
      <c r="F166" s="379"/>
      <c r="G166" s="139" t="s">
        <v>109</v>
      </c>
      <c r="H166" s="140"/>
      <c r="I166" s="189"/>
      <c r="J166" s="142"/>
      <c r="K166" s="142"/>
      <c r="L166" s="142"/>
      <c r="M166" s="142"/>
      <c r="N166" s="142"/>
      <c r="O166" s="142"/>
      <c r="P166" s="142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377"/>
    </row>
    <row r="167" spans="1:40" ht="12.75">
      <c r="A167" s="287"/>
      <c r="B167" s="319"/>
      <c r="C167" s="381"/>
      <c r="D167" s="333"/>
      <c r="E167" s="266"/>
      <c r="F167" s="145" t="s">
        <v>110</v>
      </c>
      <c r="G167" s="139" t="s">
        <v>111</v>
      </c>
      <c r="H167" s="140"/>
      <c r="I167" s="189"/>
      <c r="J167" s="142"/>
      <c r="K167" s="142"/>
      <c r="L167" s="142"/>
      <c r="M167" s="142"/>
      <c r="N167" s="142"/>
      <c r="O167" s="142"/>
      <c r="P167" s="142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377"/>
    </row>
    <row r="168" spans="1:40" ht="12.75">
      <c r="A168" s="287"/>
      <c r="B168" s="319"/>
      <c r="C168" s="381"/>
      <c r="D168" s="333"/>
      <c r="E168" s="336">
        <v>2013</v>
      </c>
      <c r="F168" s="281">
        <f>SUM(H171:AM171)</f>
        <v>1555083</v>
      </c>
      <c r="G168" s="139" t="s">
        <v>115</v>
      </c>
      <c r="H168" s="140"/>
      <c r="I168" s="189"/>
      <c r="J168" s="142"/>
      <c r="K168" s="142"/>
      <c r="L168" s="142"/>
      <c r="M168" s="142"/>
      <c r="N168" s="142"/>
      <c r="O168" s="142"/>
      <c r="P168" s="142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377"/>
    </row>
    <row r="169" spans="1:40" ht="12.75">
      <c r="A169" s="287"/>
      <c r="B169" s="319"/>
      <c r="C169" s="381"/>
      <c r="D169" s="333"/>
      <c r="E169" s="354"/>
      <c r="F169" s="379"/>
      <c r="G169" s="139" t="s">
        <v>116</v>
      </c>
      <c r="H169" s="140"/>
      <c r="I169" s="189"/>
      <c r="J169" s="142"/>
      <c r="K169" s="142"/>
      <c r="L169" s="142"/>
      <c r="M169" s="142"/>
      <c r="N169" s="142"/>
      <c r="O169" s="142"/>
      <c r="P169" s="142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377"/>
    </row>
    <row r="170" spans="1:40" ht="12.75">
      <c r="A170" s="287"/>
      <c r="B170" s="319"/>
      <c r="C170" s="381"/>
      <c r="D170" s="333"/>
      <c r="E170" s="354"/>
      <c r="F170" s="145" t="s">
        <v>114</v>
      </c>
      <c r="G170" s="139" t="s">
        <v>117</v>
      </c>
      <c r="H170" s="146">
        <f aca="true" t="shared" si="39" ref="H170:AM170">H164+H166+H168</f>
        <v>0</v>
      </c>
      <c r="I170" s="191">
        <f t="shared" si="39"/>
        <v>0</v>
      </c>
      <c r="J170" s="148">
        <f t="shared" si="39"/>
        <v>0</v>
      </c>
      <c r="K170" s="148">
        <f t="shared" si="39"/>
        <v>0</v>
      </c>
      <c r="L170" s="148">
        <f t="shared" si="39"/>
        <v>0</v>
      </c>
      <c r="M170" s="148">
        <f t="shared" si="39"/>
        <v>0</v>
      </c>
      <c r="N170" s="148">
        <f t="shared" si="39"/>
        <v>0</v>
      </c>
      <c r="O170" s="148">
        <f t="shared" si="39"/>
        <v>0</v>
      </c>
      <c r="P170" s="148">
        <f t="shared" si="39"/>
        <v>0</v>
      </c>
      <c r="Q170" s="148">
        <f t="shared" si="39"/>
        <v>0</v>
      </c>
      <c r="R170" s="148">
        <f t="shared" si="39"/>
        <v>0</v>
      </c>
      <c r="S170" s="148">
        <f t="shared" si="39"/>
        <v>0</v>
      </c>
      <c r="T170" s="148">
        <f t="shared" si="39"/>
        <v>0</v>
      </c>
      <c r="U170" s="148">
        <f t="shared" si="39"/>
        <v>0</v>
      </c>
      <c r="V170" s="148">
        <f t="shared" si="39"/>
        <v>0</v>
      </c>
      <c r="W170" s="148">
        <f t="shared" si="39"/>
        <v>0</v>
      </c>
      <c r="X170" s="148">
        <f t="shared" si="39"/>
        <v>0</v>
      </c>
      <c r="Y170" s="148">
        <f t="shared" si="39"/>
        <v>0</v>
      </c>
      <c r="Z170" s="148">
        <f t="shared" si="39"/>
        <v>0</v>
      </c>
      <c r="AA170" s="148">
        <f t="shared" si="39"/>
        <v>0</v>
      </c>
      <c r="AB170" s="148">
        <f t="shared" si="39"/>
        <v>0</v>
      </c>
      <c r="AC170" s="148">
        <f t="shared" si="39"/>
        <v>0</v>
      </c>
      <c r="AD170" s="148">
        <f t="shared" si="39"/>
        <v>0</v>
      </c>
      <c r="AE170" s="148">
        <f t="shared" si="39"/>
        <v>0</v>
      </c>
      <c r="AF170" s="148">
        <f t="shared" si="39"/>
        <v>0</v>
      </c>
      <c r="AG170" s="148">
        <f t="shared" si="39"/>
        <v>0</v>
      </c>
      <c r="AH170" s="148">
        <f t="shared" si="39"/>
        <v>0</v>
      </c>
      <c r="AI170" s="148">
        <f t="shared" si="39"/>
        <v>0</v>
      </c>
      <c r="AJ170" s="148">
        <f t="shared" si="39"/>
        <v>0</v>
      </c>
      <c r="AK170" s="148">
        <f t="shared" si="39"/>
        <v>0</v>
      </c>
      <c r="AL170" s="148">
        <f t="shared" si="39"/>
        <v>0</v>
      </c>
      <c r="AM170" s="148">
        <f t="shared" si="39"/>
        <v>0</v>
      </c>
      <c r="AN170" s="377"/>
    </row>
    <row r="171" spans="1:40" ht="18" customHeight="1" thickBot="1">
      <c r="A171" s="287"/>
      <c r="B171" s="320"/>
      <c r="C171" s="382"/>
      <c r="D171" s="334"/>
      <c r="E171" s="355"/>
      <c r="F171" s="226">
        <f>F165+F168</f>
        <v>1555083</v>
      </c>
      <c r="G171" s="150" t="s">
        <v>118</v>
      </c>
      <c r="H171" s="151">
        <f aca="true" t="shared" si="40" ref="H171:AM171">H165+H167+H169</f>
        <v>679316</v>
      </c>
      <c r="I171" s="228">
        <f t="shared" si="40"/>
        <v>871367</v>
      </c>
      <c r="J171" s="153">
        <f t="shared" si="40"/>
        <v>2200</v>
      </c>
      <c r="K171" s="153">
        <f t="shared" si="40"/>
        <v>2200</v>
      </c>
      <c r="L171" s="153">
        <f t="shared" si="40"/>
        <v>0</v>
      </c>
      <c r="M171" s="153">
        <f t="shared" si="40"/>
        <v>0</v>
      </c>
      <c r="N171" s="153">
        <f t="shared" si="40"/>
        <v>0</v>
      </c>
      <c r="O171" s="153">
        <f t="shared" si="40"/>
        <v>0</v>
      </c>
      <c r="P171" s="153">
        <f t="shared" si="40"/>
        <v>0</v>
      </c>
      <c r="Q171" s="153">
        <f t="shared" si="40"/>
        <v>0</v>
      </c>
      <c r="R171" s="153">
        <f t="shared" si="40"/>
        <v>0</v>
      </c>
      <c r="S171" s="153">
        <f t="shared" si="40"/>
        <v>0</v>
      </c>
      <c r="T171" s="153">
        <f t="shared" si="40"/>
        <v>0</v>
      </c>
      <c r="U171" s="153">
        <f t="shared" si="40"/>
        <v>0</v>
      </c>
      <c r="V171" s="153">
        <f t="shared" si="40"/>
        <v>0</v>
      </c>
      <c r="W171" s="153">
        <f t="shared" si="40"/>
        <v>0</v>
      </c>
      <c r="X171" s="153">
        <f t="shared" si="40"/>
        <v>0</v>
      </c>
      <c r="Y171" s="153">
        <f t="shared" si="40"/>
        <v>0</v>
      </c>
      <c r="Z171" s="153">
        <f t="shared" si="40"/>
        <v>0</v>
      </c>
      <c r="AA171" s="153">
        <f t="shared" si="40"/>
        <v>0</v>
      </c>
      <c r="AB171" s="153">
        <f t="shared" si="40"/>
        <v>0</v>
      </c>
      <c r="AC171" s="153">
        <f t="shared" si="40"/>
        <v>0</v>
      </c>
      <c r="AD171" s="153">
        <f t="shared" si="40"/>
        <v>0</v>
      </c>
      <c r="AE171" s="153">
        <f t="shared" si="40"/>
        <v>0</v>
      </c>
      <c r="AF171" s="153">
        <f t="shared" si="40"/>
        <v>0</v>
      </c>
      <c r="AG171" s="153">
        <f t="shared" si="40"/>
        <v>0</v>
      </c>
      <c r="AH171" s="153">
        <f t="shared" si="40"/>
        <v>0</v>
      </c>
      <c r="AI171" s="153">
        <f t="shared" si="40"/>
        <v>0</v>
      </c>
      <c r="AJ171" s="153">
        <f t="shared" si="40"/>
        <v>0</v>
      </c>
      <c r="AK171" s="153">
        <f t="shared" si="40"/>
        <v>0</v>
      </c>
      <c r="AL171" s="153">
        <f t="shared" si="40"/>
        <v>0</v>
      </c>
      <c r="AM171" s="153">
        <f t="shared" si="40"/>
        <v>0</v>
      </c>
      <c r="AN171" s="378"/>
    </row>
    <row r="172" spans="1:40" ht="12.75" customHeight="1">
      <c r="A172" s="286">
        <v>21</v>
      </c>
      <c r="B172" s="323" t="s">
        <v>211</v>
      </c>
      <c r="C172" s="380">
        <v>80101</v>
      </c>
      <c r="D172" s="332" t="s">
        <v>191</v>
      </c>
      <c r="E172" s="356">
        <v>2012</v>
      </c>
      <c r="F172" s="132" t="s">
        <v>106</v>
      </c>
      <c r="G172" s="133" t="s">
        <v>107</v>
      </c>
      <c r="H172" s="134"/>
      <c r="I172" s="227"/>
      <c r="J172" s="136"/>
      <c r="K172" s="136"/>
      <c r="L172" s="136"/>
      <c r="M172" s="136"/>
      <c r="N172" s="136"/>
      <c r="O172" s="136"/>
      <c r="P172" s="136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376">
        <f>SUM(J179:AM179)</f>
        <v>31000000</v>
      </c>
    </row>
    <row r="173" spans="1:40" ht="12.75">
      <c r="A173" s="287"/>
      <c r="B173" s="319"/>
      <c r="C173" s="381"/>
      <c r="D173" s="333"/>
      <c r="E173" s="354"/>
      <c r="F173" s="281">
        <f>SUM(H178:AM178)</f>
        <v>0</v>
      </c>
      <c r="G173" s="139" t="s">
        <v>108</v>
      </c>
      <c r="H173" s="140"/>
      <c r="I173" s="189">
        <v>500000</v>
      </c>
      <c r="J173" s="142">
        <v>8000000</v>
      </c>
      <c r="K173" s="142">
        <v>3000000</v>
      </c>
      <c r="L173" s="142">
        <v>20000000</v>
      </c>
      <c r="M173" s="142"/>
      <c r="N173" s="142"/>
      <c r="O173" s="142"/>
      <c r="P173" s="142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377"/>
    </row>
    <row r="174" spans="1:40" ht="12.75">
      <c r="A174" s="287"/>
      <c r="B174" s="319"/>
      <c r="C174" s="381"/>
      <c r="D174" s="333"/>
      <c r="E174" s="354"/>
      <c r="F174" s="379"/>
      <c r="G174" s="139" t="s">
        <v>109</v>
      </c>
      <c r="H174" s="140"/>
      <c r="I174" s="189"/>
      <c r="J174" s="142"/>
      <c r="K174" s="142"/>
      <c r="L174" s="142"/>
      <c r="M174" s="142"/>
      <c r="N174" s="142"/>
      <c r="O174" s="142"/>
      <c r="P174" s="142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377"/>
    </row>
    <row r="175" spans="1:40" ht="12.75">
      <c r="A175" s="287"/>
      <c r="B175" s="319"/>
      <c r="C175" s="381"/>
      <c r="D175" s="333"/>
      <c r="E175" s="266"/>
      <c r="F175" s="145" t="s">
        <v>110</v>
      </c>
      <c r="G175" s="139" t="s">
        <v>111</v>
      </c>
      <c r="H175" s="140"/>
      <c r="I175" s="189"/>
      <c r="J175" s="142"/>
      <c r="K175" s="142"/>
      <c r="L175" s="142"/>
      <c r="M175" s="142"/>
      <c r="N175" s="142"/>
      <c r="O175" s="142"/>
      <c r="P175" s="142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377"/>
    </row>
    <row r="176" spans="1:40" ht="12.75">
      <c r="A176" s="287"/>
      <c r="B176" s="319"/>
      <c r="C176" s="381"/>
      <c r="D176" s="333"/>
      <c r="E176" s="336">
        <v>2014</v>
      </c>
      <c r="F176" s="281">
        <f>SUM(H179:AM179)</f>
        <v>31500000</v>
      </c>
      <c r="G176" s="139" t="s">
        <v>115</v>
      </c>
      <c r="H176" s="140"/>
      <c r="I176" s="189"/>
      <c r="J176" s="142"/>
      <c r="K176" s="142"/>
      <c r="L176" s="142"/>
      <c r="M176" s="142"/>
      <c r="N176" s="142"/>
      <c r="O176" s="142"/>
      <c r="P176" s="142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377"/>
    </row>
    <row r="177" spans="1:40" ht="12.75">
      <c r="A177" s="287"/>
      <c r="B177" s="319"/>
      <c r="C177" s="381"/>
      <c r="D177" s="333"/>
      <c r="E177" s="354"/>
      <c r="F177" s="379"/>
      <c r="G177" s="139" t="s">
        <v>116</v>
      </c>
      <c r="H177" s="140"/>
      <c r="I177" s="189"/>
      <c r="J177" s="142"/>
      <c r="K177" s="142"/>
      <c r="L177" s="142"/>
      <c r="M177" s="142"/>
      <c r="N177" s="142"/>
      <c r="O177" s="142"/>
      <c r="P177" s="142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377"/>
    </row>
    <row r="178" spans="1:40" ht="12.75">
      <c r="A178" s="287"/>
      <c r="B178" s="319"/>
      <c r="C178" s="381"/>
      <c r="D178" s="333"/>
      <c r="E178" s="354"/>
      <c r="F178" s="145" t="s">
        <v>114</v>
      </c>
      <c r="G178" s="139" t="s">
        <v>117</v>
      </c>
      <c r="H178" s="146">
        <f aca="true" t="shared" si="41" ref="H178:AM178">H172+H174+H176</f>
        <v>0</v>
      </c>
      <c r="I178" s="191">
        <f t="shared" si="41"/>
        <v>0</v>
      </c>
      <c r="J178" s="148">
        <f t="shared" si="41"/>
        <v>0</v>
      </c>
      <c r="K178" s="148">
        <f t="shared" si="41"/>
        <v>0</v>
      </c>
      <c r="L178" s="148">
        <f t="shared" si="41"/>
        <v>0</v>
      </c>
      <c r="M178" s="148">
        <f t="shared" si="41"/>
        <v>0</v>
      </c>
      <c r="N178" s="148">
        <f t="shared" si="41"/>
        <v>0</v>
      </c>
      <c r="O178" s="148">
        <f t="shared" si="41"/>
        <v>0</v>
      </c>
      <c r="P178" s="148">
        <f t="shared" si="41"/>
        <v>0</v>
      </c>
      <c r="Q178" s="148">
        <f t="shared" si="41"/>
        <v>0</v>
      </c>
      <c r="R178" s="148">
        <f t="shared" si="41"/>
        <v>0</v>
      </c>
      <c r="S178" s="148">
        <f t="shared" si="41"/>
        <v>0</v>
      </c>
      <c r="T178" s="148">
        <f t="shared" si="41"/>
        <v>0</v>
      </c>
      <c r="U178" s="148">
        <f t="shared" si="41"/>
        <v>0</v>
      </c>
      <c r="V178" s="148">
        <f t="shared" si="41"/>
        <v>0</v>
      </c>
      <c r="W178" s="148">
        <f t="shared" si="41"/>
        <v>0</v>
      </c>
      <c r="X178" s="148">
        <f t="shared" si="41"/>
        <v>0</v>
      </c>
      <c r="Y178" s="148">
        <f t="shared" si="41"/>
        <v>0</v>
      </c>
      <c r="Z178" s="148">
        <f t="shared" si="41"/>
        <v>0</v>
      </c>
      <c r="AA178" s="148">
        <f t="shared" si="41"/>
        <v>0</v>
      </c>
      <c r="AB178" s="148">
        <f t="shared" si="41"/>
        <v>0</v>
      </c>
      <c r="AC178" s="148">
        <f t="shared" si="41"/>
        <v>0</v>
      </c>
      <c r="AD178" s="148">
        <f t="shared" si="41"/>
        <v>0</v>
      </c>
      <c r="AE178" s="148">
        <f t="shared" si="41"/>
        <v>0</v>
      </c>
      <c r="AF178" s="148">
        <f t="shared" si="41"/>
        <v>0</v>
      </c>
      <c r="AG178" s="148">
        <f t="shared" si="41"/>
        <v>0</v>
      </c>
      <c r="AH178" s="148">
        <f t="shared" si="41"/>
        <v>0</v>
      </c>
      <c r="AI178" s="148">
        <f t="shared" si="41"/>
        <v>0</v>
      </c>
      <c r="AJ178" s="148">
        <f t="shared" si="41"/>
        <v>0</v>
      </c>
      <c r="AK178" s="148">
        <f t="shared" si="41"/>
        <v>0</v>
      </c>
      <c r="AL178" s="148">
        <f t="shared" si="41"/>
        <v>0</v>
      </c>
      <c r="AM178" s="148">
        <f t="shared" si="41"/>
        <v>0</v>
      </c>
      <c r="AN178" s="377"/>
    </row>
    <row r="179" spans="1:40" ht="13.5" thickBot="1">
      <c r="A179" s="287"/>
      <c r="B179" s="320"/>
      <c r="C179" s="382"/>
      <c r="D179" s="334"/>
      <c r="E179" s="355"/>
      <c r="F179" s="226">
        <f>F173+F176</f>
        <v>31500000</v>
      </c>
      <c r="G179" s="150" t="s">
        <v>118</v>
      </c>
      <c r="H179" s="151">
        <f aca="true" t="shared" si="42" ref="H179:AM179">H173+H175+H177</f>
        <v>0</v>
      </c>
      <c r="I179" s="228">
        <f t="shared" si="42"/>
        <v>500000</v>
      </c>
      <c r="J179" s="153">
        <f t="shared" si="42"/>
        <v>8000000</v>
      </c>
      <c r="K179" s="153">
        <f t="shared" si="42"/>
        <v>3000000</v>
      </c>
      <c r="L179" s="153">
        <f t="shared" si="42"/>
        <v>20000000</v>
      </c>
      <c r="M179" s="153">
        <f t="shared" si="42"/>
        <v>0</v>
      </c>
      <c r="N179" s="153">
        <f t="shared" si="42"/>
        <v>0</v>
      </c>
      <c r="O179" s="153">
        <f t="shared" si="42"/>
        <v>0</v>
      </c>
      <c r="P179" s="153">
        <f t="shared" si="42"/>
        <v>0</v>
      </c>
      <c r="Q179" s="153">
        <f t="shared" si="42"/>
        <v>0</v>
      </c>
      <c r="R179" s="153">
        <f t="shared" si="42"/>
        <v>0</v>
      </c>
      <c r="S179" s="153">
        <f t="shared" si="42"/>
        <v>0</v>
      </c>
      <c r="T179" s="153">
        <f t="shared" si="42"/>
        <v>0</v>
      </c>
      <c r="U179" s="153">
        <f t="shared" si="42"/>
        <v>0</v>
      </c>
      <c r="V179" s="153">
        <f t="shared" si="42"/>
        <v>0</v>
      </c>
      <c r="W179" s="153">
        <f t="shared" si="42"/>
        <v>0</v>
      </c>
      <c r="X179" s="153">
        <f t="shared" si="42"/>
        <v>0</v>
      </c>
      <c r="Y179" s="153">
        <f t="shared" si="42"/>
        <v>0</v>
      </c>
      <c r="Z179" s="153">
        <f t="shared" si="42"/>
        <v>0</v>
      </c>
      <c r="AA179" s="153">
        <f t="shared" si="42"/>
        <v>0</v>
      </c>
      <c r="AB179" s="153">
        <f t="shared" si="42"/>
        <v>0</v>
      </c>
      <c r="AC179" s="153">
        <f t="shared" si="42"/>
        <v>0</v>
      </c>
      <c r="AD179" s="153">
        <f t="shared" si="42"/>
        <v>0</v>
      </c>
      <c r="AE179" s="153">
        <f t="shared" si="42"/>
        <v>0</v>
      </c>
      <c r="AF179" s="153">
        <f t="shared" si="42"/>
        <v>0</v>
      </c>
      <c r="AG179" s="153">
        <f t="shared" si="42"/>
        <v>0</v>
      </c>
      <c r="AH179" s="153">
        <f t="shared" si="42"/>
        <v>0</v>
      </c>
      <c r="AI179" s="153">
        <f t="shared" si="42"/>
        <v>0</v>
      </c>
      <c r="AJ179" s="153">
        <f t="shared" si="42"/>
        <v>0</v>
      </c>
      <c r="AK179" s="153">
        <f t="shared" si="42"/>
        <v>0</v>
      </c>
      <c r="AL179" s="153">
        <f t="shared" si="42"/>
        <v>0</v>
      </c>
      <c r="AM179" s="153">
        <f t="shared" si="42"/>
        <v>0</v>
      </c>
      <c r="AN179" s="378"/>
    </row>
    <row r="180" spans="1:40" ht="12.75" customHeight="1">
      <c r="A180" s="286">
        <v>22</v>
      </c>
      <c r="B180" s="323" t="s">
        <v>205</v>
      </c>
      <c r="C180" s="380">
        <v>80101</v>
      </c>
      <c r="D180" s="332" t="s">
        <v>191</v>
      </c>
      <c r="E180" s="356">
        <v>2011</v>
      </c>
      <c r="F180" s="132" t="s">
        <v>106</v>
      </c>
      <c r="G180" s="133" t="s">
        <v>107</v>
      </c>
      <c r="H180" s="134"/>
      <c r="I180" s="227"/>
      <c r="J180" s="136"/>
      <c r="K180" s="136"/>
      <c r="L180" s="136"/>
      <c r="M180" s="136"/>
      <c r="N180" s="136"/>
      <c r="O180" s="136"/>
      <c r="P180" s="136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376">
        <f>SUM(J187:AM187)</f>
        <v>400000</v>
      </c>
    </row>
    <row r="181" spans="1:40" ht="12.75">
      <c r="A181" s="287"/>
      <c r="B181" s="319"/>
      <c r="C181" s="381"/>
      <c r="D181" s="333"/>
      <c r="E181" s="354"/>
      <c r="F181" s="281">
        <f>SUM(H186:AM186)</f>
        <v>0</v>
      </c>
      <c r="G181" s="139" t="s">
        <v>108</v>
      </c>
      <c r="H181" s="140"/>
      <c r="I181" s="189">
        <v>600000</v>
      </c>
      <c r="J181" s="142">
        <v>200000</v>
      </c>
      <c r="K181" s="142">
        <v>200000</v>
      </c>
      <c r="L181" s="142"/>
      <c r="M181" s="142"/>
      <c r="N181" s="142"/>
      <c r="O181" s="142"/>
      <c r="P181" s="142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377"/>
    </row>
    <row r="182" spans="1:40" ht="12.75">
      <c r="A182" s="287"/>
      <c r="B182" s="319"/>
      <c r="C182" s="381"/>
      <c r="D182" s="333"/>
      <c r="E182" s="354"/>
      <c r="F182" s="379"/>
      <c r="G182" s="139" t="s">
        <v>109</v>
      </c>
      <c r="H182" s="140"/>
      <c r="I182" s="189"/>
      <c r="J182" s="142"/>
      <c r="K182" s="142"/>
      <c r="L182" s="142"/>
      <c r="M182" s="142"/>
      <c r="N182" s="142"/>
      <c r="O182" s="142"/>
      <c r="P182" s="142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377"/>
    </row>
    <row r="183" spans="1:40" ht="12.75">
      <c r="A183" s="287"/>
      <c r="B183" s="319"/>
      <c r="C183" s="381"/>
      <c r="D183" s="333"/>
      <c r="E183" s="266"/>
      <c r="F183" s="145" t="s">
        <v>110</v>
      </c>
      <c r="G183" s="139" t="s">
        <v>111</v>
      </c>
      <c r="H183" s="140"/>
      <c r="I183" s="189"/>
      <c r="J183" s="142"/>
      <c r="K183" s="142"/>
      <c r="L183" s="142"/>
      <c r="M183" s="142"/>
      <c r="N183" s="142"/>
      <c r="O183" s="142"/>
      <c r="P183" s="142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377"/>
    </row>
    <row r="184" spans="1:40" ht="12.75">
      <c r="A184" s="287"/>
      <c r="B184" s="319"/>
      <c r="C184" s="381"/>
      <c r="D184" s="333"/>
      <c r="E184" s="336">
        <v>2013</v>
      </c>
      <c r="F184" s="281">
        <f>SUM(H187:AM187)</f>
        <v>1000000</v>
      </c>
      <c r="G184" s="139" t="s">
        <v>115</v>
      </c>
      <c r="H184" s="140"/>
      <c r="I184" s="189"/>
      <c r="J184" s="142"/>
      <c r="K184" s="142"/>
      <c r="L184" s="142"/>
      <c r="M184" s="142"/>
      <c r="N184" s="142"/>
      <c r="O184" s="142"/>
      <c r="P184" s="142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377"/>
    </row>
    <row r="185" spans="1:40" ht="12.75">
      <c r="A185" s="287"/>
      <c r="B185" s="319"/>
      <c r="C185" s="381"/>
      <c r="D185" s="333"/>
      <c r="E185" s="354"/>
      <c r="F185" s="379"/>
      <c r="G185" s="139" t="s">
        <v>116</v>
      </c>
      <c r="H185" s="140"/>
      <c r="I185" s="189"/>
      <c r="J185" s="142"/>
      <c r="K185" s="142"/>
      <c r="L185" s="142"/>
      <c r="M185" s="142"/>
      <c r="N185" s="142"/>
      <c r="O185" s="142"/>
      <c r="P185" s="142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377"/>
    </row>
    <row r="186" spans="1:40" ht="12.75">
      <c r="A186" s="287"/>
      <c r="B186" s="319"/>
      <c r="C186" s="381"/>
      <c r="D186" s="333"/>
      <c r="E186" s="354"/>
      <c r="F186" s="145" t="s">
        <v>114</v>
      </c>
      <c r="G186" s="139" t="s">
        <v>117</v>
      </c>
      <c r="H186" s="146">
        <f aca="true" t="shared" si="43" ref="H186:AM186">H180+H182+H184</f>
        <v>0</v>
      </c>
      <c r="I186" s="191">
        <f t="shared" si="43"/>
        <v>0</v>
      </c>
      <c r="J186" s="148">
        <f t="shared" si="43"/>
        <v>0</v>
      </c>
      <c r="K186" s="148">
        <f t="shared" si="43"/>
        <v>0</v>
      </c>
      <c r="L186" s="148">
        <f t="shared" si="43"/>
        <v>0</v>
      </c>
      <c r="M186" s="148">
        <f t="shared" si="43"/>
        <v>0</v>
      </c>
      <c r="N186" s="148">
        <f t="shared" si="43"/>
        <v>0</v>
      </c>
      <c r="O186" s="148">
        <f t="shared" si="43"/>
        <v>0</v>
      </c>
      <c r="P186" s="148">
        <f t="shared" si="43"/>
        <v>0</v>
      </c>
      <c r="Q186" s="148">
        <f t="shared" si="43"/>
        <v>0</v>
      </c>
      <c r="R186" s="148">
        <f t="shared" si="43"/>
        <v>0</v>
      </c>
      <c r="S186" s="148">
        <f t="shared" si="43"/>
        <v>0</v>
      </c>
      <c r="T186" s="148">
        <f t="shared" si="43"/>
        <v>0</v>
      </c>
      <c r="U186" s="148">
        <f t="shared" si="43"/>
        <v>0</v>
      </c>
      <c r="V186" s="148">
        <f t="shared" si="43"/>
        <v>0</v>
      </c>
      <c r="W186" s="148">
        <f t="shared" si="43"/>
        <v>0</v>
      </c>
      <c r="X186" s="148">
        <f t="shared" si="43"/>
        <v>0</v>
      </c>
      <c r="Y186" s="148">
        <f t="shared" si="43"/>
        <v>0</v>
      </c>
      <c r="Z186" s="148">
        <f t="shared" si="43"/>
        <v>0</v>
      </c>
      <c r="AA186" s="148">
        <f t="shared" si="43"/>
        <v>0</v>
      </c>
      <c r="AB186" s="148">
        <f t="shared" si="43"/>
        <v>0</v>
      </c>
      <c r="AC186" s="148">
        <f t="shared" si="43"/>
        <v>0</v>
      </c>
      <c r="AD186" s="148">
        <f t="shared" si="43"/>
        <v>0</v>
      </c>
      <c r="AE186" s="148">
        <f t="shared" si="43"/>
        <v>0</v>
      </c>
      <c r="AF186" s="148">
        <f t="shared" si="43"/>
        <v>0</v>
      </c>
      <c r="AG186" s="148">
        <f t="shared" si="43"/>
        <v>0</v>
      </c>
      <c r="AH186" s="148">
        <f t="shared" si="43"/>
        <v>0</v>
      </c>
      <c r="AI186" s="148">
        <f t="shared" si="43"/>
        <v>0</v>
      </c>
      <c r="AJ186" s="148">
        <f t="shared" si="43"/>
        <v>0</v>
      </c>
      <c r="AK186" s="148">
        <f t="shared" si="43"/>
        <v>0</v>
      </c>
      <c r="AL186" s="148">
        <f t="shared" si="43"/>
        <v>0</v>
      </c>
      <c r="AM186" s="148">
        <f t="shared" si="43"/>
        <v>0</v>
      </c>
      <c r="AN186" s="377"/>
    </row>
    <row r="187" spans="1:40" ht="13.5" thickBot="1">
      <c r="A187" s="287"/>
      <c r="B187" s="320"/>
      <c r="C187" s="382"/>
      <c r="D187" s="333"/>
      <c r="E187" s="355"/>
      <c r="F187" s="226">
        <f>F181+F184</f>
        <v>1000000</v>
      </c>
      <c r="G187" s="150" t="s">
        <v>118</v>
      </c>
      <c r="H187" s="151">
        <f aca="true" t="shared" si="44" ref="H187:AM187">H181+H183+H185</f>
        <v>0</v>
      </c>
      <c r="I187" s="228">
        <f t="shared" si="44"/>
        <v>600000</v>
      </c>
      <c r="J187" s="153">
        <f t="shared" si="44"/>
        <v>200000</v>
      </c>
      <c r="K187" s="153">
        <f t="shared" si="44"/>
        <v>200000</v>
      </c>
      <c r="L187" s="153">
        <f t="shared" si="44"/>
        <v>0</v>
      </c>
      <c r="M187" s="153">
        <f t="shared" si="44"/>
        <v>0</v>
      </c>
      <c r="N187" s="153">
        <f t="shared" si="44"/>
        <v>0</v>
      </c>
      <c r="O187" s="153">
        <f t="shared" si="44"/>
        <v>0</v>
      </c>
      <c r="P187" s="153">
        <f t="shared" si="44"/>
        <v>0</v>
      </c>
      <c r="Q187" s="153">
        <f t="shared" si="44"/>
        <v>0</v>
      </c>
      <c r="R187" s="153">
        <f t="shared" si="44"/>
        <v>0</v>
      </c>
      <c r="S187" s="153">
        <f t="shared" si="44"/>
        <v>0</v>
      </c>
      <c r="T187" s="153">
        <f t="shared" si="44"/>
        <v>0</v>
      </c>
      <c r="U187" s="153">
        <f t="shared" si="44"/>
        <v>0</v>
      </c>
      <c r="V187" s="153">
        <f t="shared" si="44"/>
        <v>0</v>
      </c>
      <c r="W187" s="153">
        <f t="shared" si="44"/>
        <v>0</v>
      </c>
      <c r="X187" s="153">
        <f t="shared" si="44"/>
        <v>0</v>
      </c>
      <c r="Y187" s="153">
        <f t="shared" si="44"/>
        <v>0</v>
      </c>
      <c r="Z187" s="153">
        <f t="shared" si="44"/>
        <v>0</v>
      </c>
      <c r="AA187" s="153">
        <f t="shared" si="44"/>
        <v>0</v>
      </c>
      <c r="AB187" s="153">
        <f t="shared" si="44"/>
        <v>0</v>
      </c>
      <c r="AC187" s="153">
        <f t="shared" si="44"/>
        <v>0</v>
      </c>
      <c r="AD187" s="153">
        <f t="shared" si="44"/>
        <v>0</v>
      </c>
      <c r="AE187" s="153">
        <f t="shared" si="44"/>
        <v>0</v>
      </c>
      <c r="AF187" s="153">
        <f t="shared" si="44"/>
        <v>0</v>
      </c>
      <c r="AG187" s="153">
        <f t="shared" si="44"/>
        <v>0</v>
      </c>
      <c r="AH187" s="153">
        <f t="shared" si="44"/>
        <v>0</v>
      </c>
      <c r="AI187" s="153">
        <f t="shared" si="44"/>
        <v>0</v>
      </c>
      <c r="AJ187" s="153">
        <f t="shared" si="44"/>
        <v>0</v>
      </c>
      <c r="AK187" s="153">
        <f t="shared" si="44"/>
        <v>0</v>
      </c>
      <c r="AL187" s="153">
        <f t="shared" si="44"/>
        <v>0</v>
      </c>
      <c r="AM187" s="153">
        <f t="shared" si="44"/>
        <v>0</v>
      </c>
      <c r="AN187" s="378"/>
    </row>
    <row r="188" spans="1:40" ht="12.75" customHeight="1">
      <c r="A188" s="286">
        <v>23</v>
      </c>
      <c r="B188" s="319" t="s">
        <v>212</v>
      </c>
      <c r="C188" s="381">
        <v>80104</v>
      </c>
      <c r="D188" s="332" t="s">
        <v>191</v>
      </c>
      <c r="E188" s="354">
        <v>2012</v>
      </c>
      <c r="F188" s="132" t="s">
        <v>106</v>
      </c>
      <c r="G188" s="155" t="s">
        <v>107</v>
      </c>
      <c r="H188" s="134"/>
      <c r="I188" s="187"/>
      <c r="J188" s="158"/>
      <c r="K188" s="158"/>
      <c r="L188" s="158"/>
      <c r="M188" s="158"/>
      <c r="N188" s="158"/>
      <c r="O188" s="158"/>
      <c r="P188" s="158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376">
        <f>SUM(J195:AM195)</f>
        <v>8000000</v>
      </c>
    </row>
    <row r="189" spans="1:40" ht="12.75">
      <c r="A189" s="287"/>
      <c r="B189" s="319"/>
      <c r="C189" s="381"/>
      <c r="D189" s="333"/>
      <c r="E189" s="354"/>
      <c r="F189" s="281">
        <f>SUM(H194:AM194)</f>
        <v>0</v>
      </c>
      <c r="G189" s="139" t="s">
        <v>108</v>
      </c>
      <c r="H189" s="140"/>
      <c r="I189" s="189"/>
      <c r="J189" s="142">
        <v>1000000</v>
      </c>
      <c r="K189" s="142">
        <v>7000000</v>
      </c>
      <c r="L189" s="142"/>
      <c r="M189" s="142"/>
      <c r="N189" s="142"/>
      <c r="O189" s="142"/>
      <c r="P189" s="142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377"/>
    </row>
    <row r="190" spans="1:40" ht="12.75">
      <c r="A190" s="287"/>
      <c r="B190" s="319"/>
      <c r="C190" s="381"/>
      <c r="D190" s="333"/>
      <c r="E190" s="354"/>
      <c r="F190" s="379"/>
      <c r="G190" s="139" t="s">
        <v>109</v>
      </c>
      <c r="H190" s="140"/>
      <c r="I190" s="189"/>
      <c r="J190" s="142"/>
      <c r="K190" s="142"/>
      <c r="L190" s="142"/>
      <c r="M190" s="142"/>
      <c r="N190" s="142"/>
      <c r="O190" s="142"/>
      <c r="P190" s="142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377"/>
    </row>
    <row r="191" spans="1:40" ht="12.75">
      <c r="A191" s="287"/>
      <c r="B191" s="319"/>
      <c r="C191" s="381"/>
      <c r="D191" s="333"/>
      <c r="E191" s="266"/>
      <c r="F191" s="145" t="s">
        <v>110</v>
      </c>
      <c r="G191" s="139" t="s">
        <v>111</v>
      </c>
      <c r="H191" s="140"/>
      <c r="I191" s="189"/>
      <c r="J191" s="142"/>
      <c r="K191" s="142"/>
      <c r="L191" s="142"/>
      <c r="M191" s="142"/>
      <c r="N191" s="142"/>
      <c r="O191" s="142"/>
      <c r="P191" s="142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377"/>
    </row>
    <row r="192" spans="1:40" ht="12.75">
      <c r="A192" s="287"/>
      <c r="B192" s="319"/>
      <c r="C192" s="381"/>
      <c r="D192" s="333"/>
      <c r="E192" s="336">
        <v>2013</v>
      </c>
      <c r="F192" s="281">
        <f>SUM(H195:AM195)</f>
        <v>8000000</v>
      </c>
      <c r="G192" s="139" t="s">
        <v>115</v>
      </c>
      <c r="H192" s="140"/>
      <c r="I192" s="189"/>
      <c r="J192" s="142"/>
      <c r="K192" s="142"/>
      <c r="L192" s="142"/>
      <c r="M192" s="142"/>
      <c r="N192" s="142"/>
      <c r="O192" s="142"/>
      <c r="P192" s="142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377"/>
    </row>
    <row r="193" spans="1:40" ht="12.75">
      <c r="A193" s="287"/>
      <c r="B193" s="319"/>
      <c r="C193" s="381"/>
      <c r="D193" s="333"/>
      <c r="E193" s="354"/>
      <c r="F193" s="379"/>
      <c r="G193" s="139" t="s">
        <v>116</v>
      </c>
      <c r="H193" s="140"/>
      <c r="I193" s="189"/>
      <c r="J193" s="142"/>
      <c r="K193" s="142"/>
      <c r="L193" s="142"/>
      <c r="M193" s="142"/>
      <c r="N193" s="142"/>
      <c r="O193" s="142"/>
      <c r="P193" s="142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377"/>
    </row>
    <row r="194" spans="1:40" ht="12.75">
      <c r="A194" s="287"/>
      <c r="B194" s="319"/>
      <c r="C194" s="381"/>
      <c r="D194" s="333"/>
      <c r="E194" s="354"/>
      <c r="F194" s="145" t="s">
        <v>114</v>
      </c>
      <c r="G194" s="139" t="s">
        <v>117</v>
      </c>
      <c r="H194" s="146">
        <f aca="true" t="shared" si="45" ref="H194:AM194">H188+H190+H192</f>
        <v>0</v>
      </c>
      <c r="I194" s="191">
        <f t="shared" si="45"/>
        <v>0</v>
      </c>
      <c r="J194" s="148">
        <f t="shared" si="45"/>
        <v>0</v>
      </c>
      <c r="K194" s="148">
        <f t="shared" si="45"/>
        <v>0</v>
      </c>
      <c r="L194" s="148">
        <f t="shared" si="45"/>
        <v>0</v>
      </c>
      <c r="M194" s="148">
        <f t="shared" si="45"/>
        <v>0</v>
      </c>
      <c r="N194" s="148">
        <f t="shared" si="45"/>
        <v>0</v>
      </c>
      <c r="O194" s="148">
        <f t="shared" si="45"/>
        <v>0</v>
      </c>
      <c r="P194" s="148">
        <f t="shared" si="45"/>
        <v>0</v>
      </c>
      <c r="Q194" s="148">
        <f t="shared" si="45"/>
        <v>0</v>
      </c>
      <c r="R194" s="148">
        <f t="shared" si="45"/>
        <v>0</v>
      </c>
      <c r="S194" s="148">
        <f t="shared" si="45"/>
        <v>0</v>
      </c>
      <c r="T194" s="148">
        <f t="shared" si="45"/>
        <v>0</v>
      </c>
      <c r="U194" s="148">
        <f t="shared" si="45"/>
        <v>0</v>
      </c>
      <c r="V194" s="148">
        <f t="shared" si="45"/>
        <v>0</v>
      </c>
      <c r="W194" s="148">
        <f t="shared" si="45"/>
        <v>0</v>
      </c>
      <c r="X194" s="148">
        <f t="shared" si="45"/>
        <v>0</v>
      </c>
      <c r="Y194" s="148">
        <f t="shared" si="45"/>
        <v>0</v>
      </c>
      <c r="Z194" s="148">
        <f t="shared" si="45"/>
        <v>0</v>
      </c>
      <c r="AA194" s="148">
        <f t="shared" si="45"/>
        <v>0</v>
      </c>
      <c r="AB194" s="148">
        <f t="shared" si="45"/>
        <v>0</v>
      </c>
      <c r="AC194" s="148">
        <f t="shared" si="45"/>
        <v>0</v>
      </c>
      <c r="AD194" s="148">
        <f t="shared" si="45"/>
        <v>0</v>
      </c>
      <c r="AE194" s="148">
        <f t="shared" si="45"/>
        <v>0</v>
      </c>
      <c r="AF194" s="148">
        <f t="shared" si="45"/>
        <v>0</v>
      </c>
      <c r="AG194" s="148">
        <f t="shared" si="45"/>
        <v>0</v>
      </c>
      <c r="AH194" s="148">
        <f t="shared" si="45"/>
        <v>0</v>
      </c>
      <c r="AI194" s="148">
        <f t="shared" si="45"/>
        <v>0</v>
      </c>
      <c r="AJ194" s="148">
        <f t="shared" si="45"/>
        <v>0</v>
      </c>
      <c r="AK194" s="148">
        <f t="shared" si="45"/>
        <v>0</v>
      </c>
      <c r="AL194" s="148">
        <f t="shared" si="45"/>
        <v>0</v>
      </c>
      <c r="AM194" s="148">
        <f t="shared" si="45"/>
        <v>0</v>
      </c>
      <c r="AN194" s="377"/>
    </row>
    <row r="195" spans="1:40" ht="13.5" thickBot="1">
      <c r="A195" s="287"/>
      <c r="B195" s="319"/>
      <c r="C195" s="381"/>
      <c r="D195" s="333"/>
      <c r="E195" s="354"/>
      <c r="F195" s="226">
        <f>F189+F192</f>
        <v>8000000</v>
      </c>
      <c r="G195" s="164" t="s">
        <v>118</v>
      </c>
      <c r="H195" s="151">
        <f aca="true" t="shared" si="46" ref="H195:AM195">H189+H191+H193</f>
        <v>0</v>
      </c>
      <c r="I195" s="193">
        <f t="shared" si="46"/>
        <v>0</v>
      </c>
      <c r="J195" s="166">
        <f t="shared" si="46"/>
        <v>1000000</v>
      </c>
      <c r="K195" s="166">
        <f t="shared" si="46"/>
        <v>7000000</v>
      </c>
      <c r="L195" s="166">
        <f t="shared" si="46"/>
        <v>0</v>
      </c>
      <c r="M195" s="166">
        <f t="shared" si="46"/>
        <v>0</v>
      </c>
      <c r="N195" s="166">
        <f t="shared" si="46"/>
        <v>0</v>
      </c>
      <c r="O195" s="166">
        <f t="shared" si="46"/>
        <v>0</v>
      </c>
      <c r="P195" s="166">
        <f t="shared" si="46"/>
        <v>0</v>
      </c>
      <c r="Q195" s="166">
        <f t="shared" si="46"/>
        <v>0</v>
      </c>
      <c r="R195" s="166">
        <f t="shared" si="46"/>
        <v>0</v>
      </c>
      <c r="S195" s="166">
        <f t="shared" si="46"/>
        <v>0</v>
      </c>
      <c r="T195" s="166">
        <f t="shared" si="46"/>
        <v>0</v>
      </c>
      <c r="U195" s="166">
        <f t="shared" si="46"/>
        <v>0</v>
      </c>
      <c r="V195" s="166">
        <f t="shared" si="46"/>
        <v>0</v>
      </c>
      <c r="W195" s="166">
        <f t="shared" si="46"/>
        <v>0</v>
      </c>
      <c r="X195" s="166">
        <f t="shared" si="46"/>
        <v>0</v>
      </c>
      <c r="Y195" s="166">
        <f t="shared" si="46"/>
        <v>0</v>
      </c>
      <c r="Z195" s="166">
        <f t="shared" si="46"/>
        <v>0</v>
      </c>
      <c r="AA195" s="166">
        <f t="shared" si="46"/>
        <v>0</v>
      </c>
      <c r="AB195" s="166">
        <f t="shared" si="46"/>
        <v>0</v>
      </c>
      <c r="AC195" s="166">
        <f t="shared" si="46"/>
        <v>0</v>
      </c>
      <c r="AD195" s="166">
        <f t="shared" si="46"/>
        <v>0</v>
      </c>
      <c r="AE195" s="166">
        <f t="shared" si="46"/>
        <v>0</v>
      </c>
      <c r="AF195" s="166">
        <f t="shared" si="46"/>
        <v>0</v>
      </c>
      <c r="AG195" s="166">
        <f t="shared" si="46"/>
        <v>0</v>
      </c>
      <c r="AH195" s="166">
        <f t="shared" si="46"/>
        <v>0</v>
      </c>
      <c r="AI195" s="166">
        <f t="shared" si="46"/>
        <v>0</v>
      </c>
      <c r="AJ195" s="166">
        <f t="shared" si="46"/>
        <v>0</v>
      </c>
      <c r="AK195" s="166">
        <f t="shared" si="46"/>
        <v>0</v>
      </c>
      <c r="AL195" s="166">
        <f t="shared" si="46"/>
        <v>0</v>
      </c>
      <c r="AM195" s="166">
        <f t="shared" si="46"/>
        <v>0</v>
      </c>
      <c r="AN195" s="378"/>
    </row>
    <row r="196" spans="1:40" ht="12.75" customHeight="1">
      <c r="A196" s="286">
        <v>24</v>
      </c>
      <c r="B196" s="323" t="s">
        <v>213</v>
      </c>
      <c r="C196" s="380">
        <v>80120</v>
      </c>
      <c r="D196" s="332" t="s">
        <v>191</v>
      </c>
      <c r="E196" s="356">
        <v>2011</v>
      </c>
      <c r="F196" s="132" t="s">
        <v>106</v>
      </c>
      <c r="G196" s="133" t="s">
        <v>107</v>
      </c>
      <c r="H196" s="134"/>
      <c r="I196" s="227"/>
      <c r="J196" s="136"/>
      <c r="K196" s="136"/>
      <c r="L196" s="136"/>
      <c r="M196" s="136"/>
      <c r="N196" s="136"/>
      <c r="O196" s="136"/>
      <c r="P196" s="136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376">
        <f>SUM(J203:AM203)</f>
        <v>10300000</v>
      </c>
    </row>
    <row r="197" spans="1:40" ht="12.75">
      <c r="A197" s="287"/>
      <c r="B197" s="319"/>
      <c r="C197" s="381"/>
      <c r="D197" s="333"/>
      <c r="E197" s="354"/>
      <c r="F197" s="281">
        <f>SUM(H202:AM202)</f>
        <v>0</v>
      </c>
      <c r="G197" s="139" t="s">
        <v>108</v>
      </c>
      <c r="H197" s="140"/>
      <c r="I197" s="189">
        <f>2000000+1300000-1000000</f>
        <v>2300000</v>
      </c>
      <c r="J197" s="142">
        <v>300000</v>
      </c>
      <c r="K197" s="142">
        <v>8000000</v>
      </c>
      <c r="L197" s="142">
        <v>2000000</v>
      </c>
      <c r="M197" s="142"/>
      <c r="N197" s="142"/>
      <c r="O197" s="142"/>
      <c r="P197" s="142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377"/>
    </row>
    <row r="198" spans="1:40" ht="12.75">
      <c r="A198" s="287"/>
      <c r="B198" s="319"/>
      <c r="C198" s="381"/>
      <c r="D198" s="333"/>
      <c r="E198" s="354"/>
      <c r="F198" s="379"/>
      <c r="G198" s="139" t="s">
        <v>109</v>
      </c>
      <c r="H198" s="140"/>
      <c r="I198" s="189"/>
      <c r="J198" s="142"/>
      <c r="K198" s="142"/>
      <c r="L198" s="142"/>
      <c r="M198" s="142"/>
      <c r="N198" s="142"/>
      <c r="O198" s="142"/>
      <c r="P198" s="142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377"/>
    </row>
    <row r="199" spans="1:40" ht="12.75">
      <c r="A199" s="287"/>
      <c r="B199" s="319"/>
      <c r="C199" s="381"/>
      <c r="D199" s="333"/>
      <c r="E199" s="266"/>
      <c r="F199" s="145" t="s">
        <v>110</v>
      </c>
      <c r="G199" s="139" t="s">
        <v>111</v>
      </c>
      <c r="H199" s="140"/>
      <c r="I199" s="189"/>
      <c r="J199" s="142"/>
      <c r="K199" s="142"/>
      <c r="L199" s="142"/>
      <c r="M199" s="142"/>
      <c r="N199" s="142"/>
      <c r="O199" s="142"/>
      <c r="P199" s="142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377"/>
    </row>
    <row r="200" spans="1:40" ht="12.75">
      <c r="A200" s="287"/>
      <c r="B200" s="319"/>
      <c r="C200" s="381"/>
      <c r="D200" s="333"/>
      <c r="E200" s="336">
        <v>2014</v>
      </c>
      <c r="F200" s="281">
        <f>SUM(H203:AM203)</f>
        <v>12600000</v>
      </c>
      <c r="G200" s="139" t="s">
        <v>115</v>
      </c>
      <c r="H200" s="140"/>
      <c r="I200" s="189"/>
      <c r="J200" s="142"/>
      <c r="K200" s="142"/>
      <c r="L200" s="142"/>
      <c r="M200" s="142"/>
      <c r="N200" s="142"/>
      <c r="O200" s="142"/>
      <c r="P200" s="142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377"/>
    </row>
    <row r="201" spans="1:40" ht="12.75">
      <c r="A201" s="287"/>
      <c r="B201" s="319"/>
      <c r="C201" s="381"/>
      <c r="D201" s="333"/>
      <c r="E201" s="354"/>
      <c r="F201" s="379"/>
      <c r="G201" s="139" t="s">
        <v>116</v>
      </c>
      <c r="H201" s="140"/>
      <c r="I201" s="189"/>
      <c r="J201" s="142"/>
      <c r="K201" s="142"/>
      <c r="L201" s="142"/>
      <c r="M201" s="142"/>
      <c r="N201" s="142"/>
      <c r="O201" s="142"/>
      <c r="P201" s="142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377"/>
    </row>
    <row r="202" spans="1:40" ht="12.75">
      <c r="A202" s="287"/>
      <c r="B202" s="319"/>
      <c r="C202" s="381"/>
      <c r="D202" s="333"/>
      <c r="E202" s="354"/>
      <c r="F202" s="145" t="s">
        <v>114</v>
      </c>
      <c r="G202" s="139" t="s">
        <v>117</v>
      </c>
      <c r="H202" s="146">
        <f aca="true" t="shared" si="47" ref="H202:AM202">H196+H198+H200</f>
        <v>0</v>
      </c>
      <c r="I202" s="191">
        <f t="shared" si="47"/>
        <v>0</v>
      </c>
      <c r="J202" s="148">
        <f t="shared" si="47"/>
        <v>0</v>
      </c>
      <c r="K202" s="148">
        <f t="shared" si="47"/>
        <v>0</v>
      </c>
      <c r="L202" s="148">
        <f t="shared" si="47"/>
        <v>0</v>
      </c>
      <c r="M202" s="148">
        <f t="shared" si="47"/>
        <v>0</v>
      </c>
      <c r="N202" s="148">
        <f t="shared" si="47"/>
        <v>0</v>
      </c>
      <c r="O202" s="148">
        <f t="shared" si="47"/>
        <v>0</v>
      </c>
      <c r="P202" s="148">
        <f t="shared" si="47"/>
        <v>0</v>
      </c>
      <c r="Q202" s="148">
        <f t="shared" si="47"/>
        <v>0</v>
      </c>
      <c r="R202" s="148">
        <f t="shared" si="47"/>
        <v>0</v>
      </c>
      <c r="S202" s="148">
        <f t="shared" si="47"/>
        <v>0</v>
      </c>
      <c r="T202" s="148">
        <f t="shared" si="47"/>
        <v>0</v>
      </c>
      <c r="U202" s="148">
        <f t="shared" si="47"/>
        <v>0</v>
      </c>
      <c r="V202" s="148">
        <f t="shared" si="47"/>
        <v>0</v>
      </c>
      <c r="W202" s="148">
        <f t="shared" si="47"/>
        <v>0</v>
      </c>
      <c r="X202" s="148">
        <f t="shared" si="47"/>
        <v>0</v>
      </c>
      <c r="Y202" s="148">
        <f t="shared" si="47"/>
        <v>0</v>
      </c>
      <c r="Z202" s="148">
        <f t="shared" si="47"/>
        <v>0</v>
      </c>
      <c r="AA202" s="148">
        <f t="shared" si="47"/>
        <v>0</v>
      </c>
      <c r="AB202" s="148">
        <f t="shared" si="47"/>
        <v>0</v>
      </c>
      <c r="AC202" s="148">
        <f t="shared" si="47"/>
        <v>0</v>
      </c>
      <c r="AD202" s="148">
        <f t="shared" si="47"/>
        <v>0</v>
      </c>
      <c r="AE202" s="148">
        <f t="shared" si="47"/>
        <v>0</v>
      </c>
      <c r="AF202" s="148">
        <f t="shared" si="47"/>
        <v>0</v>
      </c>
      <c r="AG202" s="148">
        <f t="shared" si="47"/>
        <v>0</v>
      </c>
      <c r="AH202" s="148">
        <f t="shared" si="47"/>
        <v>0</v>
      </c>
      <c r="AI202" s="148">
        <f t="shared" si="47"/>
        <v>0</v>
      </c>
      <c r="AJ202" s="148">
        <f t="shared" si="47"/>
        <v>0</v>
      </c>
      <c r="AK202" s="148">
        <f t="shared" si="47"/>
        <v>0</v>
      </c>
      <c r="AL202" s="148">
        <f t="shared" si="47"/>
        <v>0</v>
      </c>
      <c r="AM202" s="148">
        <f t="shared" si="47"/>
        <v>0</v>
      </c>
      <c r="AN202" s="377"/>
    </row>
    <row r="203" spans="1:40" ht="13.5" thickBot="1">
      <c r="A203" s="318"/>
      <c r="B203" s="320"/>
      <c r="C203" s="382"/>
      <c r="D203" s="334"/>
      <c r="E203" s="355"/>
      <c r="F203" s="226">
        <f>F197+F200</f>
        <v>12600000</v>
      </c>
      <c r="G203" s="150" t="s">
        <v>118</v>
      </c>
      <c r="H203" s="151">
        <f aca="true" t="shared" si="48" ref="H203:AM203">H197+H199+H201</f>
        <v>0</v>
      </c>
      <c r="I203" s="228">
        <f t="shared" si="48"/>
        <v>2300000</v>
      </c>
      <c r="J203" s="153">
        <f t="shared" si="48"/>
        <v>300000</v>
      </c>
      <c r="K203" s="153">
        <f t="shared" si="48"/>
        <v>8000000</v>
      </c>
      <c r="L203" s="153">
        <f t="shared" si="48"/>
        <v>2000000</v>
      </c>
      <c r="M203" s="153">
        <f t="shared" si="48"/>
        <v>0</v>
      </c>
      <c r="N203" s="153">
        <f t="shared" si="48"/>
        <v>0</v>
      </c>
      <c r="O203" s="153">
        <f t="shared" si="48"/>
        <v>0</v>
      </c>
      <c r="P203" s="153">
        <f t="shared" si="48"/>
        <v>0</v>
      </c>
      <c r="Q203" s="153">
        <f t="shared" si="48"/>
        <v>0</v>
      </c>
      <c r="R203" s="153">
        <f t="shared" si="48"/>
        <v>0</v>
      </c>
      <c r="S203" s="153">
        <f t="shared" si="48"/>
        <v>0</v>
      </c>
      <c r="T203" s="153">
        <f t="shared" si="48"/>
        <v>0</v>
      </c>
      <c r="U203" s="153">
        <f t="shared" si="48"/>
        <v>0</v>
      </c>
      <c r="V203" s="153">
        <f t="shared" si="48"/>
        <v>0</v>
      </c>
      <c r="W203" s="153">
        <f t="shared" si="48"/>
        <v>0</v>
      </c>
      <c r="X203" s="153">
        <f t="shared" si="48"/>
        <v>0</v>
      </c>
      <c r="Y203" s="153">
        <f t="shared" si="48"/>
        <v>0</v>
      </c>
      <c r="Z203" s="153">
        <f t="shared" si="48"/>
        <v>0</v>
      </c>
      <c r="AA203" s="153">
        <f t="shared" si="48"/>
        <v>0</v>
      </c>
      <c r="AB203" s="153">
        <f t="shared" si="48"/>
        <v>0</v>
      </c>
      <c r="AC203" s="153">
        <f t="shared" si="48"/>
        <v>0</v>
      </c>
      <c r="AD203" s="153">
        <f t="shared" si="48"/>
        <v>0</v>
      </c>
      <c r="AE203" s="153">
        <f t="shared" si="48"/>
        <v>0</v>
      </c>
      <c r="AF203" s="153">
        <f t="shared" si="48"/>
        <v>0</v>
      </c>
      <c r="AG203" s="153">
        <f t="shared" si="48"/>
        <v>0</v>
      </c>
      <c r="AH203" s="153">
        <f t="shared" si="48"/>
        <v>0</v>
      </c>
      <c r="AI203" s="153">
        <f t="shared" si="48"/>
        <v>0</v>
      </c>
      <c r="AJ203" s="153">
        <f t="shared" si="48"/>
        <v>0</v>
      </c>
      <c r="AK203" s="153">
        <f t="shared" si="48"/>
        <v>0</v>
      </c>
      <c r="AL203" s="153">
        <f t="shared" si="48"/>
        <v>0</v>
      </c>
      <c r="AM203" s="153">
        <f t="shared" si="48"/>
        <v>0</v>
      </c>
      <c r="AN203" s="378"/>
    </row>
    <row r="204" spans="1:40" ht="12.75" customHeight="1">
      <c r="A204" s="286">
        <v>25</v>
      </c>
      <c r="B204" s="323" t="s">
        <v>205</v>
      </c>
      <c r="C204" s="380">
        <v>80120</v>
      </c>
      <c r="D204" s="332" t="s">
        <v>191</v>
      </c>
      <c r="E204" s="356">
        <v>2011</v>
      </c>
      <c r="F204" s="132" t="s">
        <v>106</v>
      </c>
      <c r="G204" s="133" t="s">
        <v>107</v>
      </c>
      <c r="H204" s="134"/>
      <c r="I204" s="227"/>
      <c r="J204" s="136"/>
      <c r="K204" s="136"/>
      <c r="L204" s="136"/>
      <c r="M204" s="136"/>
      <c r="N204" s="136"/>
      <c r="O204" s="136"/>
      <c r="P204" s="136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376">
        <f>SUM(J211:AM211)</f>
        <v>100000</v>
      </c>
    </row>
    <row r="205" spans="1:40" ht="12.75">
      <c r="A205" s="287"/>
      <c r="B205" s="319"/>
      <c r="C205" s="381"/>
      <c r="D205" s="333"/>
      <c r="E205" s="354"/>
      <c r="F205" s="281">
        <f>SUM(H210:AM210)</f>
        <v>0</v>
      </c>
      <c r="G205" s="139" t="s">
        <v>108</v>
      </c>
      <c r="H205" s="140"/>
      <c r="I205" s="189">
        <v>100000</v>
      </c>
      <c r="J205" s="142">
        <v>100000</v>
      </c>
      <c r="K205" s="142"/>
      <c r="L205" s="142"/>
      <c r="M205" s="142"/>
      <c r="N205" s="142"/>
      <c r="O205" s="142"/>
      <c r="P205" s="142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377"/>
    </row>
    <row r="206" spans="1:40" ht="12.75">
      <c r="A206" s="287"/>
      <c r="B206" s="319"/>
      <c r="C206" s="381"/>
      <c r="D206" s="333"/>
      <c r="E206" s="354"/>
      <c r="F206" s="379"/>
      <c r="G206" s="139" t="s">
        <v>109</v>
      </c>
      <c r="H206" s="140"/>
      <c r="I206" s="189"/>
      <c r="J206" s="142"/>
      <c r="K206" s="142"/>
      <c r="L206" s="142"/>
      <c r="M206" s="142"/>
      <c r="N206" s="142"/>
      <c r="O206" s="142"/>
      <c r="P206" s="142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377"/>
    </row>
    <row r="207" spans="1:40" ht="12.75">
      <c r="A207" s="287"/>
      <c r="B207" s="319"/>
      <c r="C207" s="381"/>
      <c r="D207" s="333"/>
      <c r="E207" s="266"/>
      <c r="F207" s="145" t="s">
        <v>110</v>
      </c>
      <c r="G207" s="139" t="s">
        <v>111</v>
      </c>
      <c r="H207" s="140"/>
      <c r="I207" s="189"/>
      <c r="J207" s="142"/>
      <c r="K207" s="142"/>
      <c r="L207" s="142"/>
      <c r="M207" s="142"/>
      <c r="N207" s="142"/>
      <c r="O207" s="142"/>
      <c r="P207" s="142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377"/>
    </row>
    <row r="208" spans="1:40" ht="12.75">
      <c r="A208" s="287"/>
      <c r="B208" s="319"/>
      <c r="C208" s="381"/>
      <c r="D208" s="333"/>
      <c r="E208" s="336">
        <v>2012</v>
      </c>
      <c r="F208" s="281">
        <f>SUM(H211:AM211)</f>
        <v>200000</v>
      </c>
      <c r="G208" s="139" t="s">
        <v>115</v>
      </c>
      <c r="H208" s="140"/>
      <c r="I208" s="189"/>
      <c r="J208" s="142"/>
      <c r="K208" s="142"/>
      <c r="L208" s="142"/>
      <c r="M208" s="142"/>
      <c r="N208" s="142"/>
      <c r="O208" s="142"/>
      <c r="P208" s="142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377"/>
    </row>
    <row r="209" spans="1:40" ht="12.75">
      <c r="A209" s="287"/>
      <c r="B209" s="319"/>
      <c r="C209" s="381"/>
      <c r="D209" s="333"/>
      <c r="E209" s="354"/>
      <c r="F209" s="379"/>
      <c r="G209" s="139" t="s">
        <v>116</v>
      </c>
      <c r="H209" s="140"/>
      <c r="I209" s="189"/>
      <c r="J209" s="142"/>
      <c r="K209" s="142"/>
      <c r="L209" s="142"/>
      <c r="M209" s="142"/>
      <c r="N209" s="142"/>
      <c r="O209" s="142"/>
      <c r="P209" s="142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377"/>
    </row>
    <row r="210" spans="1:40" ht="12.75">
      <c r="A210" s="287"/>
      <c r="B210" s="319"/>
      <c r="C210" s="381"/>
      <c r="D210" s="333"/>
      <c r="E210" s="354"/>
      <c r="F210" s="145" t="s">
        <v>114</v>
      </c>
      <c r="G210" s="139" t="s">
        <v>117</v>
      </c>
      <c r="H210" s="146">
        <f aca="true" t="shared" si="49" ref="H210:AM210">H204+H206+H208</f>
        <v>0</v>
      </c>
      <c r="I210" s="191">
        <f t="shared" si="49"/>
        <v>0</v>
      </c>
      <c r="J210" s="148">
        <f t="shared" si="49"/>
        <v>0</v>
      </c>
      <c r="K210" s="148">
        <f t="shared" si="49"/>
        <v>0</v>
      </c>
      <c r="L210" s="148">
        <f t="shared" si="49"/>
        <v>0</v>
      </c>
      <c r="M210" s="148">
        <f t="shared" si="49"/>
        <v>0</v>
      </c>
      <c r="N210" s="148">
        <f t="shared" si="49"/>
        <v>0</v>
      </c>
      <c r="O210" s="148">
        <f t="shared" si="49"/>
        <v>0</v>
      </c>
      <c r="P210" s="148">
        <f t="shared" si="49"/>
        <v>0</v>
      </c>
      <c r="Q210" s="148">
        <f t="shared" si="49"/>
        <v>0</v>
      </c>
      <c r="R210" s="148">
        <f t="shared" si="49"/>
        <v>0</v>
      </c>
      <c r="S210" s="148">
        <f t="shared" si="49"/>
        <v>0</v>
      </c>
      <c r="T210" s="148">
        <f t="shared" si="49"/>
        <v>0</v>
      </c>
      <c r="U210" s="148">
        <f t="shared" si="49"/>
        <v>0</v>
      </c>
      <c r="V210" s="148">
        <f t="shared" si="49"/>
        <v>0</v>
      </c>
      <c r="W210" s="148">
        <f t="shared" si="49"/>
        <v>0</v>
      </c>
      <c r="X210" s="148">
        <f t="shared" si="49"/>
        <v>0</v>
      </c>
      <c r="Y210" s="148">
        <f t="shared" si="49"/>
        <v>0</v>
      </c>
      <c r="Z210" s="148">
        <f t="shared" si="49"/>
        <v>0</v>
      </c>
      <c r="AA210" s="148">
        <f t="shared" si="49"/>
        <v>0</v>
      </c>
      <c r="AB210" s="148">
        <f t="shared" si="49"/>
        <v>0</v>
      </c>
      <c r="AC210" s="148">
        <f t="shared" si="49"/>
        <v>0</v>
      </c>
      <c r="AD210" s="148">
        <f t="shared" si="49"/>
        <v>0</v>
      </c>
      <c r="AE210" s="148">
        <f t="shared" si="49"/>
        <v>0</v>
      </c>
      <c r="AF210" s="148">
        <f t="shared" si="49"/>
        <v>0</v>
      </c>
      <c r="AG210" s="148">
        <f t="shared" si="49"/>
        <v>0</v>
      </c>
      <c r="AH210" s="148">
        <f t="shared" si="49"/>
        <v>0</v>
      </c>
      <c r="AI210" s="148">
        <f t="shared" si="49"/>
        <v>0</v>
      </c>
      <c r="AJ210" s="148">
        <f t="shared" si="49"/>
        <v>0</v>
      </c>
      <c r="AK210" s="148">
        <f t="shared" si="49"/>
        <v>0</v>
      </c>
      <c r="AL210" s="148">
        <f t="shared" si="49"/>
        <v>0</v>
      </c>
      <c r="AM210" s="148">
        <f t="shared" si="49"/>
        <v>0</v>
      </c>
      <c r="AN210" s="377"/>
    </row>
    <row r="211" spans="1:40" ht="23.25" customHeight="1" thickBot="1">
      <c r="A211" s="287"/>
      <c r="B211" s="320"/>
      <c r="C211" s="382"/>
      <c r="D211" s="334"/>
      <c r="E211" s="355"/>
      <c r="F211" s="226">
        <f>F205+F208</f>
        <v>200000</v>
      </c>
      <c r="G211" s="150" t="s">
        <v>118</v>
      </c>
      <c r="H211" s="151">
        <f aca="true" t="shared" si="50" ref="H211:AM211">H205+H207+H209</f>
        <v>0</v>
      </c>
      <c r="I211" s="228">
        <f t="shared" si="50"/>
        <v>100000</v>
      </c>
      <c r="J211" s="153">
        <f t="shared" si="50"/>
        <v>100000</v>
      </c>
      <c r="K211" s="153">
        <f t="shared" si="50"/>
        <v>0</v>
      </c>
      <c r="L211" s="153">
        <f t="shared" si="50"/>
        <v>0</v>
      </c>
      <c r="M211" s="153">
        <f t="shared" si="50"/>
        <v>0</v>
      </c>
      <c r="N211" s="153">
        <f t="shared" si="50"/>
        <v>0</v>
      </c>
      <c r="O211" s="153">
        <f t="shared" si="50"/>
        <v>0</v>
      </c>
      <c r="P211" s="153">
        <f t="shared" si="50"/>
        <v>0</v>
      </c>
      <c r="Q211" s="153">
        <f t="shared" si="50"/>
        <v>0</v>
      </c>
      <c r="R211" s="153">
        <f t="shared" si="50"/>
        <v>0</v>
      </c>
      <c r="S211" s="153">
        <f t="shared" si="50"/>
        <v>0</v>
      </c>
      <c r="T211" s="153">
        <f t="shared" si="50"/>
        <v>0</v>
      </c>
      <c r="U211" s="153">
        <f t="shared" si="50"/>
        <v>0</v>
      </c>
      <c r="V211" s="153">
        <f t="shared" si="50"/>
        <v>0</v>
      </c>
      <c r="W211" s="153">
        <f t="shared" si="50"/>
        <v>0</v>
      </c>
      <c r="X211" s="153">
        <f t="shared" si="50"/>
        <v>0</v>
      </c>
      <c r="Y211" s="153">
        <f t="shared" si="50"/>
        <v>0</v>
      </c>
      <c r="Z211" s="153">
        <f t="shared" si="50"/>
        <v>0</v>
      </c>
      <c r="AA211" s="153">
        <f t="shared" si="50"/>
        <v>0</v>
      </c>
      <c r="AB211" s="153">
        <f t="shared" si="50"/>
        <v>0</v>
      </c>
      <c r="AC211" s="153">
        <f t="shared" si="50"/>
        <v>0</v>
      </c>
      <c r="AD211" s="153">
        <f t="shared" si="50"/>
        <v>0</v>
      </c>
      <c r="AE211" s="153">
        <f t="shared" si="50"/>
        <v>0</v>
      </c>
      <c r="AF211" s="153">
        <f t="shared" si="50"/>
        <v>0</v>
      </c>
      <c r="AG211" s="153">
        <f t="shared" si="50"/>
        <v>0</v>
      </c>
      <c r="AH211" s="153">
        <f t="shared" si="50"/>
        <v>0</v>
      </c>
      <c r="AI211" s="153">
        <f t="shared" si="50"/>
        <v>0</v>
      </c>
      <c r="AJ211" s="153">
        <f t="shared" si="50"/>
        <v>0</v>
      </c>
      <c r="AK211" s="153">
        <f t="shared" si="50"/>
        <v>0</v>
      </c>
      <c r="AL211" s="153">
        <f t="shared" si="50"/>
        <v>0</v>
      </c>
      <c r="AM211" s="153">
        <f t="shared" si="50"/>
        <v>0</v>
      </c>
      <c r="AN211" s="378"/>
    </row>
    <row r="212" spans="1:40" ht="12.75" customHeight="1">
      <c r="A212" s="286">
        <v>26</v>
      </c>
      <c r="B212" s="323" t="s">
        <v>214</v>
      </c>
      <c r="C212" s="380">
        <v>80132</v>
      </c>
      <c r="D212" s="332" t="s">
        <v>191</v>
      </c>
      <c r="E212" s="356">
        <v>2010</v>
      </c>
      <c r="F212" s="132" t="s">
        <v>106</v>
      </c>
      <c r="G212" s="133" t="s">
        <v>107</v>
      </c>
      <c r="H212" s="134"/>
      <c r="I212" s="227"/>
      <c r="J212" s="136"/>
      <c r="K212" s="136"/>
      <c r="L212" s="136"/>
      <c r="M212" s="136"/>
      <c r="N212" s="136"/>
      <c r="O212" s="136"/>
      <c r="P212" s="136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376">
        <f>SUM(J219:AM219)</f>
        <v>9778514</v>
      </c>
    </row>
    <row r="213" spans="1:40" ht="12.75">
      <c r="A213" s="287"/>
      <c r="B213" s="319"/>
      <c r="C213" s="381"/>
      <c r="D213" s="333"/>
      <c r="E213" s="354"/>
      <c r="F213" s="281">
        <f>SUM(H218:AM218)</f>
        <v>0</v>
      </c>
      <c r="G213" s="139" t="s">
        <v>108</v>
      </c>
      <c r="H213" s="140">
        <v>361486</v>
      </c>
      <c r="I213" s="189"/>
      <c r="J213" s="142"/>
      <c r="K213" s="142">
        <v>7333800</v>
      </c>
      <c r="L213" s="142">
        <v>2444714</v>
      </c>
      <c r="M213" s="142"/>
      <c r="N213" s="142"/>
      <c r="O213" s="142"/>
      <c r="P213" s="142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377"/>
    </row>
    <row r="214" spans="1:40" ht="12.75">
      <c r="A214" s="287"/>
      <c r="B214" s="319"/>
      <c r="C214" s="381"/>
      <c r="D214" s="333"/>
      <c r="E214" s="354"/>
      <c r="F214" s="379"/>
      <c r="G214" s="139" t="s">
        <v>109</v>
      </c>
      <c r="H214" s="140"/>
      <c r="I214" s="189"/>
      <c r="J214" s="142"/>
      <c r="K214" s="142"/>
      <c r="L214" s="142"/>
      <c r="M214" s="142"/>
      <c r="N214" s="142"/>
      <c r="O214" s="142"/>
      <c r="P214" s="142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377"/>
    </row>
    <row r="215" spans="1:40" ht="12.75">
      <c r="A215" s="287"/>
      <c r="B215" s="319"/>
      <c r="C215" s="381"/>
      <c r="D215" s="333"/>
      <c r="E215" s="266"/>
      <c r="F215" s="145" t="s">
        <v>110</v>
      </c>
      <c r="G215" s="139" t="s">
        <v>111</v>
      </c>
      <c r="H215" s="140"/>
      <c r="I215" s="189"/>
      <c r="J215" s="142"/>
      <c r="K215" s="142"/>
      <c r="L215" s="142"/>
      <c r="M215" s="142"/>
      <c r="N215" s="142"/>
      <c r="O215" s="142"/>
      <c r="P215" s="142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377"/>
    </row>
    <row r="216" spans="1:40" ht="12.75">
      <c r="A216" s="287"/>
      <c r="B216" s="319"/>
      <c r="C216" s="381"/>
      <c r="D216" s="333"/>
      <c r="E216" s="336">
        <v>2014</v>
      </c>
      <c r="F216" s="281">
        <f>SUM(H219:AM219)</f>
        <v>10140000</v>
      </c>
      <c r="G216" s="139" t="s">
        <v>115</v>
      </c>
      <c r="H216" s="140"/>
      <c r="I216" s="189"/>
      <c r="J216" s="142"/>
      <c r="K216" s="142"/>
      <c r="L216" s="142"/>
      <c r="M216" s="142"/>
      <c r="N216" s="142"/>
      <c r="O216" s="142"/>
      <c r="P216" s="142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377"/>
    </row>
    <row r="217" spans="1:40" ht="12.75">
      <c r="A217" s="287"/>
      <c r="B217" s="319"/>
      <c r="C217" s="381"/>
      <c r="D217" s="333"/>
      <c r="E217" s="354"/>
      <c r="F217" s="379"/>
      <c r="G217" s="139" t="s">
        <v>116</v>
      </c>
      <c r="H217" s="140"/>
      <c r="I217" s="189"/>
      <c r="J217" s="142"/>
      <c r="K217" s="142"/>
      <c r="L217" s="142"/>
      <c r="M217" s="142"/>
      <c r="N217" s="142"/>
      <c r="O217" s="142"/>
      <c r="P217" s="142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377"/>
    </row>
    <row r="218" spans="1:40" ht="12.75">
      <c r="A218" s="287"/>
      <c r="B218" s="319"/>
      <c r="C218" s="381"/>
      <c r="D218" s="333"/>
      <c r="E218" s="354"/>
      <c r="F218" s="145" t="s">
        <v>114</v>
      </c>
      <c r="G218" s="139" t="s">
        <v>117</v>
      </c>
      <c r="H218" s="146">
        <f aca="true" t="shared" si="51" ref="H218:AM218">H212+H214+H216</f>
        <v>0</v>
      </c>
      <c r="I218" s="191">
        <f t="shared" si="51"/>
        <v>0</v>
      </c>
      <c r="J218" s="148">
        <f t="shared" si="51"/>
        <v>0</v>
      </c>
      <c r="K218" s="148">
        <f t="shared" si="51"/>
        <v>0</v>
      </c>
      <c r="L218" s="148">
        <f t="shared" si="51"/>
        <v>0</v>
      </c>
      <c r="M218" s="148">
        <f t="shared" si="51"/>
        <v>0</v>
      </c>
      <c r="N218" s="148">
        <f t="shared" si="51"/>
        <v>0</v>
      </c>
      <c r="O218" s="148">
        <f t="shared" si="51"/>
        <v>0</v>
      </c>
      <c r="P218" s="148">
        <f t="shared" si="51"/>
        <v>0</v>
      </c>
      <c r="Q218" s="148">
        <f t="shared" si="51"/>
        <v>0</v>
      </c>
      <c r="R218" s="148">
        <f t="shared" si="51"/>
        <v>0</v>
      </c>
      <c r="S218" s="148">
        <f t="shared" si="51"/>
        <v>0</v>
      </c>
      <c r="T218" s="148">
        <f t="shared" si="51"/>
        <v>0</v>
      </c>
      <c r="U218" s="148">
        <f t="shared" si="51"/>
        <v>0</v>
      </c>
      <c r="V218" s="148">
        <f t="shared" si="51"/>
        <v>0</v>
      </c>
      <c r="W218" s="148">
        <f t="shared" si="51"/>
        <v>0</v>
      </c>
      <c r="X218" s="148">
        <f t="shared" si="51"/>
        <v>0</v>
      </c>
      <c r="Y218" s="148">
        <f t="shared" si="51"/>
        <v>0</v>
      </c>
      <c r="Z218" s="148">
        <f t="shared" si="51"/>
        <v>0</v>
      </c>
      <c r="AA218" s="148">
        <f t="shared" si="51"/>
        <v>0</v>
      </c>
      <c r="AB218" s="148">
        <f t="shared" si="51"/>
        <v>0</v>
      </c>
      <c r="AC218" s="148">
        <f t="shared" si="51"/>
        <v>0</v>
      </c>
      <c r="AD218" s="148">
        <f t="shared" si="51"/>
        <v>0</v>
      </c>
      <c r="AE218" s="148">
        <f t="shared" si="51"/>
        <v>0</v>
      </c>
      <c r="AF218" s="148">
        <f t="shared" si="51"/>
        <v>0</v>
      </c>
      <c r="AG218" s="148">
        <f t="shared" si="51"/>
        <v>0</v>
      </c>
      <c r="AH218" s="148">
        <f t="shared" si="51"/>
        <v>0</v>
      </c>
      <c r="AI218" s="148">
        <f t="shared" si="51"/>
        <v>0</v>
      </c>
      <c r="AJ218" s="148">
        <f t="shared" si="51"/>
        <v>0</v>
      </c>
      <c r="AK218" s="148">
        <f t="shared" si="51"/>
        <v>0</v>
      </c>
      <c r="AL218" s="148">
        <f t="shared" si="51"/>
        <v>0</v>
      </c>
      <c r="AM218" s="148">
        <f t="shared" si="51"/>
        <v>0</v>
      </c>
      <c r="AN218" s="377"/>
    </row>
    <row r="219" spans="1:40" ht="13.5" thickBot="1">
      <c r="A219" s="287"/>
      <c r="B219" s="320"/>
      <c r="C219" s="382"/>
      <c r="D219" s="334"/>
      <c r="E219" s="355"/>
      <c r="F219" s="226">
        <f>F213+F216</f>
        <v>10140000</v>
      </c>
      <c r="G219" s="150" t="s">
        <v>118</v>
      </c>
      <c r="H219" s="151">
        <f aca="true" t="shared" si="52" ref="H219:AM219">H213+H215+H217</f>
        <v>361486</v>
      </c>
      <c r="I219" s="228">
        <f t="shared" si="52"/>
        <v>0</v>
      </c>
      <c r="J219" s="153">
        <f t="shared" si="52"/>
        <v>0</v>
      </c>
      <c r="K219" s="153">
        <f t="shared" si="52"/>
        <v>7333800</v>
      </c>
      <c r="L219" s="153">
        <f t="shared" si="52"/>
        <v>2444714</v>
      </c>
      <c r="M219" s="153">
        <f t="shared" si="52"/>
        <v>0</v>
      </c>
      <c r="N219" s="153">
        <f t="shared" si="52"/>
        <v>0</v>
      </c>
      <c r="O219" s="153">
        <f t="shared" si="52"/>
        <v>0</v>
      </c>
      <c r="P219" s="153">
        <f t="shared" si="52"/>
        <v>0</v>
      </c>
      <c r="Q219" s="153">
        <f t="shared" si="52"/>
        <v>0</v>
      </c>
      <c r="R219" s="153">
        <f t="shared" si="52"/>
        <v>0</v>
      </c>
      <c r="S219" s="153">
        <f t="shared" si="52"/>
        <v>0</v>
      </c>
      <c r="T219" s="153">
        <f t="shared" si="52"/>
        <v>0</v>
      </c>
      <c r="U219" s="153">
        <f t="shared" si="52"/>
        <v>0</v>
      </c>
      <c r="V219" s="153">
        <f t="shared" si="52"/>
        <v>0</v>
      </c>
      <c r="W219" s="153">
        <f t="shared" si="52"/>
        <v>0</v>
      </c>
      <c r="X219" s="153">
        <f t="shared" si="52"/>
        <v>0</v>
      </c>
      <c r="Y219" s="153">
        <f t="shared" si="52"/>
        <v>0</v>
      </c>
      <c r="Z219" s="153">
        <f t="shared" si="52"/>
        <v>0</v>
      </c>
      <c r="AA219" s="153">
        <f t="shared" si="52"/>
        <v>0</v>
      </c>
      <c r="AB219" s="153">
        <f t="shared" si="52"/>
        <v>0</v>
      </c>
      <c r="AC219" s="153">
        <f t="shared" si="52"/>
        <v>0</v>
      </c>
      <c r="AD219" s="153">
        <f t="shared" si="52"/>
        <v>0</v>
      </c>
      <c r="AE219" s="153">
        <f t="shared" si="52"/>
        <v>0</v>
      </c>
      <c r="AF219" s="153">
        <f t="shared" si="52"/>
        <v>0</v>
      </c>
      <c r="AG219" s="153">
        <f t="shared" si="52"/>
        <v>0</v>
      </c>
      <c r="AH219" s="153">
        <f t="shared" si="52"/>
        <v>0</v>
      </c>
      <c r="AI219" s="153">
        <f t="shared" si="52"/>
        <v>0</v>
      </c>
      <c r="AJ219" s="153">
        <f t="shared" si="52"/>
        <v>0</v>
      </c>
      <c r="AK219" s="153">
        <f t="shared" si="52"/>
        <v>0</v>
      </c>
      <c r="AL219" s="153">
        <f t="shared" si="52"/>
        <v>0</v>
      </c>
      <c r="AM219" s="153">
        <f t="shared" si="52"/>
        <v>0</v>
      </c>
      <c r="AN219" s="378"/>
    </row>
    <row r="220" spans="1:40" ht="12.75" customHeight="1">
      <c r="A220" s="286">
        <v>27</v>
      </c>
      <c r="B220" s="319" t="s">
        <v>215</v>
      </c>
      <c r="C220" s="381">
        <v>85111</v>
      </c>
      <c r="D220" s="332" t="s">
        <v>191</v>
      </c>
      <c r="E220" s="354">
        <v>2009</v>
      </c>
      <c r="F220" s="132" t="s">
        <v>106</v>
      </c>
      <c r="G220" s="155" t="s">
        <v>107</v>
      </c>
      <c r="H220" s="134"/>
      <c r="I220" s="187"/>
      <c r="J220" s="158"/>
      <c r="K220" s="158"/>
      <c r="L220" s="158"/>
      <c r="M220" s="158"/>
      <c r="N220" s="158"/>
      <c r="O220" s="158"/>
      <c r="P220" s="158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376">
        <f>SUM(J227:AM227)</f>
        <v>254683</v>
      </c>
    </row>
    <row r="221" spans="1:40" ht="12.75">
      <c r="A221" s="287"/>
      <c r="B221" s="319"/>
      <c r="C221" s="381"/>
      <c r="D221" s="333"/>
      <c r="E221" s="354"/>
      <c r="F221" s="281">
        <f>SUM(H226:AM226)</f>
        <v>0</v>
      </c>
      <c r="G221" s="229" t="s">
        <v>108</v>
      </c>
      <c r="H221" s="230">
        <v>5633</v>
      </c>
      <c r="I221" s="231">
        <v>46436</v>
      </c>
      <c r="J221" s="232">
        <v>95944</v>
      </c>
      <c r="K221" s="232">
        <v>158739</v>
      </c>
      <c r="L221" s="232"/>
      <c r="M221" s="232"/>
      <c r="N221" s="142"/>
      <c r="O221" s="142"/>
      <c r="P221" s="142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377"/>
    </row>
    <row r="222" spans="1:40" ht="12.75">
      <c r="A222" s="287"/>
      <c r="B222" s="319"/>
      <c r="C222" s="381"/>
      <c r="D222" s="333"/>
      <c r="E222" s="354"/>
      <c r="F222" s="379"/>
      <c r="G222" s="139" t="s">
        <v>109</v>
      </c>
      <c r="H222" s="140"/>
      <c r="I222" s="189"/>
      <c r="J222" s="142"/>
      <c r="K222" s="142"/>
      <c r="L222" s="142"/>
      <c r="M222" s="142"/>
      <c r="N222" s="142"/>
      <c r="O222" s="142"/>
      <c r="P222" s="142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377"/>
    </row>
    <row r="223" spans="1:40" ht="12.75">
      <c r="A223" s="287"/>
      <c r="B223" s="319"/>
      <c r="C223" s="381"/>
      <c r="D223" s="333"/>
      <c r="E223" s="266"/>
      <c r="F223" s="145" t="s">
        <v>110</v>
      </c>
      <c r="G223" s="139" t="s">
        <v>111</v>
      </c>
      <c r="H223" s="140"/>
      <c r="I223" s="189"/>
      <c r="J223" s="142"/>
      <c r="K223" s="142"/>
      <c r="L223" s="142"/>
      <c r="M223" s="142"/>
      <c r="N223" s="142"/>
      <c r="O223" s="142"/>
      <c r="P223" s="142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377"/>
    </row>
    <row r="224" spans="1:40" ht="12.75">
      <c r="A224" s="287"/>
      <c r="B224" s="319"/>
      <c r="C224" s="381"/>
      <c r="D224" s="333"/>
      <c r="E224" s="336">
        <v>2013</v>
      </c>
      <c r="F224" s="281">
        <f>SUM(H227:AM227)</f>
        <v>306752</v>
      </c>
      <c r="G224" s="139" t="s">
        <v>115</v>
      </c>
      <c r="H224" s="140"/>
      <c r="I224" s="189"/>
      <c r="J224" s="142"/>
      <c r="K224" s="142"/>
      <c r="L224" s="142"/>
      <c r="M224" s="142"/>
      <c r="N224" s="142"/>
      <c r="O224" s="142"/>
      <c r="P224" s="142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377"/>
    </row>
    <row r="225" spans="1:40" ht="12.75">
      <c r="A225" s="287"/>
      <c r="B225" s="319"/>
      <c r="C225" s="381"/>
      <c r="D225" s="333"/>
      <c r="E225" s="354"/>
      <c r="F225" s="379"/>
      <c r="G225" s="139" t="s">
        <v>116</v>
      </c>
      <c r="H225" s="140"/>
      <c r="I225" s="189"/>
      <c r="J225" s="142"/>
      <c r="K225" s="142"/>
      <c r="L225" s="142"/>
      <c r="M225" s="142"/>
      <c r="N225" s="142"/>
      <c r="O225" s="142"/>
      <c r="P225" s="142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377"/>
    </row>
    <row r="226" spans="1:40" ht="12.75">
      <c r="A226" s="287"/>
      <c r="B226" s="319"/>
      <c r="C226" s="381"/>
      <c r="D226" s="333"/>
      <c r="E226" s="354"/>
      <c r="F226" s="145" t="s">
        <v>114</v>
      </c>
      <c r="G226" s="139" t="s">
        <v>117</v>
      </c>
      <c r="H226" s="146">
        <f aca="true" t="shared" si="53" ref="H226:AM226">H220+H222+H224</f>
        <v>0</v>
      </c>
      <c r="I226" s="191">
        <f t="shared" si="53"/>
        <v>0</v>
      </c>
      <c r="J226" s="148">
        <f t="shared" si="53"/>
        <v>0</v>
      </c>
      <c r="K226" s="148">
        <f t="shared" si="53"/>
        <v>0</v>
      </c>
      <c r="L226" s="148">
        <f t="shared" si="53"/>
        <v>0</v>
      </c>
      <c r="M226" s="148">
        <f t="shared" si="53"/>
        <v>0</v>
      </c>
      <c r="N226" s="148">
        <f t="shared" si="53"/>
        <v>0</v>
      </c>
      <c r="O226" s="148">
        <f t="shared" si="53"/>
        <v>0</v>
      </c>
      <c r="P226" s="148">
        <f t="shared" si="53"/>
        <v>0</v>
      </c>
      <c r="Q226" s="148">
        <f t="shared" si="53"/>
        <v>0</v>
      </c>
      <c r="R226" s="148">
        <f t="shared" si="53"/>
        <v>0</v>
      </c>
      <c r="S226" s="148">
        <f t="shared" si="53"/>
        <v>0</v>
      </c>
      <c r="T226" s="148">
        <f t="shared" si="53"/>
        <v>0</v>
      </c>
      <c r="U226" s="148">
        <f t="shared" si="53"/>
        <v>0</v>
      </c>
      <c r="V226" s="148">
        <f t="shared" si="53"/>
        <v>0</v>
      </c>
      <c r="W226" s="148">
        <f t="shared" si="53"/>
        <v>0</v>
      </c>
      <c r="X226" s="148">
        <f t="shared" si="53"/>
        <v>0</v>
      </c>
      <c r="Y226" s="148">
        <f t="shared" si="53"/>
        <v>0</v>
      </c>
      <c r="Z226" s="148">
        <f t="shared" si="53"/>
        <v>0</v>
      </c>
      <c r="AA226" s="148">
        <f t="shared" si="53"/>
        <v>0</v>
      </c>
      <c r="AB226" s="148">
        <f t="shared" si="53"/>
        <v>0</v>
      </c>
      <c r="AC226" s="148">
        <f t="shared" si="53"/>
        <v>0</v>
      </c>
      <c r="AD226" s="148">
        <f t="shared" si="53"/>
        <v>0</v>
      </c>
      <c r="AE226" s="148">
        <f t="shared" si="53"/>
        <v>0</v>
      </c>
      <c r="AF226" s="148">
        <f t="shared" si="53"/>
        <v>0</v>
      </c>
      <c r="AG226" s="148">
        <f t="shared" si="53"/>
        <v>0</v>
      </c>
      <c r="AH226" s="148">
        <f t="shared" si="53"/>
        <v>0</v>
      </c>
      <c r="AI226" s="148">
        <f t="shared" si="53"/>
        <v>0</v>
      </c>
      <c r="AJ226" s="148">
        <f t="shared" si="53"/>
        <v>0</v>
      </c>
      <c r="AK226" s="148">
        <f t="shared" si="53"/>
        <v>0</v>
      </c>
      <c r="AL226" s="148">
        <f t="shared" si="53"/>
        <v>0</v>
      </c>
      <c r="AM226" s="148">
        <f t="shared" si="53"/>
        <v>0</v>
      </c>
      <c r="AN226" s="377"/>
    </row>
    <row r="227" spans="1:40" ht="13.5" thickBot="1">
      <c r="A227" s="287"/>
      <c r="B227" s="319"/>
      <c r="C227" s="381"/>
      <c r="D227" s="333"/>
      <c r="E227" s="354"/>
      <c r="F227" s="226">
        <f>F221+F224</f>
        <v>306752</v>
      </c>
      <c r="G227" s="164" t="s">
        <v>118</v>
      </c>
      <c r="H227" s="151">
        <f aca="true" t="shared" si="54" ref="H227:AM227">H221+H223+H225</f>
        <v>5633</v>
      </c>
      <c r="I227" s="193">
        <f t="shared" si="54"/>
        <v>46436</v>
      </c>
      <c r="J227" s="166">
        <f t="shared" si="54"/>
        <v>95944</v>
      </c>
      <c r="K227" s="166">
        <f t="shared" si="54"/>
        <v>158739</v>
      </c>
      <c r="L227" s="166">
        <f t="shared" si="54"/>
        <v>0</v>
      </c>
      <c r="M227" s="166">
        <f t="shared" si="54"/>
        <v>0</v>
      </c>
      <c r="N227" s="166">
        <f t="shared" si="54"/>
        <v>0</v>
      </c>
      <c r="O227" s="166">
        <f t="shared" si="54"/>
        <v>0</v>
      </c>
      <c r="P227" s="166">
        <f t="shared" si="54"/>
        <v>0</v>
      </c>
      <c r="Q227" s="166">
        <f t="shared" si="54"/>
        <v>0</v>
      </c>
      <c r="R227" s="166">
        <f t="shared" si="54"/>
        <v>0</v>
      </c>
      <c r="S227" s="166">
        <f t="shared" si="54"/>
        <v>0</v>
      </c>
      <c r="T227" s="166">
        <f t="shared" si="54"/>
        <v>0</v>
      </c>
      <c r="U227" s="166">
        <f t="shared" si="54"/>
        <v>0</v>
      </c>
      <c r="V227" s="166">
        <f t="shared" si="54"/>
        <v>0</v>
      </c>
      <c r="W227" s="166">
        <f t="shared" si="54"/>
        <v>0</v>
      </c>
      <c r="X227" s="166">
        <f t="shared" si="54"/>
        <v>0</v>
      </c>
      <c r="Y227" s="166">
        <f t="shared" si="54"/>
        <v>0</v>
      </c>
      <c r="Z227" s="166">
        <f t="shared" si="54"/>
        <v>0</v>
      </c>
      <c r="AA227" s="166">
        <f t="shared" si="54"/>
        <v>0</v>
      </c>
      <c r="AB227" s="166">
        <f t="shared" si="54"/>
        <v>0</v>
      </c>
      <c r="AC227" s="166">
        <f t="shared" si="54"/>
        <v>0</v>
      </c>
      <c r="AD227" s="166">
        <f t="shared" si="54"/>
        <v>0</v>
      </c>
      <c r="AE227" s="166">
        <f t="shared" si="54"/>
        <v>0</v>
      </c>
      <c r="AF227" s="166">
        <f t="shared" si="54"/>
        <v>0</v>
      </c>
      <c r="AG227" s="166">
        <f t="shared" si="54"/>
        <v>0</v>
      </c>
      <c r="AH227" s="166">
        <f t="shared" si="54"/>
        <v>0</v>
      </c>
      <c r="AI227" s="166">
        <f t="shared" si="54"/>
        <v>0</v>
      </c>
      <c r="AJ227" s="166">
        <f t="shared" si="54"/>
        <v>0</v>
      </c>
      <c r="AK227" s="166">
        <f t="shared" si="54"/>
        <v>0</v>
      </c>
      <c r="AL227" s="166">
        <f t="shared" si="54"/>
        <v>0</v>
      </c>
      <c r="AM227" s="166">
        <f t="shared" si="54"/>
        <v>0</v>
      </c>
      <c r="AN227" s="378"/>
    </row>
    <row r="228" spans="1:40" ht="12.75" customHeight="1">
      <c r="A228" s="286">
        <v>28</v>
      </c>
      <c r="B228" s="323" t="s">
        <v>216</v>
      </c>
      <c r="C228" s="380">
        <v>85406</v>
      </c>
      <c r="D228" s="332" t="s">
        <v>191</v>
      </c>
      <c r="E228" s="392">
        <v>2009</v>
      </c>
      <c r="F228" s="132" t="s">
        <v>106</v>
      </c>
      <c r="G228" s="133" t="s">
        <v>107</v>
      </c>
      <c r="H228" s="134"/>
      <c r="I228" s="227"/>
      <c r="J228" s="136"/>
      <c r="K228" s="136"/>
      <c r="L228" s="136"/>
      <c r="M228" s="136"/>
      <c r="N228" s="136"/>
      <c r="O228" s="136"/>
      <c r="P228" s="136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376">
        <f>SUM(J235:AM235)</f>
        <v>1000000</v>
      </c>
    </row>
    <row r="229" spans="1:40" ht="12.75">
      <c r="A229" s="287"/>
      <c r="B229" s="319"/>
      <c r="C229" s="381"/>
      <c r="D229" s="333"/>
      <c r="E229" s="393"/>
      <c r="F229" s="281">
        <f>SUM(H234:AM234)</f>
        <v>0</v>
      </c>
      <c r="G229" s="139" t="s">
        <v>108</v>
      </c>
      <c r="H229" s="140">
        <v>58205</v>
      </c>
      <c r="I229" s="189">
        <v>500000</v>
      </c>
      <c r="J229" s="142">
        <v>1000000</v>
      </c>
      <c r="K229" s="142"/>
      <c r="L229" s="142"/>
      <c r="M229" s="142"/>
      <c r="N229" s="142"/>
      <c r="O229" s="142"/>
      <c r="P229" s="142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377"/>
    </row>
    <row r="230" spans="1:40" ht="12.75">
      <c r="A230" s="287"/>
      <c r="B230" s="319"/>
      <c r="C230" s="381"/>
      <c r="D230" s="333"/>
      <c r="E230" s="393"/>
      <c r="F230" s="379"/>
      <c r="G230" s="139" t="s">
        <v>109</v>
      </c>
      <c r="H230" s="140"/>
      <c r="I230" s="189"/>
      <c r="J230" s="142"/>
      <c r="K230" s="142"/>
      <c r="L230" s="142"/>
      <c r="M230" s="142"/>
      <c r="N230" s="142"/>
      <c r="O230" s="142"/>
      <c r="P230" s="142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377"/>
    </row>
    <row r="231" spans="1:40" ht="12.75">
      <c r="A231" s="287"/>
      <c r="B231" s="319"/>
      <c r="C231" s="381"/>
      <c r="D231" s="333"/>
      <c r="E231" s="394"/>
      <c r="F231" s="145" t="s">
        <v>110</v>
      </c>
      <c r="G231" s="139" t="s">
        <v>111</v>
      </c>
      <c r="H231" s="140"/>
      <c r="I231" s="189"/>
      <c r="J231" s="142"/>
      <c r="K231" s="142"/>
      <c r="L231" s="142"/>
      <c r="M231" s="142"/>
      <c r="N231" s="142"/>
      <c r="O231" s="142"/>
      <c r="P231" s="142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377"/>
    </row>
    <row r="232" spans="1:40" ht="12.75">
      <c r="A232" s="287"/>
      <c r="B232" s="319"/>
      <c r="C232" s="381"/>
      <c r="D232" s="333"/>
      <c r="E232" s="395">
        <v>2012</v>
      </c>
      <c r="F232" s="281">
        <f>SUM(H235:AM235)</f>
        <v>1558205</v>
      </c>
      <c r="G232" s="139" t="s">
        <v>115</v>
      </c>
      <c r="H232" s="140"/>
      <c r="I232" s="189"/>
      <c r="J232" s="142"/>
      <c r="K232" s="142"/>
      <c r="L232" s="142"/>
      <c r="M232" s="142"/>
      <c r="N232" s="142"/>
      <c r="O232" s="142"/>
      <c r="P232" s="142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377"/>
    </row>
    <row r="233" spans="1:40" ht="12.75">
      <c r="A233" s="287"/>
      <c r="B233" s="319"/>
      <c r="C233" s="381"/>
      <c r="D233" s="333"/>
      <c r="E233" s="393"/>
      <c r="F233" s="379"/>
      <c r="G233" s="139" t="s">
        <v>116</v>
      </c>
      <c r="H233" s="140"/>
      <c r="I233" s="189"/>
      <c r="J233" s="142"/>
      <c r="K233" s="142"/>
      <c r="L233" s="142"/>
      <c r="M233" s="142"/>
      <c r="N233" s="142"/>
      <c r="O233" s="142"/>
      <c r="P233" s="142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377"/>
    </row>
    <row r="234" spans="1:40" ht="12.75">
      <c r="A234" s="287"/>
      <c r="B234" s="319"/>
      <c r="C234" s="381"/>
      <c r="D234" s="333"/>
      <c r="E234" s="393"/>
      <c r="F234" s="145" t="s">
        <v>114</v>
      </c>
      <c r="G234" s="139" t="s">
        <v>117</v>
      </c>
      <c r="H234" s="146">
        <f aca="true" t="shared" si="55" ref="H234:AM234">H228+H230+H232</f>
        <v>0</v>
      </c>
      <c r="I234" s="191">
        <f t="shared" si="55"/>
        <v>0</v>
      </c>
      <c r="J234" s="148">
        <f t="shared" si="55"/>
        <v>0</v>
      </c>
      <c r="K234" s="148">
        <f t="shared" si="55"/>
        <v>0</v>
      </c>
      <c r="L234" s="148">
        <f t="shared" si="55"/>
        <v>0</v>
      </c>
      <c r="M234" s="148">
        <f t="shared" si="55"/>
        <v>0</v>
      </c>
      <c r="N234" s="148">
        <f t="shared" si="55"/>
        <v>0</v>
      </c>
      <c r="O234" s="148">
        <f t="shared" si="55"/>
        <v>0</v>
      </c>
      <c r="P234" s="148">
        <f t="shared" si="55"/>
        <v>0</v>
      </c>
      <c r="Q234" s="148">
        <f t="shared" si="55"/>
        <v>0</v>
      </c>
      <c r="R234" s="148">
        <f t="shared" si="55"/>
        <v>0</v>
      </c>
      <c r="S234" s="148">
        <f t="shared" si="55"/>
        <v>0</v>
      </c>
      <c r="T234" s="148">
        <f t="shared" si="55"/>
        <v>0</v>
      </c>
      <c r="U234" s="148">
        <f t="shared" si="55"/>
        <v>0</v>
      </c>
      <c r="V234" s="148">
        <f t="shared" si="55"/>
        <v>0</v>
      </c>
      <c r="W234" s="148">
        <f t="shared" si="55"/>
        <v>0</v>
      </c>
      <c r="X234" s="148">
        <f t="shared" si="55"/>
        <v>0</v>
      </c>
      <c r="Y234" s="148">
        <f t="shared" si="55"/>
        <v>0</v>
      </c>
      <c r="Z234" s="148">
        <f t="shared" si="55"/>
        <v>0</v>
      </c>
      <c r="AA234" s="148">
        <f t="shared" si="55"/>
        <v>0</v>
      </c>
      <c r="AB234" s="148">
        <f t="shared" si="55"/>
        <v>0</v>
      </c>
      <c r="AC234" s="148">
        <f t="shared" si="55"/>
        <v>0</v>
      </c>
      <c r="AD234" s="148">
        <f t="shared" si="55"/>
        <v>0</v>
      </c>
      <c r="AE234" s="148">
        <f t="shared" si="55"/>
        <v>0</v>
      </c>
      <c r="AF234" s="148">
        <f t="shared" si="55"/>
        <v>0</v>
      </c>
      <c r="AG234" s="148">
        <f t="shared" si="55"/>
        <v>0</v>
      </c>
      <c r="AH234" s="148">
        <f t="shared" si="55"/>
        <v>0</v>
      </c>
      <c r="AI234" s="148">
        <f t="shared" si="55"/>
        <v>0</v>
      </c>
      <c r="AJ234" s="148">
        <f t="shared" si="55"/>
        <v>0</v>
      </c>
      <c r="AK234" s="148">
        <f t="shared" si="55"/>
        <v>0</v>
      </c>
      <c r="AL234" s="148">
        <f t="shared" si="55"/>
        <v>0</v>
      </c>
      <c r="AM234" s="148">
        <f t="shared" si="55"/>
        <v>0</v>
      </c>
      <c r="AN234" s="377"/>
    </row>
    <row r="235" spans="1:40" ht="13.5" thickBot="1">
      <c r="A235" s="287"/>
      <c r="B235" s="320"/>
      <c r="C235" s="382"/>
      <c r="D235" s="333"/>
      <c r="E235" s="396"/>
      <c r="F235" s="226">
        <f>F229+F232</f>
        <v>1558205</v>
      </c>
      <c r="G235" s="150" t="s">
        <v>118</v>
      </c>
      <c r="H235" s="151">
        <f aca="true" t="shared" si="56" ref="H235:AM235">H229+H231+H233</f>
        <v>58205</v>
      </c>
      <c r="I235" s="228">
        <f t="shared" si="56"/>
        <v>500000</v>
      </c>
      <c r="J235" s="153">
        <f t="shared" si="56"/>
        <v>1000000</v>
      </c>
      <c r="K235" s="153">
        <f t="shared" si="56"/>
        <v>0</v>
      </c>
      <c r="L235" s="153">
        <f t="shared" si="56"/>
        <v>0</v>
      </c>
      <c r="M235" s="153">
        <f t="shared" si="56"/>
        <v>0</v>
      </c>
      <c r="N235" s="153">
        <f t="shared" si="56"/>
        <v>0</v>
      </c>
      <c r="O235" s="153">
        <f t="shared" si="56"/>
        <v>0</v>
      </c>
      <c r="P235" s="153">
        <f t="shared" si="56"/>
        <v>0</v>
      </c>
      <c r="Q235" s="153">
        <f t="shared" si="56"/>
        <v>0</v>
      </c>
      <c r="R235" s="153">
        <f t="shared" si="56"/>
        <v>0</v>
      </c>
      <c r="S235" s="153">
        <f t="shared" si="56"/>
        <v>0</v>
      </c>
      <c r="T235" s="153">
        <f t="shared" si="56"/>
        <v>0</v>
      </c>
      <c r="U235" s="153">
        <f t="shared" si="56"/>
        <v>0</v>
      </c>
      <c r="V235" s="153">
        <f t="shared" si="56"/>
        <v>0</v>
      </c>
      <c r="W235" s="153">
        <f t="shared" si="56"/>
        <v>0</v>
      </c>
      <c r="X235" s="153">
        <f t="shared" si="56"/>
        <v>0</v>
      </c>
      <c r="Y235" s="153">
        <f t="shared" si="56"/>
        <v>0</v>
      </c>
      <c r="Z235" s="153">
        <f t="shared" si="56"/>
        <v>0</v>
      </c>
      <c r="AA235" s="153">
        <f t="shared" si="56"/>
        <v>0</v>
      </c>
      <c r="AB235" s="153">
        <f t="shared" si="56"/>
        <v>0</v>
      </c>
      <c r="AC235" s="153">
        <f t="shared" si="56"/>
        <v>0</v>
      </c>
      <c r="AD235" s="153">
        <f t="shared" si="56"/>
        <v>0</v>
      </c>
      <c r="AE235" s="153">
        <f t="shared" si="56"/>
        <v>0</v>
      </c>
      <c r="AF235" s="153">
        <f t="shared" si="56"/>
        <v>0</v>
      </c>
      <c r="AG235" s="153">
        <f t="shared" si="56"/>
        <v>0</v>
      </c>
      <c r="AH235" s="153">
        <f t="shared" si="56"/>
        <v>0</v>
      </c>
      <c r="AI235" s="153">
        <f t="shared" si="56"/>
        <v>0</v>
      </c>
      <c r="AJ235" s="153">
        <f t="shared" si="56"/>
        <v>0</v>
      </c>
      <c r="AK235" s="153">
        <f t="shared" si="56"/>
        <v>0</v>
      </c>
      <c r="AL235" s="153">
        <f t="shared" si="56"/>
        <v>0</v>
      </c>
      <c r="AM235" s="153">
        <f t="shared" si="56"/>
        <v>0</v>
      </c>
      <c r="AN235" s="378"/>
    </row>
    <row r="236" spans="1:40" ht="12.75" customHeight="1" hidden="1">
      <c r="A236" s="286">
        <v>29</v>
      </c>
      <c r="B236" s="323" t="s">
        <v>205</v>
      </c>
      <c r="C236" s="380">
        <v>85406</v>
      </c>
      <c r="D236" s="332" t="s">
        <v>191</v>
      </c>
      <c r="E236" s="356"/>
      <c r="F236" s="132" t="s">
        <v>106</v>
      </c>
      <c r="G236" s="133" t="s">
        <v>107</v>
      </c>
      <c r="H236" s="134"/>
      <c r="I236" s="227"/>
      <c r="J236" s="136"/>
      <c r="K236" s="136"/>
      <c r="L236" s="136"/>
      <c r="M236" s="136"/>
      <c r="N236" s="136"/>
      <c r="O236" s="136"/>
      <c r="P236" s="136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376">
        <f>SUM(J243:AM243)</f>
        <v>0</v>
      </c>
    </row>
    <row r="237" spans="1:40" ht="12.75" customHeight="1" hidden="1">
      <c r="A237" s="287"/>
      <c r="B237" s="319"/>
      <c r="C237" s="381"/>
      <c r="D237" s="333"/>
      <c r="E237" s="354"/>
      <c r="F237" s="281">
        <f>SUM(H242:AM242)</f>
        <v>0</v>
      </c>
      <c r="G237" s="139" t="s">
        <v>108</v>
      </c>
      <c r="H237" s="140"/>
      <c r="I237" s="189"/>
      <c r="J237" s="142"/>
      <c r="K237" s="142"/>
      <c r="L237" s="142"/>
      <c r="M237" s="142"/>
      <c r="N237" s="142"/>
      <c r="O237" s="142"/>
      <c r="P237" s="142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377"/>
    </row>
    <row r="238" spans="1:40" ht="12.75" customHeight="1" hidden="1">
      <c r="A238" s="287"/>
      <c r="B238" s="319"/>
      <c r="C238" s="381"/>
      <c r="D238" s="333"/>
      <c r="E238" s="354"/>
      <c r="F238" s="379"/>
      <c r="G238" s="139" t="s">
        <v>109</v>
      </c>
      <c r="H238" s="140"/>
      <c r="I238" s="189"/>
      <c r="J238" s="142"/>
      <c r="K238" s="142"/>
      <c r="L238" s="142"/>
      <c r="M238" s="142"/>
      <c r="N238" s="142"/>
      <c r="O238" s="142"/>
      <c r="P238" s="142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377"/>
    </row>
    <row r="239" spans="1:40" ht="12.75" customHeight="1" hidden="1">
      <c r="A239" s="287"/>
      <c r="B239" s="319"/>
      <c r="C239" s="381"/>
      <c r="D239" s="333"/>
      <c r="E239" s="266"/>
      <c r="F239" s="145" t="s">
        <v>110</v>
      </c>
      <c r="G239" s="139" t="s">
        <v>111</v>
      </c>
      <c r="H239" s="140"/>
      <c r="I239" s="189"/>
      <c r="J239" s="142"/>
      <c r="K239" s="142"/>
      <c r="L239" s="142"/>
      <c r="M239" s="142"/>
      <c r="N239" s="142"/>
      <c r="O239" s="142"/>
      <c r="P239" s="142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377"/>
    </row>
    <row r="240" spans="1:40" ht="12.75" customHeight="1" hidden="1">
      <c r="A240" s="287"/>
      <c r="B240" s="319"/>
      <c r="C240" s="381"/>
      <c r="D240" s="333"/>
      <c r="E240" s="336"/>
      <c r="F240" s="281">
        <f>SUM(H243:AM243)</f>
        <v>0</v>
      </c>
      <c r="G240" s="139" t="s">
        <v>115</v>
      </c>
      <c r="H240" s="140"/>
      <c r="I240" s="189"/>
      <c r="J240" s="142"/>
      <c r="K240" s="142"/>
      <c r="L240" s="142"/>
      <c r="M240" s="142"/>
      <c r="N240" s="142"/>
      <c r="O240" s="142"/>
      <c r="P240" s="142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377"/>
    </row>
    <row r="241" spans="1:40" ht="12.75" customHeight="1" hidden="1">
      <c r="A241" s="287"/>
      <c r="B241" s="319"/>
      <c r="C241" s="381"/>
      <c r="D241" s="333"/>
      <c r="E241" s="354"/>
      <c r="F241" s="379"/>
      <c r="G241" s="139" t="s">
        <v>116</v>
      </c>
      <c r="H241" s="140"/>
      <c r="I241" s="189"/>
      <c r="J241" s="142"/>
      <c r="K241" s="142"/>
      <c r="L241" s="142"/>
      <c r="M241" s="142"/>
      <c r="N241" s="142"/>
      <c r="O241" s="142"/>
      <c r="P241" s="142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377"/>
    </row>
    <row r="242" spans="1:40" ht="12.75" customHeight="1" hidden="1">
      <c r="A242" s="287"/>
      <c r="B242" s="319"/>
      <c r="C242" s="381"/>
      <c r="D242" s="333"/>
      <c r="E242" s="354"/>
      <c r="F242" s="145" t="s">
        <v>114</v>
      </c>
      <c r="G242" s="139" t="s">
        <v>117</v>
      </c>
      <c r="H242" s="146">
        <f aca="true" t="shared" si="57" ref="H242:AM242">H236+H238+H240</f>
        <v>0</v>
      </c>
      <c r="I242" s="191">
        <f t="shared" si="57"/>
        <v>0</v>
      </c>
      <c r="J242" s="148">
        <f t="shared" si="57"/>
        <v>0</v>
      </c>
      <c r="K242" s="148">
        <f t="shared" si="57"/>
        <v>0</v>
      </c>
      <c r="L242" s="148">
        <f t="shared" si="57"/>
        <v>0</v>
      </c>
      <c r="M242" s="148">
        <f t="shared" si="57"/>
        <v>0</v>
      </c>
      <c r="N242" s="148">
        <f t="shared" si="57"/>
        <v>0</v>
      </c>
      <c r="O242" s="148">
        <f t="shared" si="57"/>
        <v>0</v>
      </c>
      <c r="P242" s="148">
        <f t="shared" si="57"/>
        <v>0</v>
      </c>
      <c r="Q242" s="148">
        <f t="shared" si="57"/>
        <v>0</v>
      </c>
      <c r="R242" s="148">
        <f t="shared" si="57"/>
        <v>0</v>
      </c>
      <c r="S242" s="148">
        <f t="shared" si="57"/>
        <v>0</v>
      </c>
      <c r="T242" s="148">
        <f t="shared" si="57"/>
        <v>0</v>
      </c>
      <c r="U242" s="148">
        <f t="shared" si="57"/>
        <v>0</v>
      </c>
      <c r="V242" s="148">
        <f t="shared" si="57"/>
        <v>0</v>
      </c>
      <c r="W242" s="148">
        <f t="shared" si="57"/>
        <v>0</v>
      </c>
      <c r="X242" s="148">
        <f t="shared" si="57"/>
        <v>0</v>
      </c>
      <c r="Y242" s="148">
        <f t="shared" si="57"/>
        <v>0</v>
      </c>
      <c r="Z242" s="148">
        <f t="shared" si="57"/>
        <v>0</v>
      </c>
      <c r="AA242" s="148">
        <f t="shared" si="57"/>
        <v>0</v>
      </c>
      <c r="AB242" s="148">
        <f t="shared" si="57"/>
        <v>0</v>
      </c>
      <c r="AC242" s="148">
        <f t="shared" si="57"/>
        <v>0</v>
      </c>
      <c r="AD242" s="148">
        <f t="shared" si="57"/>
        <v>0</v>
      </c>
      <c r="AE242" s="148">
        <f t="shared" si="57"/>
        <v>0</v>
      </c>
      <c r="AF242" s="148">
        <f t="shared" si="57"/>
        <v>0</v>
      </c>
      <c r="AG242" s="148">
        <f t="shared" si="57"/>
        <v>0</v>
      </c>
      <c r="AH242" s="148">
        <f t="shared" si="57"/>
        <v>0</v>
      </c>
      <c r="AI242" s="148">
        <f t="shared" si="57"/>
        <v>0</v>
      </c>
      <c r="AJ242" s="148">
        <f t="shared" si="57"/>
        <v>0</v>
      </c>
      <c r="AK242" s="148">
        <f t="shared" si="57"/>
        <v>0</v>
      </c>
      <c r="AL242" s="148">
        <f t="shared" si="57"/>
        <v>0</v>
      </c>
      <c r="AM242" s="148">
        <f t="shared" si="57"/>
        <v>0</v>
      </c>
      <c r="AN242" s="377"/>
    </row>
    <row r="243" spans="1:40" ht="13.5" customHeight="1" hidden="1" thickBot="1">
      <c r="A243" s="287"/>
      <c r="B243" s="320"/>
      <c r="C243" s="382"/>
      <c r="D243" s="334"/>
      <c r="E243" s="355"/>
      <c r="F243" s="226">
        <f>F237+F240</f>
        <v>0</v>
      </c>
      <c r="G243" s="150" t="s">
        <v>118</v>
      </c>
      <c r="H243" s="151">
        <f aca="true" t="shared" si="58" ref="H243:AM243">H237+H239+H241</f>
        <v>0</v>
      </c>
      <c r="I243" s="228">
        <f t="shared" si="58"/>
        <v>0</v>
      </c>
      <c r="J243" s="153">
        <f t="shared" si="58"/>
        <v>0</v>
      </c>
      <c r="K243" s="153">
        <f t="shared" si="58"/>
        <v>0</v>
      </c>
      <c r="L243" s="153">
        <f t="shared" si="58"/>
        <v>0</v>
      </c>
      <c r="M243" s="153">
        <f t="shared" si="58"/>
        <v>0</v>
      </c>
      <c r="N243" s="153">
        <f t="shared" si="58"/>
        <v>0</v>
      </c>
      <c r="O243" s="153">
        <f t="shared" si="58"/>
        <v>0</v>
      </c>
      <c r="P243" s="153">
        <f t="shared" si="58"/>
        <v>0</v>
      </c>
      <c r="Q243" s="153">
        <f t="shared" si="58"/>
        <v>0</v>
      </c>
      <c r="R243" s="153">
        <f t="shared" si="58"/>
        <v>0</v>
      </c>
      <c r="S243" s="153">
        <f t="shared" si="58"/>
        <v>0</v>
      </c>
      <c r="T243" s="153">
        <f t="shared" si="58"/>
        <v>0</v>
      </c>
      <c r="U243" s="153">
        <f t="shared" si="58"/>
        <v>0</v>
      </c>
      <c r="V243" s="153">
        <f t="shared" si="58"/>
        <v>0</v>
      </c>
      <c r="W243" s="153">
        <f t="shared" si="58"/>
        <v>0</v>
      </c>
      <c r="X243" s="153">
        <f t="shared" si="58"/>
        <v>0</v>
      </c>
      <c r="Y243" s="153">
        <f t="shared" si="58"/>
        <v>0</v>
      </c>
      <c r="Z243" s="153">
        <f t="shared" si="58"/>
        <v>0</v>
      </c>
      <c r="AA243" s="153">
        <f t="shared" si="58"/>
        <v>0</v>
      </c>
      <c r="AB243" s="153">
        <f t="shared" si="58"/>
        <v>0</v>
      </c>
      <c r="AC243" s="153">
        <f t="shared" si="58"/>
        <v>0</v>
      </c>
      <c r="AD243" s="153">
        <f t="shared" si="58"/>
        <v>0</v>
      </c>
      <c r="AE243" s="153">
        <f t="shared" si="58"/>
        <v>0</v>
      </c>
      <c r="AF243" s="153">
        <f t="shared" si="58"/>
        <v>0</v>
      </c>
      <c r="AG243" s="153">
        <f t="shared" si="58"/>
        <v>0</v>
      </c>
      <c r="AH243" s="153">
        <f t="shared" si="58"/>
        <v>0</v>
      </c>
      <c r="AI243" s="153">
        <f t="shared" si="58"/>
        <v>0</v>
      </c>
      <c r="AJ243" s="153">
        <f t="shared" si="58"/>
        <v>0</v>
      </c>
      <c r="AK243" s="153">
        <f t="shared" si="58"/>
        <v>0</v>
      </c>
      <c r="AL243" s="153">
        <f t="shared" si="58"/>
        <v>0</v>
      </c>
      <c r="AM243" s="153">
        <f t="shared" si="58"/>
        <v>0</v>
      </c>
      <c r="AN243" s="378"/>
    </row>
    <row r="244" spans="1:40" ht="12.75" customHeight="1">
      <c r="A244" s="286">
        <v>29</v>
      </c>
      <c r="B244" s="323" t="s">
        <v>217</v>
      </c>
      <c r="C244" s="380">
        <v>90001</v>
      </c>
      <c r="D244" s="332" t="s">
        <v>191</v>
      </c>
      <c r="E244" s="356">
        <v>2011</v>
      </c>
      <c r="F244" s="132" t="s">
        <v>106</v>
      </c>
      <c r="G244" s="133" t="s">
        <v>107</v>
      </c>
      <c r="H244" s="134"/>
      <c r="I244" s="227"/>
      <c r="J244" s="136"/>
      <c r="K244" s="136"/>
      <c r="L244" s="136"/>
      <c r="M244" s="136"/>
      <c r="N244" s="136"/>
      <c r="O244" s="136"/>
      <c r="P244" s="136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376">
        <f>SUM(J251:AM251)</f>
        <v>9000000</v>
      </c>
    </row>
    <row r="245" spans="1:40" ht="12.75">
      <c r="A245" s="287"/>
      <c r="B245" s="319"/>
      <c r="C245" s="381"/>
      <c r="D245" s="333"/>
      <c r="E245" s="354"/>
      <c r="F245" s="281">
        <f>SUM(H250:AM250)</f>
        <v>0</v>
      </c>
      <c r="G245" s="139" t="s">
        <v>108</v>
      </c>
      <c r="H245" s="140"/>
      <c r="I245" s="231">
        <f>5000000+1000000-700000+100000-320000</f>
        <v>5080000</v>
      </c>
      <c r="J245" s="232">
        <f>3000000+1000000</f>
        <v>4000000</v>
      </c>
      <c r="K245" s="232">
        <f>3000000+2000000</f>
        <v>5000000</v>
      </c>
      <c r="L245" s="142"/>
      <c r="M245" s="142"/>
      <c r="N245" s="142"/>
      <c r="O245" s="142"/>
      <c r="P245" s="142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377"/>
    </row>
    <row r="246" spans="1:40" ht="12.75">
      <c r="A246" s="287"/>
      <c r="B246" s="319"/>
      <c r="C246" s="381"/>
      <c r="D246" s="333"/>
      <c r="E246" s="354"/>
      <c r="F246" s="379"/>
      <c r="G246" s="139" t="s">
        <v>109</v>
      </c>
      <c r="H246" s="140"/>
      <c r="I246" s="231"/>
      <c r="J246" s="232"/>
      <c r="K246" s="232"/>
      <c r="L246" s="142"/>
      <c r="M246" s="142"/>
      <c r="N246" s="142"/>
      <c r="O246" s="142"/>
      <c r="P246" s="142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377"/>
    </row>
    <row r="247" spans="1:40" ht="12.75">
      <c r="A247" s="287"/>
      <c r="B247" s="319"/>
      <c r="C247" s="381"/>
      <c r="D247" s="333"/>
      <c r="E247" s="266"/>
      <c r="F247" s="145" t="s">
        <v>110</v>
      </c>
      <c r="G247" s="139" t="s">
        <v>111</v>
      </c>
      <c r="H247" s="140"/>
      <c r="I247" s="189"/>
      <c r="J247" s="142"/>
      <c r="K247" s="142"/>
      <c r="L247" s="142"/>
      <c r="M247" s="142"/>
      <c r="N247" s="142"/>
      <c r="O247" s="142"/>
      <c r="P247" s="142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377"/>
    </row>
    <row r="248" spans="1:40" ht="12.75">
      <c r="A248" s="287"/>
      <c r="B248" s="319"/>
      <c r="C248" s="381"/>
      <c r="D248" s="333"/>
      <c r="E248" s="336">
        <v>2013</v>
      </c>
      <c r="F248" s="281">
        <f>SUM(H251:AM251)</f>
        <v>14080000</v>
      </c>
      <c r="G248" s="139" t="s">
        <v>115</v>
      </c>
      <c r="H248" s="140"/>
      <c r="I248" s="189"/>
      <c r="J248" s="142"/>
      <c r="K248" s="142"/>
      <c r="L248" s="142"/>
      <c r="M248" s="142"/>
      <c r="N248" s="142"/>
      <c r="O248" s="142"/>
      <c r="P248" s="142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377"/>
    </row>
    <row r="249" spans="1:40" ht="12.75">
      <c r="A249" s="287"/>
      <c r="B249" s="319"/>
      <c r="C249" s="381"/>
      <c r="D249" s="333"/>
      <c r="E249" s="354"/>
      <c r="F249" s="379"/>
      <c r="G249" s="139" t="s">
        <v>116</v>
      </c>
      <c r="H249" s="140"/>
      <c r="I249" s="189"/>
      <c r="J249" s="142"/>
      <c r="K249" s="142"/>
      <c r="L249" s="142"/>
      <c r="M249" s="142"/>
      <c r="N249" s="142"/>
      <c r="O249" s="142"/>
      <c r="P249" s="142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377"/>
    </row>
    <row r="250" spans="1:40" ht="12.75">
      <c r="A250" s="287"/>
      <c r="B250" s="319"/>
      <c r="C250" s="381"/>
      <c r="D250" s="333"/>
      <c r="E250" s="354"/>
      <c r="F250" s="145" t="s">
        <v>114</v>
      </c>
      <c r="G250" s="139" t="s">
        <v>117</v>
      </c>
      <c r="H250" s="146">
        <f aca="true" t="shared" si="59" ref="H250:AM250">H244+H246+H248</f>
        <v>0</v>
      </c>
      <c r="I250" s="191">
        <f t="shared" si="59"/>
        <v>0</v>
      </c>
      <c r="J250" s="148">
        <f t="shared" si="59"/>
        <v>0</v>
      </c>
      <c r="K250" s="148">
        <f t="shared" si="59"/>
        <v>0</v>
      </c>
      <c r="L250" s="148">
        <f t="shared" si="59"/>
        <v>0</v>
      </c>
      <c r="M250" s="148">
        <f t="shared" si="59"/>
        <v>0</v>
      </c>
      <c r="N250" s="148">
        <f t="shared" si="59"/>
        <v>0</v>
      </c>
      <c r="O250" s="148">
        <f t="shared" si="59"/>
        <v>0</v>
      </c>
      <c r="P250" s="148">
        <f t="shared" si="59"/>
        <v>0</v>
      </c>
      <c r="Q250" s="148">
        <f t="shared" si="59"/>
        <v>0</v>
      </c>
      <c r="R250" s="148">
        <f t="shared" si="59"/>
        <v>0</v>
      </c>
      <c r="S250" s="148">
        <f t="shared" si="59"/>
        <v>0</v>
      </c>
      <c r="T250" s="148">
        <f t="shared" si="59"/>
        <v>0</v>
      </c>
      <c r="U250" s="148">
        <f t="shared" si="59"/>
        <v>0</v>
      </c>
      <c r="V250" s="148">
        <f t="shared" si="59"/>
        <v>0</v>
      </c>
      <c r="W250" s="148">
        <f t="shared" si="59"/>
        <v>0</v>
      </c>
      <c r="X250" s="148">
        <f t="shared" si="59"/>
        <v>0</v>
      </c>
      <c r="Y250" s="148">
        <f t="shared" si="59"/>
        <v>0</v>
      </c>
      <c r="Z250" s="148">
        <f t="shared" si="59"/>
        <v>0</v>
      </c>
      <c r="AA250" s="148">
        <f t="shared" si="59"/>
        <v>0</v>
      </c>
      <c r="AB250" s="148">
        <f t="shared" si="59"/>
        <v>0</v>
      </c>
      <c r="AC250" s="148">
        <f t="shared" si="59"/>
        <v>0</v>
      </c>
      <c r="AD250" s="148">
        <f t="shared" si="59"/>
        <v>0</v>
      </c>
      <c r="AE250" s="148">
        <f t="shared" si="59"/>
        <v>0</v>
      </c>
      <c r="AF250" s="148">
        <f t="shared" si="59"/>
        <v>0</v>
      </c>
      <c r="AG250" s="148">
        <f t="shared" si="59"/>
        <v>0</v>
      </c>
      <c r="AH250" s="148">
        <f t="shared" si="59"/>
        <v>0</v>
      </c>
      <c r="AI250" s="148">
        <f t="shared" si="59"/>
        <v>0</v>
      </c>
      <c r="AJ250" s="148">
        <f t="shared" si="59"/>
        <v>0</v>
      </c>
      <c r="AK250" s="148">
        <f t="shared" si="59"/>
        <v>0</v>
      </c>
      <c r="AL250" s="148">
        <f t="shared" si="59"/>
        <v>0</v>
      </c>
      <c r="AM250" s="148">
        <f t="shared" si="59"/>
        <v>0</v>
      </c>
      <c r="AN250" s="377"/>
    </row>
    <row r="251" spans="1:40" ht="27.75" customHeight="1" thickBot="1">
      <c r="A251" s="287"/>
      <c r="B251" s="320"/>
      <c r="C251" s="382"/>
      <c r="D251" s="334"/>
      <c r="E251" s="355"/>
      <c r="F251" s="226">
        <f>F245+F248</f>
        <v>14080000</v>
      </c>
      <c r="G251" s="150" t="s">
        <v>118</v>
      </c>
      <c r="H251" s="151">
        <f aca="true" t="shared" si="60" ref="H251:AM251">H245+H247+H249</f>
        <v>0</v>
      </c>
      <c r="I251" s="228">
        <f t="shared" si="60"/>
        <v>5080000</v>
      </c>
      <c r="J251" s="153">
        <f t="shared" si="60"/>
        <v>4000000</v>
      </c>
      <c r="K251" s="153">
        <f t="shared" si="60"/>
        <v>5000000</v>
      </c>
      <c r="L251" s="153">
        <f t="shared" si="60"/>
        <v>0</v>
      </c>
      <c r="M251" s="153">
        <f t="shared" si="60"/>
        <v>0</v>
      </c>
      <c r="N251" s="153">
        <f t="shared" si="60"/>
        <v>0</v>
      </c>
      <c r="O251" s="153">
        <f t="shared" si="60"/>
        <v>0</v>
      </c>
      <c r="P251" s="153">
        <f t="shared" si="60"/>
        <v>0</v>
      </c>
      <c r="Q251" s="153">
        <f t="shared" si="60"/>
        <v>0</v>
      </c>
      <c r="R251" s="153">
        <f t="shared" si="60"/>
        <v>0</v>
      </c>
      <c r="S251" s="153">
        <f t="shared" si="60"/>
        <v>0</v>
      </c>
      <c r="T251" s="153">
        <f t="shared" si="60"/>
        <v>0</v>
      </c>
      <c r="U251" s="153">
        <f t="shared" si="60"/>
        <v>0</v>
      </c>
      <c r="V251" s="153">
        <f t="shared" si="60"/>
        <v>0</v>
      </c>
      <c r="W251" s="153">
        <f t="shared" si="60"/>
        <v>0</v>
      </c>
      <c r="X251" s="153">
        <f t="shared" si="60"/>
        <v>0</v>
      </c>
      <c r="Y251" s="153">
        <f t="shared" si="60"/>
        <v>0</v>
      </c>
      <c r="Z251" s="153">
        <f t="shared" si="60"/>
        <v>0</v>
      </c>
      <c r="AA251" s="153">
        <f t="shared" si="60"/>
        <v>0</v>
      </c>
      <c r="AB251" s="153">
        <f t="shared" si="60"/>
        <v>0</v>
      </c>
      <c r="AC251" s="153">
        <f t="shared" si="60"/>
        <v>0</v>
      </c>
      <c r="AD251" s="153">
        <f t="shared" si="60"/>
        <v>0</v>
      </c>
      <c r="AE251" s="153">
        <f t="shared" si="60"/>
        <v>0</v>
      </c>
      <c r="AF251" s="153">
        <f t="shared" si="60"/>
        <v>0</v>
      </c>
      <c r="AG251" s="153">
        <f t="shared" si="60"/>
        <v>0</v>
      </c>
      <c r="AH251" s="153">
        <f t="shared" si="60"/>
        <v>0</v>
      </c>
      <c r="AI251" s="153">
        <f t="shared" si="60"/>
        <v>0</v>
      </c>
      <c r="AJ251" s="153">
        <f t="shared" si="60"/>
        <v>0</v>
      </c>
      <c r="AK251" s="153">
        <f t="shared" si="60"/>
        <v>0</v>
      </c>
      <c r="AL251" s="153">
        <f t="shared" si="60"/>
        <v>0</v>
      </c>
      <c r="AM251" s="153">
        <f t="shared" si="60"/>
        <v>0</v>
      </c>
      <c r="AN251" s="378"/>
    </row>
    <row r="252" spans="1:40" ht="12.75" customHeight="1">
      <c r="A252" s="286">
        <v>30</v>
      </c>
      <c r="B252" s="323" t="s">
        <v>218</v>
      </c>
      <c r="C252" s="380">
        <v>90001</v>
      </c>
      <c r="D252" s="332" t="s">
        <v>191</v>
      </c>
      <c r="E252" s="354">
        <v>2011</v>
      </c>
      <c r="F252" s="132" t="s">
        <v>106</v>
      </c>
      <c r="G252" s="155" t="s">
        <v>107</v>
      </c>
      <c r="H252" s="134"/>
      <c r="I252" s="187"/>
      <c r="J252" s="158"/>
      <c r="K252" s="158"/>
      <c r="L252" s="158"/>
      <c r="M252" s="158"/>
      <c r="N252" s="158"/>
      <c r="O252" s="158"/>
      <c r="P252" s="158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376">
        <f>SUM(J259:AM259)</f>
        <v>2300000</v>
      </c>
    </row>
    <row r="253" spans="1:40" ht="12.75">
      <c r="A253" s="287"/>
      <c r="B253" s="319"/>
      <c r="C253" s="381"/>
      <c r="D253" s="333"/>
      <c r="E253" s="354"/>
      <c r="F253" s="281">
        <f>SUM(H258:AM258)</f>
        <v>0</v>
      </c>
      <c r="G253" s="139" t="s">
        <v>108</v>
      </c>
      <c r="H253" s="140">
        <v>0</v>
      </c>
      <c r="I253" s="189">
        <f>5000000-3500000-1300000</f>
        <v>200000</v>
      </c>
      <c r="J253" s="142">
        <f>700000+1600000</f>
        <v>2300000</v>
      </c>
      <c r="K253" s="142"/>
      <c r="L253" s="142"/>
      <c r="M253" s="142"/>
      <c r="N253" s="142"/>
      <c r="O253" s="142"/>
      <c r="P253" s="142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377"/>
    </row>
    <row r="254" spans="1:40" ht="12.75">
      <c r="A254" s="287"/>
      <c r="B254" s="319"/>
      <c r="C254" s="381"/>
      <c r="D254" s="333"/>
      <c r="E254" s="354"/>
      <c r="F254" s="379"/>
      <c r="G254" s="139" t="s">
        <v>109</v>
      </c>
      <c r="H254" s="140"/>
      <c r="I254" s="189"/>
      <c r="J254" s="142"/>
      <c r="K254" s="142"/>
      <c r="L254" s="142"/>
      <c r="M254" s="142"/>
      <c r="N254" s="142"/>
      <c r="O254" s="142"/>
      <c r="P254" s="142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377"/>
    </row>
    <row r="255" spans="1:40" ht="12.75">
      <c r="A255" s="287"/>
      <c r="B255" s="319"/>
      <c r="C255" s="381"/>
      <c r="D255" s="333"/>
      <c r="E255" s="266"/>
      <c r="F255" s="145" t="s">
        <v>110</v>
      </c>
      <c r="G255" s="139" t="s">
        <v>111</v>
      </c>
      <c r="H255" s="140"/>
      <c r="I255" s="189"/>
      <c r="J255" s="142"/>
      <c r="K255" s="142"/>
      <c r="L255" s="142"/>
      <c r="M255" s="142"/>
      <c r="N255" s="142"/>
      <c r="O255" s="142"/>
      <c r="P255" s="142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377"/>
    </row>
    <row r="256" spans="1:40" ht="12.75">
      <c r="A256" s="287"/>
      <c r="B256" s="319"/>
      <c r="C256" s="381"/>
      <c r="D256" s="333"/>
      <c r="E256" s="336">
        <v>2012</v>
      </c>
      <c r="F256" s="281">
        <f>SUM(H259:AM259)</f>
        <v>2500000</v>
      </c>
      <c r="G256" s="139" t="s">
        <v>115</v>
      </c>
      <c r="H256" s="140"/>
      <c r="I256" s="189"/>
      <c r="J256" s="142"/>
      <c r="K256" s="142"/>
      <c r="L256" s="142"/>
      <c r="M256" s="142"/>
      <c r="N256" s="142"/>
      <c r="O256" s="142"/>
      <c r="P256" s="142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2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377"/>
    </row>
    <row r="257" spans="1:40" ht="12.75">
      <c r="A257" s="287"/>
      <c r="B257" s="319"/>
      <c r="C257" s="381"/>
      <c r="D257" s="333"/>
      <c r="E257" s="354"/>
      <c r="F257" s="379"/>
      <c r="G257" s="139" t="s">
        <v>116</v>
      </c>
      <c r="H257" s="140"/>
      <c r="I257" s="189"/>
      <c r="J257" s="142"/>
      <c r="K257" s="142"/>
      <c r="L257" s="142"/>
      <c r="M257" s="142"/>
      <c r="N257" s="142"/>
      <c r="O257" s="142"/>
      <c r="P257" s="142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2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377"/>
    </row>
    <row r="258" spans="1:40" ht="12.75">
      <c r="A258" s="287"/>
      <c r="B258" s="319"/>
      <c r="C258" s="381"/>
      <c r="D258" s="333"/>
      <c r="E258" s="354"/>
      <c r="F258" s="145" t="s">
        <v>114</v>
      </c>
      <c r="G258" s="139" t="s">
        <v>117</v>
      </c>
      <c r="H258" s="146">
        <f aca="true" t="shared" si="61" ref="H258:AM258">H252+H254+H256</f>
        <v>0</v>
      </c>
      <c r="I258" s="191">
        <f t="shared" si="61"/>
        <v>0</v>
      </c>
      <c r="J258" s="148">
        <f t="shared" si="61"/>
        <v>0</v>
      </c>
      <c r="K258" s="148">
        <f t="shared" si="61"/>
        <v>0</v>
      </c>
      <c r="L258" s="148">
        <f t="shared" si="61"/>
        <v>0</v>
      </c>
      <c r="M258" s="148">
        <f t="shared" si="61"/>
        <v>0</v>
      </c>
      <c r="N258" s="148">
        <f t="shared" si="61"/>
        <v>0</v>
      </c>
      <c r="O258" s="148">
        <f t="shared" si="61"/>
        <v>0</v>
      </c>
      <c r="P258" s="148">
        <f t="shared" si="61"/>
        <v>0</v>
      </c>
      <c r="Q258" s="148">
        <f t="shared" si="61"/>
        <v>0</v>
      </c>
      <c r="R258" s="148">
        <f t="shared" si="61"/>
        <v>0</v>
      </c>
      <c r="S258" s="148">
        <f t="shared" si="61"/>
        <v>0</v>
      </c>
      <c r="T258" s="148">
        <f t="shared" si="61"/>
        <v>0</v>
      </c>
      <c r="U258" s="148">
        <f t="shared" si="61"/>
        <v>0</v>
      </c>
      <c r="V258" s="148">
        <f t="shared" si="61"/>
        <v>0</v>
      </c>
      <c r="W258" s="148">
        <f t="shared" si="61"/>
        <v>0</v>
      </c>
      <c r="X258" s="148">
        <f t="shared" si="61"/>
        <v>0</v>
      </c>
      <c r="Y258" s="148">
        <f t="shared" si="61"/>
        <v>0</v>
      </c>
      <c r="Z258" s="148">
        <f t="shared" si="61"/>
        <v>0</v>
      </c>
      <c r="AA258" s="148">
        <f t="shared" si="61"/>
        <v>0</v>
      </c>
      <c r="AB258" s="148">
        <f t="shared" si="61"/>
        <v>0</v>
      </c>
      <c r="AC258" s="148">
        <f t="shared" si="61"/>
        <v>0</v>
      </c>
      <c r="AD258" s="148">
        <f t="shared" si="61"/>
        <v>0</v>
      </c>
      <c r="AE258" s="148">
        <f t="shared" si="61"/>
        <v>0</v>
      </c>
      <c r="AF258" s="148">
        <f t="shared" si="61"/>
        <v>0</v>
      </c>
      <c r="AG258" s="148">
        <f t="shared" si="61"/>
        <v>0</v>
      </c>
      <c r="AH258" s="148">
        <f t="shared" si="61"/>
        <v>0</v>
      </c>
      <c r="AI258" s="148">
        <f t="shared" si="61"/>
        <v>0</v>
      </c>
      <c r="AJ258" s="148">
        <f t="shared" si="61"/>
        <v>0</v>
      </c>
      <c r="AK258" s="148">
        <f t="shared" si="61"/>
        <v>0</v>
      </c>
      <c r="AL258" s="148">
        <f t="shared" si="61"/>
        <v>0</v>
      </c>
      <c r="AM258" s="148">
        <f t="shared" si="61"/>
        <v>0</v>
      </c>
      <c r="AN258" s="377"/>
    </row>
    <row r="259" spans="1:40" ht="13.5" thickBot="1">
      <c r="A259" s="287"/>
      <c r="B259" s="320"/>
      <c r="C259" s="382"/>
      <c r="D259" s="333"/>
      <c r="E259" s="355"/>
      <c r="F259" s="226">
        <f>F253+F256</f>
        <v>2500000</v>
      </c>
      <c r="G259" s="150" t="s">
        <v>118</v>
      </c>
      <c r="H259" s="151">
        <f aca="true" t="shared" si="62" ref="H259:AM259">H253+H255+H257</f>
        <v>0</v>
      </c>
      <c r="I259" s="228">
        <f t="shared" si="62"/>
        <v>200000</v>
      </c>
      <c r="J259" s="153">
        <f t="shared" si="62"/>
        <v>2300000</v>
      </c>
      <c r="K259" s="153">
        <f t="shared" si="62"/>
        <v>0</v>
      </c>
      <c r="L259" s="153">
        <f t="shared" si="62"/>
        <v>0</v>
      </c>
      <c r="M259" s="153">
        <f t="shared" si="62"/>
        <v>0</v>
      </c>
      <c r="N259" s="153">
        <f t="shared" si="62"/>
        <v>0</v>
      </c>
      <c r="O259" s="153">
        <f t="shared" si="62"/>
        <v>0</v>
      </c>
      <c r="P259" s="153">
        <f t="shared" si="62"/>
        <v>0</v>
      </c>
      <c r="Q259" s="153">
        <f t="shared" si="62"/>
        <v>0</v>
      </c>
      <c r="R259" s="153">
        <f t="shared" si="62"/>
        <v>0</v>
      </c>
      <c r="S259" s="153">
        <f t="shared" si="62"/>
        <v>0</v>
      </c>
      <c r="T259" s="153">
        <f t="shared" si="62"/>
        <v>0</v>
      </c>
      <c r="U259" s="153">
        <f t="shared" si="62"/>
        <v>0</v>
      </c>
      <c r="V259" s="153">
        <f t="shared" si="62"/>
        <v>0</v>
      </c>
      <c r="W259" s="153">
        <f t="shared" si="62"/>
        <v>0</v>
      </c>
      <c r="X259" s="153">
        <f t="shared" si="62"/>
        <v>0</v>
      </c>
      <c r="Y259" s="153">
        <f t="shared" si="62"/>
        <v>0</v>
      </c>
      <c r="Z259" s="153">
        <f t="shared" si="62"/>
        <v>0</v>
      </c>
      <c r="AA259" s="153">
        <f t="shared" si="62"/>
        <v>0</v>
      </c>
      <c r="AB259" s="153">
        <f t="shared" si="62"/>
        <v>0</v>
      </c>
      <c r="AC259" s="166">
        <f t="shared" si="62"/>
        <v>0</v>
      </c>
      <c r="AD259" s="166">
        <f t="shared" si="62"/>
        <v>0</v>
      </c>
      <c r="AE259" s="166">
        <f t="shared" si="62"/>
        <v>0</v>
      </c>
      <c r="AF259" s="166">
        <f t="shared" si="62"/>
        <v>0</v>
      </c>
      <c r="AG259" s="166">
        <f t="shared" si="62"/>
        <v>0</v>
      </c>
      <c r="AH259" s="166">
        <f t="shared" si="62"/>
        <v>0</v>
      </c>
      <c r="AI259" s="166">
        <f t="shared" si="62"/>
        <v>0</v>
      </c>
      <c r="AJ259" s="166">
        <f t="shared" si="62"/>
        <v>0</v>
      </c>
      <c r="AK259" s="166">
        <f t="shared" si="62"/>
        <v>0</v>
      </c>
      <c r="AL259" s="166">
        <f t="shared" si="62"/>
        <v>0</v>
      </c>
      <c r="AM259" s="166">
        <f t="shared" si="62"/>
        <v>0</v>
      </c>
      <c r="AN259" s="378"/>
    </row>
    <row r="260" spans="1:40" ht="12.75" customHeight="1">
      <c r="A260" s="286">
        <v>31</v>
      </c>
      <c r="B260" s="319" t="s">
        <v>205</v>
      </c>
      <c r="C260" s="381">
        <v>90001</v>
      </c>
      <c r="D260" s="332" t="s">
        <v>191</v>
      </c>
      <c r="E260" s="354">
        <v>2011</v>
      </c>
      <c r="F260" s="144" t="s">
        <v>106</v>
      </c>
      <c r="G260" s="155" t="s">
        <v>107</v>
      </c>
      <c r="H260" s="156"/>
      <c r="I260" s="187"/>
      <c r="J260" s="158"/>
      <c r="K260" s="158"/>
      <c r="L260" s="158"/>
      <c r="M260" s="158"/>
      <c r="N260" s="158"/>
      <c r="O260" s="158"/>
      <c r="P260" s="158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376">
        <f>SUM(J267:AM267)</f>
        <v>600000</v>
      </c>
    </row>
    <row r="261" spans="1:40" ht="12.75">
      <c r="A261" s="287"/>
      <c r="B261" s="319"/>
      <c r="C261" s="381"/>
      <c r="D261" s="333"/>
      <c r="E261" s="354"/>
      <c r="F261" s="281">
        <f>SUM(H266:AM266)</f>
        <v>0</v>
      </c>
      <c r="G261" s="139" t="s">
        <v>108</v>
      </c>
      <c r="H261" s="140"/>
      <c r="I261" s="189">
        <v>900000</v>
      </c>
      <c r="J261" s="142">
        <v>100000</v>
      </c>
      <c r="K261" s="142">
        <v>500000</v>
      </c>
      <c r="L261" s="142"/>
      <c r="M261" s="142"/>
      <c r="N261" s="142"/>
      <c r="O261" s="142"/>
      <c r="P261" s="142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377"/>
    </row>
    <row r="262" spans="1:40" ht="12.75">
      <c r="A262" s="287"/>
      <c r="B262" s="319"/>
      <c r="C262" s="381"/>
      <c r="D262" s="333"/>
      <c r="E262" s="354"/>
      <c r="F262" s="379"/>
      <c r="G262" s="139" t="s">
        <v>109</v>
      </c>
      <c r="H262" s="140"/>
      <c r="I262" s="189"/>
      <c r="J262" s="142"/>
      <c r="K262" s="142"/>
      <c r="L262" s="142"/>
      <c r="M262" s="142"/>
      <c r="N262" s="142"/>
      <c r="O262" s="142"/>
      <c r="P262" s="142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377"/>
    </row>
    <row r="263" spans="1:40" ht="12.75">
      <c r="A263" s="287"/>
      <c r="B263" s="319"/>
      <c r="C263" s="381"/>
      <c r="D263" s="333"/>
      <c r="E263" s="266"/>
      <c r="F263" s="145" t="s">
        <v>110</v>
      </c>
      <c r="G263" s="139" t="s">
        <v>111</v>
      </c>
      <c r="H263" s="140"/>
      <c r="I263" s="189"/>
      <c r="J263" s="142"/>
      <c r="K263" s="142"/>
      <c r="L263" s="142"/>
      <c r="M263" s="142"/>
      <c r="N263" s="142"/>
      <c r="O263" s="142"/>
      <c r="P263" s="142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377"/>
    </row>
    <row r="264" spans="1:40" ht="12.75">
      <c r="A264" s="287"/>
      <c r="B264" s="319"/>
      <c r="C264" s="381"/>
      <c r="D264" s="333"/>
      <c r="E264" s="336">
        <v>2013</v>
      </c>
      <c r="F264" s="281">
        <f>SUM(H267:AM267)</f>
        <v>1500000</v>
      </c>
      <c r="G264" s="139" t="s">
        <v>115</v>
      </c>
      <c r="H264" s="140"/>
      <c r="I264" s="189"/>
      <c r="J264" s="142"/>
      <c r="K264" s="142"/>
      <c r="L264" s="142"/>
      <c r="M264" s="142"/>
      <c r="N264" s="142"/>
      <c r="O264" s="142"/>
      <c r="P264" s="142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377"/>
    </row>
    <row r="265" spans="1:40" ht="12.75">
      <c r="A265" s="287"/>
      <c r="B265" s="319"/>
      <c r="C265" s="381"/>
      <c r="D265" s="333"/>
      <c r="E265" s="354"/>
      <c r="F265" s="379"/>
      <c r="G265" s="139" t="s">
        <v>116</v>
      </c>
      <c r="H265" s="140"/>
      <c r="I265" s="189"/>
      <c r="J265" s="142"/>
      <c r="K265" s="142"/>
      <c r="L265" s="142"/>
      <c r="M265" s="142"/>
      <c r="N265" s="142"/>
      <c r="O265" s="142"/>
      <c r="P265" s="142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377"/>
    </row>
    <row r="266" spans="1:40" ht="12.75">
      <c r="A266" s="287"/>
      <c r="B266" s="319"/>
      <c r="C266" s="381"/>
      <c r="D266" s="333"/>
      <c r="E266" s="354"/>
      <c r="F266" s="145" t="s">
        <v>114</v>
      </c>
      <c r="G266" s="139" t="s">
        <v>117</v>
      </c>
      <c r="H266" s="146">
        <f aca="true" t="shared" si="63" ref="H266:AM266">H260+H262+H264</f>
        <v>0</v>
      </c>
      <c r="I266" s="191">
        <f t="shared" si="63"/>
        <v>0</v>
      </c>
      <c r="J266" s="148">
        <f t="shared" si="63"/>
        <v>0</v>
      </c>
      <c r="K266" s="148">
        <f t="shared" si="63"/>
        <v>0</v>
      </c>
      <c r="L266" s="148">
        <f t="shared" si="63"/>
        <v>0</v>
      </c>
      <c r="M266" s="148">
        <f t="shared" si="63"/>
        <v>0</v>
      </c>
      <c r="N266" s="148">
        <f t="shared" si="63"/>
        <v>0</v>
      </c>
      <c r="O266" s="148">
        <f t="shared" si="63"/>
        <v>0</v>
      </c>
      <c r="P266" s="148">
        <f t="shared" si="63"/>
        <v>0</v>
      </c>
      <c r="Q266" s="148">
        <f t="shared" si="63"/>
        <v>0</v>
      </c>
      <c r="R266" s="148">
        <f t="shared" si="63"/>
        <v>0</v>
      </c>
      <c r="S266" s="148">
        <f t="shared" si="63"/>
        <v>0</v>
      </c>
      <c r="T266" s="148">
        <f t="shared" si="63"/>
        <v>0</v>
      </c>
      <c r="U266" s="148">
        <f t="shared" si="63"/>
        <v>0</v>
      </c>
      <c r="V266" s="148">
        <f t="shared" si="63"/>
        <v>0</v>
      </c>
      <c r="W266" s="148">
        <f t="shared" si="63"/>
        <v>0</v>
      </c>
      <c r="X266" s="148">
        <f t="shared" si="63"/>
        <v>0</v>
      </c>
      <c r="Y266" s="148">
        <f t="shared" si="63"/>
        <v>0</v>
      </c>
      <c r="Z266" s="148">
        <f t="shared" si="63"/>
        <v>0</v>
      </c>
      <c r="AA266" s="148">
        <f t="shared" si="63"/>
        <v>0</v>
      </c>
      <c r="AB266" s="148">
        <f t="shared" si="63"/>
        <v>0</v>
      </c>
      <c r="AC266" s="148">
        <f t="shared" si="63"/>
        <v>0</v>
      </c>
      <c r="AD266" s="148">
        <f t="shared" si="63"/>
        <v>0</v>
      </c>
      <c r="AE266" s="148">
        <f t="shared" si="63"/>
        <v>0</v>
      </c>
      <c r="AF266" s="148">
        <f t="shared" si="63"/>
        <v>0</v>
      </c>
      <c r="AG266" s="148">
        <f t="shared" si="63"/>
        <v>0</v>
      </c>
      <c r="AH266" s="148">
        <f t="shared" si="63"/>
        <v>0</v>
      </c>
      <c r="AI266" s="148">
        <f t="shared" si="63"/>
        <v>0</v>
      </c>
      <c r="AJ266" s="148">
        <f t="shared" si="63"/>
        <v>0</v>
      </c>
      <c r="AK266" s="148">
        <f t="shared" si="63"/>
        <v>0</v>
      </c>
      <c r="AL266" s="148">
        <f t="shared" si="63"/>
        <v>0</v>
      </c>
      <c r="AM266" s="148">
        <f t="shared" si="63"/>
        <v>0</v>
      </c>
      <c r="AN266" s="377"/>
    </row>
    <row r="267" spans="1:40" ht="13.5" thickBot="1">
      <c r="A267" s="287"/>
      <c r="B267" s="320"/>
      <c r="C267" s="382"/>
      <c r="D267" s="334"/>
      <c r="E267" s="355"/>
      <c r="F267" s="226">
        <f>F261+F264</f>
        <v>1500000</v>
      </c>
      <c r="G267" s="150" t="s">
        <v>118</v>
      </c>
      <c r="H267" s="151">
        <f aca="true" t="shared" si="64" ref="H267:AM267">H261+H263+H265</f>
        <v>0</v>
      </c>
      <c r="I267" s="228">
        <f t="shared" si="64"/>
        <v>900000</v>
      </c>
      <c r="J267" s="153">
        <f t="shared" si="64"/>
        <v>100000</v>
      </c>
      <c r="K267" s="153">
        <f t="shared" si="64"/>
        <v>500000</v>
      </c>
      <c r="L267" s="153">
        <f t="shared" si="64"/>
        <v>0</v>
      </c>
      <c r="M267" s="153">
        <f t="shared" si="64"/>
        <v>0</v>
      </c>
      <c r="N267" s="153">
        <f t="shared" si="64"/>
        <v>0</v>
      </c>
      <c r="O267" s="153">
        <f t="shared" si="64"/>
        <v>0</v>
      </c>
      <c r="P267" s="153">
        <f t="shared" si="64"/>
        <v>0</v>
      </c>
      <c r="Q267" s="153">
        <f t="shared" si="64"/>
        <v>0</v>
      </c>
      <c r="R267" s="153">
        <f t="shared" si="64"/>
        <v>0</v>
      </c>
      <c r="S267" s="153">
        <f t="shared" si="64"/>
        <v>0</v>
      </c>
      <c r="T267" s="153">
        <f t="shared" si="64"/>
        <v>0</v>
      </c>
      <c r="U267" s="153">
        <f t="shared" si="64"/>
        <v>0</v>
      </c>
      <c r="V267" s="153">
        <f t="shared" si="64"/>
        <v>0</v>
      </c>
      <c r="W267" s="153">
        <f t="shared" si="64"/>
        <v>0</v>
      </c>
      <c r="X267" s="153">
        <f t="shared" si="64"/>
        <v>0</v>
      </c>
      <c r="Y267" s="153">
        <f t="shared" si="64"/>
        <v>0</v>
      </c>
      <c r="Z267" s="153">
        <f t="shared" si="64"/>
        <v>0</v>
      </c>
      <c r="AA267" s="153">
        <f t="shared" si="64"/>
        <v>0</v>
      </c>
      <c r="AB267" s="153">
        <f t="shared" si="64"/>
        <v>0</v>
      </c>
      <c r="AC267" s="153">
        <f t="shared" si="64"/>
        <v>0</v>
      </c>
      <c r="AD267" s="153">
        <f t="shared" si="64"/>
        <v>0</v>
      </c>
      <c r="AE267" s="153">
        <f t="shared" si="64"/>
        <v>0</v>
      </c>
      <c r="AF267" s="153">
        <f t="shared" si="64"/>
        <v>0</v>
      </c>
      <c r="AG267" s="153">
        <f t="shared" si="64"/>
        <v>0</v>
      </c>
      <c r="AH267" s="153">
        <f t="shared" si="64"/>
        <v>0</v>
      </c>
      <c r="AI267" s="153">
        <f t="shared" si="64"/>
        <v>0</v>
      </c>
      <c r="AJ267" s="153">
        <f t="shared" si="64"/>
        <v>0</v>
      </c>
      <c r="AK267" s="153">
        <f t="shared" si="64"/>
        <v>0</v>
      </c>
      <c r="AL267" s="153">
        <f t="shared" si="64"/>
        <v>0</v>
      </c>
      <c r="AM267" s="153">
        <f t="shared" si="64"/>
        <v>0</v>
      </c>
      <c r="AN267" s="378"/>
    </row>
    <row r="268" spans="1:40" ht="12.75" customHeight="1">
      <c r="A268" s="286">
        <v>32</v>
      </c>
      <c r="B268" s="323" t="s">
        <v>219</v>
      </c>
      <c r="C268" s="380">
        <v>90001</v>
      </c>
      <c r="D268" s="332" t="s">
        <v>191</v>
      </c>
      <c r="E268" s="356">
        <v>2011</v>
      </c>
      <c r="F268" s="132" t="s">
        <v>106</v>
      </c>
      <c r="G268" s="133" t="s">
        <v>107</v>
      </c>
      <c r="H268" s="134"/>
      <c r="I268" s="227"/>
      <c r="J268" s="136"/>
      <c r="K268" s="136"/>
      <c r="L268" s="136"/>
      <c r="M268" s="136"/>
      <c r="N268" s="136"/>
      <c r="O268" s="136"/>
      <c r="P268" s="136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376">
        <f>SUM(J275:AM275)</f>
        <v>200000</v>
      </c>
    </row>
    <row r="269" spans="1:40" ht="12.75">
      <c r="A269" s="287"/>
      <c r="B269" s="319"/>
      <c r="C269" s="381"/>
      <c r="D269" s="333"/>
      <c r="E269" s="354"/>
      <c r="F269" s="281">
        <f>SUM(H274:AM274)</f>
        <v>0</v>
      </c>
      <c r="G269" s="139" t="s">
        <v>108</v>
      </c>
      <c r="H269" s="140"/>
      <c r="I269" s="189">
        <f>100000-100000</f>
        <v>0</v>
      </c>
      <c r="J269" s="142">
        <v>100000</v>
      </c>
      <c r="K269" s="142">
        <v>100000</v>
      </c>
      <c r="L269" s="142"/>
      <c r="M269" s="142"/>
      <c r="N269" s="142"/>
      <c r="O269" s="142"/>
      <c r="P269" s="142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377"/>
    </row>
    <row r="270" spans="1:40" ht="12.75">
      <c r="A270" s="287"/>
      <c r="B270" s="319"/>
      <c r="C270" s="381"/>
      <c r="D270" s="333"/>
      <c r="E270" s="354"/>
      <c r="F270" s="379"/>
      <c r="G270" s="139" t="s">
        <v>109</v>
      </c>
      <c r="H270" s="140"/>
      <c r="I270" s="189"/>
      <c r="J270" s="142"/>
      <c r="K270" s="142"/>
      <c r="L270" s="142"/>
      <c r="M270" s="142"/>
      <c r="N270" s="142"/>
      <c r="O270" s="142"/>
      <c r="P270" s="142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377"/>
    </row>
    <row r="271" spans="1:40" ht="12.75">
      <c r="A271" s="287"/>
      <c r="B271" s="319"/>
      <c r="C271" s="381"/>
      <c r="D271" s="333"/>
      <c r="E271" s="266"/>
      <c r="F271" s="145" t="s">
        <v>110</v>
      </c>
      <c r="G271" s="139" t="s">
        <v>111</v>
      </c>
      <c r="H271" s="140"/>
      <c r="I271" s="189"/>
      <c r="J271" s="142"/>
      <c r="K271" s="142"/>
      <c r="L271" s="142"/>
      <c r="M271" s="142"/>
      <c r="N271" s="142"/>
      <c r="O271" s="142"/>
      <c r="P271" s="142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377"/>
    </row>
    <row r="272" spans="1:40" ht="12.75">
      <c r="A272" s="287"/>
      <c r="B272" s="319"/>
      <c r="C272" s="381"/>
      <c r="D272" s="333"/>
      <c r="E272" s="336">
        <v>2013</v>
      </c>
      <c r="F272" s="281">
        <f>SUM(H275:AM275)</f>
        <v>200000</v>
      </c>
      <c r="G272" s="139" t="s">
        <v>115</v>
      </c>
      <c r="H272" s="140"/>
      <c r="I272" s="189"/>
      <c r="J272" s="142"/>
      <c r="K272" s="142"/>
      <c r="L272" s="142"/>
      <c r="M272" s="142"/>
      <c r="N272" s="142"/>
      <c r="O272" s="142"/>
      <c r="P272" s="142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377"/>
    </row>
    <row r="273" spans="1:40" ht="12.75">
      <c r="A273" s="287"/>
      <c r="B273" s="319"/>
      <c r="C273" s="381"/>
      <c r="D273" s="333"/>
      <c r="E273" s="354"/>
      <c r="F273" s="379"/>
      <c r="G273" s="139" t="s">
        <v>116</v>
      </c>
      <c r="H273" s="140"/>
      <c r="I273" s="189"/>
      <c r="J273" s="142"/>
      <c r="K273" s="142"/>
      <c r="L273" s="142"/>
      <c r="M273" s="142"/>
      <c r="N273" s="142"/>
      <c r="O273" s="142"/>
      <c r="P273" s="142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377"/>
    </row>
    <row r="274" spans="1:40" ht="12.75">
      <c r="A274" s="287"/>
      <c r="B274" s="319"/>
      <c r="C274" s="381"/>
      <c r="D274" s="333"/>
      <c r="E274" s="354"/>
      <c r="F274" s="145" t="s">
        <v>114</v>
      </c>
      <c r="G274" s="139" t="s">
        <v>117</v>
      </c>
      <c r="H274" s="146">
        <f aca="true" t="shared" si="65" ref="H274:AM274">H268+H270+H272</f>
        <v>0</v>
      </c>
      <c r="I274" s="191">
        <f t="shared" si="65"/>
        <v>0</v>
      </c>
      <c r="J274" s="148">
        <f t="shared" si="65"/>
        <v>0</v>
      </c>
      <c r="K274" s="148">
        <f t="shared" si="65"/>
        <v>0</v>
      </c>
      <c r="L274" s="148">
        <f t="shared" si="65"/>
        <v>0</v>
      </c>
      <c r="M274" s="148">
        <f t="shared" si="65"/>
        <v>0</v>
      </c>
      <c r="N274" s="148">
        <f t="shared" si="65"/>
        <v>0</v>
      </c>
      <c r="O274" s="148">
        <f t="shared" si="65"/>
        <v>0</v>
      </c>
      <c r="P274" s="148">
        <f t="shared" si="65"/>
        <v>0</v>
      </c>
      <c r="Q274" s="148">
        <f t="shared" si="65"/>
        <v>0</v>
      </c>
      <c r="R274" s="148">
        <f t="shared" si="65"/>
        <v>0</v>
      </c>
      <c r="S274" s="148">
        <f t="shared" si="65"/>
        <v>0</v>
      </c>
      <c r="T274" s="148">
        <f t="shared" si="65"/>
        <v>0</v>
      </c>
      <c r="U274" s="148">
        <f t="shared" si="65"/>
        <v>0</v>
      </c>
      <c r="V274" s="148">
        <f t="shared" si="65"/>
        <v>0</v>
      </c>
      <c r="W274" s="148">
        <f t="shared" si="65"/>
        <v>0</v>
      </c>
      <c r="X274" s="148">
        <f t="shared" si="65"/>
        <v>0</v>
      </c>
      <c r="Y274" s="148">
        <f t="shared" si="65"/>
        <v>0</v>
      </c>
      <c r="Z274" s="148">
        <f t="shared" si="65"/>
        <v>0</v>
      </c>
      <c r="AA274" s="148">
        <f t="shared" si="65"/>
        <v>0</v>
      </c>
      <c r="AB274" s="148">
        <f t="shared" si="65"/>
        <v>0</v>
      </c>
      <c r="AC274" s="148">
        <f t="shared" si="65"/>
        <v>0</v>
      </c>
      <c r="AD274" s="148">
        <f t="shared" si="65"/>
        <v>0</v>
      </c>
      <c r="AE274" s="148">
        <f t="shared" si="65"/>
        <v>0</v>
      </c>
      <c r="AF274" s="148">
        <f t="shared" si="65"/>
        <v>0</v>
      </c>
      <c r="AG274" s="148">
        <f t="shared" si="65"/>
        <v>0</v>
      </c>
      <c r="AH274" s="148">
        <f t="shared" si="65"/>
        <v>0</v>
      </c>
      <c r="AI274" s="148">
        <f t="shared" si="65"/>
        <v>0</v>
      </c>
      <c r="AJ274" s="148">
        <f t="shared" si="65"/>
        <v>0</v>
      </c>
      <c r="AK274" s="148">
        <f t="shared" si="65"/>
        <v>0</v>
      </c>
      <c r="AL274" s="148">
        <f t="shared" si="65"/>
        <v>0</v>
      </c>
      <c r="AM274" s="148">
        <f t="shared" si="65"/>
        <v>0</v>
      </c>
      <c r="AN274" s="377"/>
    </row>
    <row r="275" spans="1:40" ht="20.25" customHeight="1" thickBot="1">
      <c r="A275" s="287"/>
      <c r="B275" s="320"/>
      <c r="C275" s="382"/>
      <c r="D275" s="334"/>
      <c r="E275" s="355"/>
      <c r="F275" s="226">
        <f>F269+F272</f>
        <v>200000</v>
      </c>
      <c r="G275" s="150" t="s">
        <v>118</v>
      </c>
      <c r="H275" s="151">
        <f aca="true" t="shared" si="66" ref="H275:AM275">H269+H271+H273</f>
        <v>0</v>
      </c>
      <c r="I275" s="228">
        <f t="shared" si="66"/>
        <v>0</v>
      </c>
      <c r="J275" s="153">
        <f t="shared" si="66"/>
        <v>100000</v>
      </c>
      <c r="K275" s="153">
        <f t="shared" si="66"/>
        <v>100000</v>
      </c>
      <c r="L275" s="153">
        <f t="shared" si="66"/>
        <v>0</v>
      </c>
      <c r="M275" s="153">
        <f t="shared" si="66"/>
        <v>0</v>
      </c>
      <c r="N275" s="153">
        <f t="shared" si="66"/>
        <v>0</v>
      </c>
      <c r="O275" s="153">
        <f t="shared" si="66"/>
        <v>0</v>
      </c>
      <c r="P275" s="153">
        <f t="shared" si="66"/>
        <v>0</v>
      </c>
      <c r="Q275" s="153">
        <f t="shared" si="66"/>
        <v>0</v>
      </c>
      <c r="R275" s="153">
        <f t="shared" si="66"/>
        <v>0</v>
      </c>
      <c r="S275" s="153">
        <f t="shared" si="66"/>
        <v>0</v>
      </c>
      <c r="T275" s="153">
        <f t="shared" si="66"/>
        <v>0</v>
      </c>
      <c r="U275" s="153">
        <f t="shared" si="66"/>
        <v>0</v>
      </c>
      <c r="V275" s="153">
        <f t="shared" si="66"/>
        <v>0</v>
      </c>
      <c r="W275" s="153">
        <f t="shared" si="66"/>
        <v>0</v>
      </c>
      <c r="X275" s="153">
        <f t="shared" si="66"/>
        <v>0</v>
      </c>
      <c r="Y275" s="153">
        <f t="shared" si="66"/>
        <v>0</v>
      </c>
      <c r="Z275" s="153">
        <f t="shared" si="66"/>
        <v>0</v>
      </c>
      <c r="AA275" s="153">
        <f t="shared" si="66"/>
        <v>0</v>
      </c>
      <c r="AB275" s="153">
        <f t="shared" si="66"/>
        <v>0</v>
      </c>
      <c r="AC275" s="153">
        <f t="shared" si="66"/>
        <v>0</v>
      </c>
      <c r="AD275" s="153">
        <f t="shared" si="66"/>
        <v>0</v>
      </c>
      <c r="AE275" s="153">
        <f t="shared" si="66"/>
        <v>0</v>
      </c>
      <c r="AF275" s="153">
        <f t="shared" si="66"/>
        <v>0</v>
      </c>
      <c r="AG275" s="153">
        <f t="shared" si="66"/>
        <v>0</v>
      </c>
      <c r="AH275" s="153">
        <f t="shared" si="66"/>
        <v>0</v>
      </c>
      <c r="AI275" s="153">
        <f t="shared" si="66"/>
        <v>0</v>
      </c>
      <c r="AJ275" s="153">
        <f t="shared" si="66"/>
        <v>0</v>
      </c>
      <c r="AK275" s="153">
        <f t="shared" si="66"/>
        <v>0</v>
      </c>
      <c r="AL275" s="153">
        <f t="shared" si="66"/>
        <v>0</v>
      </c>
      <c r="AM275" s="153">
        <f t="shared" si="66"/>
        <v>0</v>
      </c>
      <c r="AN275" s="378"/>
    </row>
    <row r="276" spans="1:40" ht="12.75" customHeight="1">
      <c r="A276" s="286">
        <v>33</v>
      </c>
      <c r="B276" s="397" t="s">
        <v>220</v>
      </c>
      <c r="C276" s="380">
        <v>90004</v>
      </c>
      <c r="D276" s="332" t="s">
        <v>191</v>
      </c>
      <c r="E276" s="354">
        <v>2010</v>
      </c>
      <c r="F276" s="132" t="s">
        <v>106</v>
      </c>
      <c r="G276" s="155" t="s">
        <v>107</v>
      </c>
      <c r="H276" s="134"/>
      <c r="I276" s="187"/>
      <c r="J276" s="158"/>
      <c r="K276" s="158"/>
      <c r="L276" s="158"/>
      <c r="M276" s="158"/>
      <c r="N276" s="158"/>
      <c r="O276" s="158"/>
      <c r="P276" s="158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376">
        <f>SUM(J283:AM283)</f>
        <v>5341383</v>
      </c>
    </row>
    <row r="277" spans="1:40" ht="12.75">
      <c r="A277" s="287"/>
      <c r="B277" s="398"/>
      <c r="C277" s="381"/>
      <c r="D277" s="333"/>
      <c r="E277" s="354"/>
      <c r="F277" s="281">
        <f>SUM(H282:AM282)</f>
        <v>0</v>
      </c>
      <c r="G277" s="139" t="s">
        <v>108</v>
      </c>
      <c r="H277" s="140">
        <v>103334</v>
      </c>
      <c r="I277" s="189">
        <f>1000000+61736-8026-480000-420000-5000</f>
        <v>148710</v>
      </c>
      <c r="J277" s="142">
        <f>2000000+1597786-256403</f>
        <v>3341383</v>
      </c>
      <c r="K277" s="142">
        <v>2000000</v>
      </c>
      <c r="L277" s="142"/>
      <c r="M277" s="142"/>
      <c r="N277" s="142"/>
      <c r="O277" s="142"/>
      <c r="P277" s="142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377"/>
    </row>
    <row r="278" spans="1:40" ht="12.75">
      <c r="A278" s="287"/>
      <c r="B278" s="398"/>
      <c r="C278" s="381"/>
      <c r="D278" s="333"/>
      <c r="E278" s="354"/>
      <c r="F278" s="379"/>
      <c r="G278" s="139" t="s">
        <v>109</v>
      </c>
      <c r="H278" s="140"/>
      <c r="I278" s="189"/>
      <c r="J278" s="142"/>
      <c r="K278" s="142"/>
      <c r="L278" s="142"/>
      <c r="M278" s="142"/>
      <c r="N278" s="142"/>
      <c r="O278" s="142"/>
      <c r="P278" s="142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377"/>
    </row>
    <row r="279" spans="1:40" ht="12.75">
      <c r="A279" s="287"/>
      <c r="B279" s="398"/>
      <c r="C279" s="381"/>
      <c r="D279" s="333"/>
      <c r="E279" s="266"/>
      <c r="F279" s="145" t="s">
        <v>110</v>
      </c>
      <c r="G279" s="139" t="s">
        <v>111</v>
      </c>
      <c r="H279" s="140"/>
      <c r="I279" s="189"/>
      <c r="J279" s="142"/>
      <c r="K279" s="142"/>
      <c r="L279" s="142"/>
      <c r="M279" s="142"/>
      <c r="N279" s="142"/>
      <c r="O279" s="142"/>
      <c r="P279" s="142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377"/>
    </row>
    <row r="280" spans="1:40" ht="12.75">
      <c r="A280" s="287"/>
      <c r="B280" s="398"/>
      <c r="C280" s="381"/>
      <c r="D280" s="333"/>
      <c r="E280" s="336">
        <v>2013</v>
      </c>
      <c r="F280" s="281">
        <f>SUM(H283:AM283)</f>
        <v>5593427</v>
      </c>
      <c r="G280" s="139" t="s">
        <v>115</v>
      </c>
      <c r="H280" s="140"/>
      <c r="I280" s="189"/>
      <c r="J280" s="142"/>
      <c r="K280" s="142"/>
      <c r="L280" s="142"/>
      <c r="M280" s="142"/>
      <c r="N280" s="142"/>
      <c r="O280" s="142"/>
      <c r="P280" s="142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2"/>
      <c r="AG280" s="143"/>
      <c r="AH280" s="143"/>
      <c r="AI280" s="143"/>
      <c r="AJ280" s="143"/>
      <c r="AK280" s="143"/>
      <c r="AL280" s="143"/>
      <c r="AM280" s="143"/>
      <c r="AN280" s="377"/>
    </row>
    <row r="281" spans="1:40" ht="12.75">
      <c r="A281" s="287"/>
      <c r="B281" s="398"/>
      <c r="C281" s="381"/>
      <c r="D281" s="333"/>
      <c r="E281" s="354"/>
      <c r="F281" s="379"/>
      <c r="G281" s="139" t="s">
        <v>116</v>
      </c>
      <c r="H281" s="140"/>
      <c r="I281" s="189"/>
      <c r="J281" s="142"/>
      <c r="K281" s="142"/>
      <c r="L281" s="142"/>
      <c r="M281" s="142"/>
      <c r="N281" s="142"/>
      <c r="O281" s="142"/>
      <c r="P281" s="142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2"/>
      <c r="AG281" s="143"/>
      <c r="AH281" s="143"/>
      <c r="AI281" s="143"/>
      <c r="AJ281" s="143"/>
      <c r="AK281" s="143"/>
      <c r="AL281" s="143"/>
      <c r="AM281" s="143"/>
      <c r="AN281" s="377"/>
    </row>
    <row r="282" spans="1:40" ht="12.75">
      <c r="A282" s="287"/>
      <c r="B282" s="398"/>
      <c r="C282" s="381"/>
      <c r="D282" s="333"/>
      <c r="E282" s="354"/>
      <c r="F282" s="145" t="s">
        <v>114</v>
      </c>
      <c r="G282" s="139" t="s">
        <v>117</v>
      </c>
      <c r="H282" s="146">
        <f aca="true" t="shared" si="67" ref="H282:AM282">H276+H278+H280</f>
        <v>0</v>
      </c>
      <c r="I282" s="191">
        <f t="shared" si="67"/>
        <v>0</v>
      </c>
      <c r="J282" s="148">
        <f t="shared" si="67"/>
        <v>0</v>
      </c>
      <c r="K282" s="148">
        <f t="shared" si="67"/>
        <v>0</v>
      </c>
      <c r="L282" s="148">
        <f t="shared" si="67"/>
        <v>0</v>
      </c>
      <c r="M282" s="148">
        <f t="shared" si="67"/>
        <v>0</v>
      </c>
      <c r="N282" s="148">
        <f t="shared" si="67"/>
        <v>0</v>
      </c>
      <c r="O282" s="148">
        <f t="shared" si="67"/>
        <v>0</v>
      </c>
      <c r="P282" s="148">
        <f t="shared" si="67"/>
        <v>0</v>
      </c>
      <c r="Q282" s="148">
        <f t="shared" si="67"/>
        <v>0</v>
      </c>
      <c r="R282" s="148">
        <f t="shared" si="67"/>
        <v>0</v>
      </c>
      <c r="S282" s="148">
        <f t="shared" si="67"/>
        <v>0</v>
      </c>
      <c r="T282" s="148">
        <f t="shared" si="67"/>
        <v>0</v>
      </c>
      <c r="U282" s="148">
        <f t="shared" si="67"/>
        <v>0</v>
      </c>
      <c r="V282" s="148">
        <f t="shared" si="67"/>
        <v>0</v>
      </c>
      <c r="W282" s="148">
        <f t="shared" si="67"/>
        <v>0</v>
      </c>
      <c r="X282" s="148">
        <f t="shared" si="67"/>
        <v>0</v>
      </c>
      <c r="Y282" s="148">
        <f t="shared" si="67"/>
        <v>0</v>
      </c>
      <c r="Z282" s="148">
        <f t="shared" si="67"/>
        <v>0</v>
      </c>
      <c r="AA282" s="148">
        <f t="shared" si="67"/>
        <v>0</v>
      </c>
      <c r="AB282" s="148">
        <f t="shared" si="67"/>
        <v>0</v>
      </c>
      <c r="AC282" s="148">
        <f t="shared" si="67"/>
        <v>0</v>
      </c>
      <c r="AD282" s="148">
        <f t="shared" si="67"/>
        <v>0</v>
      </c>
      <c r="AE282" s="148">
        <f t="shared" si="67"/>
        <v>0</v>
      </c>
      <c r="AF282" s="148">
        <f t="shared" si="67"/>
        <v>0</v>
      </c>
      <c r="AG282" s="148">
        <f t="shared" si="67"/>
        <v>0</v>
      </c>
      <c r="AH282" s="148">
        <f t="shared" si="67"/>
        <v>0</v>
      </c>
      <c r="AI282" s="148">
        <f t="shared" si="67"/>
        <v>0</v>
      </c>
      <c r="AJ282" s="148">
        <f t="shared" si="67"/>
        <v>0</v>
      </c>
      <c r="AK282" s="148">
        <f t="shared" si="67"/>
        <v>0</v>
      </c>
      <c r="AL282" s="148">
        <f t="shared" si="67"/>
        <v>0</v>
      </c>
      <c r="AM282" s="148">
        <f t="shared" si="67"/>
        <v>0</v>
      </c>
      <c r="AN282" s="377"/>
    </row>
    <row r="283" spans="1:40" ht="18.75" customHeight="1" thickBot="1">
      <c r="A283" s="287"/>
      <c r="B283" s="399"/>
      <c r="C283" s="382"/>
      <c r="D283" s="333"/>
      <c r="E283" s="355"/>
      <c r="F283" s="226">
        <f>F277+F280</f>
        <v>5593427</v>
      </c>
      <c r="G283" s="150" t="s">
        <v>118</v>
      </c>
      <c r="H283" s="151">
        <f aca="true" t="shared" si="68" ref="H283:AM283">H277+H279+H281</f>
        <v>103334</v>
      </c>
      <c r="I283" s="228">
        <f t="shared" si="68"/>
        <v>148710</v>
      </c>
      <c r="J283" s="153">
        <f t="shared" si="68"/>
        <v>3341383</v>
      </c>
      <c r="K283" s="153">
        <f t="shared" si="68"/>
        <v>2000000</v>
      </c>
      <c r="L283" s="153">
        <f t="shared" si="68"/>
        <v>0</v>
      </c>
      <c r="M283" s="153">
        <f t="shared" si="68"/>
        <v>0</v>
      </c>
      <c r="N283" s="153">
        <f t="shared" si="68"/>
        <v>0</v>
      </c>
      <c r="O283" s="153">
        <f t="shared" si="68"/>
        <v>0</v>
      </c>
      <c r="P283" s="153">
        <f t="shared" si="68"/>
        <v>0</v>
      </c>
      <c r="Q283" s="153">
        <f t="shared" si="68"/>
        <v>0</v>
      </c>
      <c r="R283" s="153">
        <f t="shared" si="68"/>
        <v>0</v>
      </c>
      <c r="S283" s="153">
        <f t="shared" si="68"/>
        <v>0</v>
      </c>
      <c r="T283" s="153">
        <f t="shared" si="68"/>
        <v>0</v>
      </c>
      <c r="U283" s="153">
        <f t="shared" si="68"/>
        <v>0</v>
      </c>
      <c r="V283" s="153">
        <f t="shared" si="68"/>
        <v>0</v>
      </c>
      <c r="W283" s="153">
        <f t="shared" si="68"/>
        <v>0</v>
      </c>
      <c r="X283" s="153">
        <f t="shared" si="68"/>
        <v>0</v>
      </c>
      <c r="Y283" s="153">
        <f t="shared" si="68"/>
        <v>0</v>
      </c>
      <c r="Z283" s="153">
        <f t="shared" si="68"/>
        <v>0</v>
      </c>
      <c r="AA283" s="153">
        <f t="shared" si="68"/>
        <v>0</v>
      </c>
      <c r="AB283" s="153">
        <f t="shared" si="68"/>
        <v>0</v>
      </c>
      <c r="AC283" s="153">
        <f t="shared" si="68"/>
        <v>0</v>
      </c>
      <c r="AD283" s="153">
        <f t="shared" si="68"/>
        <v>0</v>
      </c>
      <c r="AE283" s="153">
        <f t="shared" si="68"/>
        <v>0</v>
      </c>
      <c r="AF283" s="153">
        <f t="shared" si="68"/>
        <v>0</v>
      </c>
      <c r="AG283" s="166">
        <f t="shared" si="68"/>
        <v>0</v>
      </c>
      <c r="AH283" s="166">
        <f t="shared" si="68"/>
        <v>0</v>
      </c>
      <c r="AI283" s="166">
        <f t="shared" si="68"/>
        <v>0</v>
      </c>
      <c r="AJ283" s="166">
        <f t="shared" si="68"/>
        <v>0</v>
      </c>
      <c r="AK283" s="166">
        <f t="shared" si="68"/>
        <v>0</v>
      </c>
      <c r="AL283" s="166">
        <f t="shared" si="68"/>
        <v>0</v>
      </c>
      <c r="AM283" s="166">
        <f t="shared" si="68"/>
        <v>0</v>
      </c>
      <c r="AN283" s="378"/>
    </row>
    <row r="284" spans="1:40" ht="12.75" customHeight="1">
      <c r="A284" s="286">
        <v>34</v>
      </c>
      <c r="B284" s="319" t="s">
        <v>205</v>
      </c>
      <c r="C284" s="381">
        <v>90004</v>
      </c>
      <c r="D284" s="332" t="s">
        <v>191</v>
      </c>
      <c r="E284" s="354">
        <v>2011</v>
      </c>
      <c r="F284" s="144" t="s">
        <v>106</v>
      </c>
      <c r="G284" s="155" t="s">
        <v>107</v>
      </c>
      <c r="H284" s="156"/>
      <c r="I284" s="187"/>
      <c r="J284" s="158"/>
      <c r="K284" s="158"/>
      <c r="L284" s="158"/>
      <c r="M284" s="158"/>
      <c r="N284" s="158"/>
      <c r="O284" s="158"/>
      <c r="P284" s="158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376">
        <f>SUM(J291:AM291)</f>
        <v>100000</v>
      </c>
    </row>
    <row r="285" spans="1:40" ht="12.75">
      <c r="A285" s="287"/>
      <c r="B285" s="319"/>
      <c r="C285" s="381"/>
      <c r="D285" s="333"/>
      <c r="E285" s="354"/>
      <c r="F285" s="281">
        <f>SUM(H290:AM290)</f>
        <v>0</v>
      </c>
      <c r="G285" s="139" t="s">
        <v>108</v>
      </c>
      <c r="H285" s="140"/>
      <c r="I285" s="189">
        <v>50000</v>
      </c>
      <c r="J285" s="142">
        <v>50000</v>
      </c>
      <c r="K285" s="142">
        <v>50000</v>
      </c>
      <c r="L285" s="142"/>
      <c r="M285" s="142"/>
      <c r="N285" s="142"/>
      <c r="O285" s="142"/>
      <c r="P285" s="142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377"/>
    </row>
    <row r="286" spans="1:40" ht="12.75">
      <c r="A286" s="287"/>
      <c r="B286" s="319"/>
      <c r="C286" s="381"/>
      <c r="D286" s="333"/>
      <c r="E286" s="354"/>
      <c r="F286" s="379"/>
      <c r="G286" s="139" t="s">
        <v>109</v>
      </c>
      <c r="H286" s="140"/>
      <c r="I286" s="189"/>
      <c r="J286" s="142"/>
      <c r="K286" s="142"/>
      <c r="L286" s="142"/>
      <c r="M286" s="142"/>
      <c r="N286" s="142"/>
      <c r="O286" s="142"/>
      <c r="P286" s="142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377"/>
    </row>
    <row r="287" spans="1:40" ht="12.75">
      <c r="A287" s="287"/>
      <c r="B287" s="319"/>
      <c r="C287" s="381"/>
      <c r="D287" s="333"/>
      <c r="E287" s="266"/>
      <c r="F287" s="145" t="s">
        <v>110</v>
      </c>
      <c r="G287" s="139" t="s">
        <v>111</v>
      </c>
      <c r="H287" s="140"/>
      <c r="I287" s="189"/>
      <c r="J287" s="142"/>
      <c r="K287" s="142"/>
      <c r="L287" s="142"/>
      <c r="M287" s="142"/>
      <c r="N287" s="142"/>
      <c r="O287" s="142"/>
      <c r="P287" s="142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377"/>
    </row>
    <row r="288" spans="1:40" ht="12.75">
      <c r="A288" s="287"/>
      <c r="B288" s="319"/>
      <c r="C288" s="381"/>
      <c r="D288" s="333"/>
      <c r="E288" s="336">
        <v>2013</v>
      </c>
      <c r="F288" s="281">
        <f>SUM(H291:AM291)</f>
        <v>150000</v>
      </c>
      <c r="G288" s="139" t="s">
        <v>115</v>
      </c>
      <c r="H288" s="140"/>
      <c r="I288" s="189"/>
      <c r="J288" s="142"/>
      <c r="K288" s="142"/>
      <c r="L288" s="142"/>
      <c r="M288" s="142"/>
      <c r="N288" s="142"/>
      <c r="O288" s="142"/>
      <c r="P288" s="142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377"/>
    </row>
    <row r="289" spans="1:40" ht="12.75">
      <c r="A289" s="287"/>
      <c r="B289" s="319"/>
      <c r="C289" s="381"/>
      <c r="D289" s="333"/>
      <c r="E289" s="354"/>
      <c r="F289" s="379"/>
      <c r="G289" s="139" t="s">
        <v>116</v>
      </c>
      <c r="H289" s="140"/>
      <c r="I289" s="189"/>
      <c r="J289" s="142"/>
      <c r="K289" s="142"/>
      <c r="L289" s="142"/>
      <c r="M289" s="142"/>
      <c r="N289" s="142"/>
      <c r="O289" s="142"/>
      <c r="P289" s="142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377"/>
    </row>
    <row r="290" spans="1:40" ht="12.75">
      <c r="A290" s="287"/>
      <c r="B290" s="319"/>
      <c r="C290" s="381"/>
      <c r="D290" s="333"/>
      <c r="E290" s="354"/>
      <c r="F290" s="145" t="s">
        <v>114</v>
      </c>
      <c r="G290" s="139" t="s">
        <v>117</v>
      </c>
      <c r="H290" s="146">
        <f aca="true" t="shared" si="69" ref="H290:AM290">H284+H286+H288</f>
        <v>0</v>
      </c>
      <c r="I290" s="191">
        <f t="shared" si="69"/>
        <v>0</v>
      </c>
      <c r="J290" s="148">
        <f t="shared" si="69"/>
        <v>0</v>
      </c>
      <c r="K290" s="148">
        <f t="shared" si="69"/>
        <v>0</v>
      </c>
      <c r="L290" s="148">
        <f t="shared" si="69"/>
        <v>0</v>
      </c>
      <c r="M290" s="148">
        <f t="shared" si="69"/>
        <v>0</v>
      </c>
      <c r="N290" s="148">
        <f t="shared" si="69"/>
        <v>0</v>
      </c>
      <c r="O290" s="148">
        <f t="shared" si="69"/>
        <v>0</v>
      </c>
      <c r="P290" s="148">
        <f t="shared" si="69"/>
        <v>0</v>
      </c>
      <c r="Q290" s="148">
        <f t="shared" si="69"/>
        <v>0</v>
      </c>
      <c r="R290" s="148">
        <f t="shared" si="69"/>
        <v>0</v>
      </c>
      <c r="S290" s="148">
        <f t="shared" si="69"/>
        <v>0</v>
      </c>
      <c r="T290" s="148">
        <f t="shared" si="69"/>
        <v>0</v>
      </c>
      <c r="U290" s="148">
        <f t="shared" si="69"/>
        <v>0</v>
      </c>
      <c r="V290" s="148">
        <f t="shared" si="69"/>
        <v>0</v>
      </c>
      <c r="W290" s="148">
        <f t="shared" si="69"/>
        <v>0</v>
      </c>
      <c r="X290" s="148">
        <f t="shared" si="69"/>
        <v>0</v>
      </c>
      <c r="Y290" s="148">
        <f t="shared" si="69"/>
        <v>0</v>
      </c>
      <c r="Z290" s="148">
        <f t="shared" si="69"/>
        <v>0</v>
      </c>
      <c r="AA290" s="148">
        <f t="shared" si="69"/>
        <v>0</v>
      </c>
      <c r="AB290" s="148">
        <f t="shared" si="69"/>
        <v>0</v>
      </c>
      <c r="AC290" s="148">
        <f t="shared" si="69"/>
        <v>0</v>
      </c>
      <c r="AD290" s="148">
        <f t="shared" si="69"/>
        <v>0</v>
      </c>
      <c r="AE290" s="148">
        <f t="shared" si="69"/>
        <v>0</v>
      </c>
      <c r="AF290" s="148">
        <f t="shared" si="69"/>
        <v>0</v>
      </c>
      <c r="AG290" s="148">
        <f t="shared" si="69"/>
        <v>0</v>
      </c>
      <c r="AH290" s="148">
        <f t="shared" si="69"/>
        <v>0</v>
      </c>
      <c r="AI290" s="148">
        <f t="shared" si="69"/>
        <v>0</v>
      </c>
      <c r="AJ290" s="148">
        <f t="shared" si="69"/>
        <v>0</v>
      </c>
      <c r="AK290" s="148">
        <f t="shared" si="69"/>
        <v>0</v>
      </c>
      <c r="AL290" s="148">
        <f t="shared" si="69"/>
        <v>0</v>
      </c>
      <c r="AM290" s="148">
        <f t="shared" si="69"/>
        <v>0</v>
      </c>
      <c r="AN290" s="377"/>
    </row>
    <row r="291" spans="1:40" ht="13.5" thickBot="1">
      <c r="A291" s="318"/>
      <c r="B291" s="320"/>
      <c r="C291" s="382"/>
      <c r="D291" s="334"/>
      <c r="E291" s="355"/>
      <c r="F291" s="226">
        <f>F285+F288</f>
        <v>150000</v>
      </c>
      <c r="G291" s="150" t="s">
        <v>118</v>
      </c>
      <c r="H291" s="151">
        <f aca="true" t="shared" si="70" ref="H291:AM291">H285+H287+H289</f>
        <v>0</v>
      </c>
      <c r="I291" s="228">
        <f t="shared" si="70"/>
        <v>50000</v>
      </c>
      <c r="J291" s="153">
        <f t="shared" si="70"/>
        <v>50000</v>
      </c>
      <c r="K291" s="153">
        <f t="shared" si="70"/>
        <v>50000</v>
      </c>
      <c r="L291" s="153">
        <f t="shared" si="70"/>
        <v>0</v>
      </c>
      <c r="M291" s="153">
        <f t="shared" si="70"/>
        <v>0</v>
      </c>
      <c r="N291" s="153">
        <f t="shared" si="70"/>
        <v>0</v>
      </c>
      <c r="O291" s="153">
        <f t="shared" si="70"/>
        <v>0</v>
      </c>
      <c r="P291" s="153">
        <f t="shared" si="70"/>
        <v>0</v>
      </c>
      <c r="Q291" s="153">
        <f t="shared" si="70"/>
        <v>0</v>
      </c>
      <c r="R291" s="153">
        <f t="shared" si="70"/>
        <v>0</v>
      </c>
      <c r="S291" s="153">
        <f t="shared" si="70"/>
        <v>0</v>
      </c>
      <c r="T291" s="153">
        <f t="shared" si="70"/>
        <v>0</v>
      </c>
      <c r="U291" s="153">
        <f t="shared" si="70"/>
        <v>0</v>
      </c>
      <c r="V291" s="153">
        <f t="shared" si="70"/>
        <v>0</v>
      </c>
      <c r="W291" s="153">
        <f t="shared" si="70"/>
        <v>0</v>
      </c>
      <c r="X291" s="153">
        <f t="shared" si="70"/>
        <v>0</v>
      </c>
      <c r="Y291" s="153">
        <f t="shared" si="70"/>
        <v>0</v>
      </c>
      <c r="Z291" s="153">
        <f t="shared" si="70"/>
        <v>0</v>
      </c>
      <c r="AA291" s="153">
        <f t="shared" si="70"/>
        <v>0</v>
      </c>
      <c r="AB291" s="153">
        <f t="shared" si="70"/>
        <v>0</v>
      </c>
      <c r="AC291" s="153">
        <f t="shared" si="70"/>
        <v>0</v>
      </c>
      <c r="AD291" s="153">
        <f t="shared" si="70"/>
        <v>0</v>
      </c>
      <c r="AE291" s="153">
        <f t="shared" si="70"/>
        <v>0</v>
      </c>
      <c r="AF291" s="153">
        <f t="shared" si="70"/>
        <v>0</v>
      </c>
      <c r="AG291" s="153">
        <f t="shared" si="70"/>
        <v>0</v>
      </c>
      <c r="AH291" s="153">
        <f t="shared" si="70"/>
        <v>0</v>
      </c>
      <c r="AI291" s="153">
        <f t="shared" si="70"/>
        <v>0</v>
      </c>
      <c r="AJ291" s="153">
        <f t="shared" si="70"/>
        <v>0</v>
      </c>
      <c r="AK291" s="153">
        <f t="shared" si="70"/>
        <v>0</v>
      </c>
      <c r="AL291" s="153">
        <f t="shared" si="70"/>
        <v>0</v>
      </c>
      <c r="AM291" s="153">
        <f t="shared" si="70"/>
        <v>0</v>
      </c>
      <c r="AN291" s="378"/>
    </row>
    <row r="292" spans="1:40" ht="12.75" customHeight="1">
      <c r="A292" s="286">
        <v>35</v>
      </c>
      <c r="B292" s="323" t="s">
        <v>221</v>
      </c>
      <c r="C292" s="380">
        <v>90015</v>
      </c>
      <c r="D292" s="332" t="s">
        <v>191</v>
      </c>
      <c r="E292" s="356">
        <v>2011</v>
      </c>
      <c r="F292" s="132" t="s">
        <v>106</v>
      </c>
      <c r="G292" s="133" t="s">
        <v>107</v>
      </c>
      <c r="H292" s="134"/>
      <c r="I292" s="227"/>
      <c r="J292" s="136"/>
      <c r="K292" s="136"/>
      <c r="L292" s="136"/>
      <c r="M292" s="136"/>
      <c r="N292" s="136"/>
      <c r="O292" s="136"/>
      <c r="P292" s="136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376">
        <f>SUM(J299:AM299)</f>
        <v>1000000</v>
      </c>
    </row>
    <row r="293" spans="1:40" ht="12.75">
      <c r="A293" s="287"/>
      <c r="B293" s="319"/>
      <c r="C293" s="381"/>
      <c r="D293" s="333"/>
      <c r="E293" s="354"/>
      <c r="F293" s="281">
        <f>SUM(H298:AM298)</f>
        <v>0</v>
      </c>
      <c r="G293" s="139" t="s">
        <v>108</v>
      </c>
      <c r="H293" s="140"/>
      <c r="I293" s="189">
        <f>500000+200000</f>
        <v>700000</v>
      </c>
      <c r="J293" s="142">
        <v>500000</v>
      </c>
      <c r="K293" s="142">
        <v>500000</v>
      </c>
      <c r="L293" s="142"/>
      <c r="M293" s="142"/>
      <c r="N293" s="142"/>
      <c r="O293" s="142"/>
      <c r="P293" s="142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377"/>
    </row>
    <row r="294" spans="1:40" ht="12.75">
      <c r="A294" s="287"/>
      <c r="B294" s="319"/>
      <c r="C294" s="381"/>
      <c r="D294" s="333"/>
      <c r="E294" s="354"/>
      <c r="F294" s="379"/>
      <c r="G294" s="139" t="s">
        <v>109</v>
      </c>
      <c r="H294" s="140"/>
      <c r="I294" s="189"/>
      <c r="J294" s="142"/>
      <c r="K294" s="142"/>
      <c r="L294" s="142"/>
      <c r="M294" s="142"/>
      <c r="N294" s="142"/>
      <c r="O294" s="142"/>
      <c r="P294" s="142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377"/>
    </row>
    <row r="295" spans="1:40" ht="12.75">
      <c r="A295" s="287"/>
      <c r="B295" s="319"/>
      <c r="C295" s="381"/>
      <c r="D295" s="333"/>
      <c r="E295" s="266"/>
      <c r="F295" s="145" t="s">
        <v>110</v>
      </c>
      <c r="G295" s="139" t="s">
        <v>111</v>
      </c>
      <c r="H295" s="140"/>
      <c r="I295" s="189"/>
      <c r="J295" s="142"/>
      <c r="K295" s="142"/>
      <c r="L295" s="142"/>
      <c r="M295" s="142"/>
      <c r="N295" s="142"/>
      <c r="O295" s="142"/>
      <c r="P295" s="142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377"/>
    </row>
    <row r="296" spans="1:40" ht="12.75">
      <c r="A296" s="287"/>
      <c r="B296" s="319"/>
      <c r="C296" s="381"/>
      <c r="D296" s="333"/>
      <c r="E296" s="336">
        <v>2013</v>
      </c>
      <c r="F296" s="281">
        <f>SUM(H299:AM299)</f>
        <v>1700000</v>
      </c>
      <c r="G296" s="139" t="s">
        <v>115</v>
      </c>
      <c r="H296" s="140"/>
      <c r="I296" s="189"/>
      <c r="J296" s="142"/>
      <c r="K296" s="142"/>
      <c r="L296" s="142"/>
      <c r="M296" s="142"/>
      <c r="N296" s="142"/>
      <c r="O296" s="142"/>
      <c r="P296" s="142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377"/>
    </row>
    <row r="297" spans="1:40" ht="12.75">
      <c r="A297" s="287"/>
      <c r="B297" s="319"/>
      <c r="C297" s="381"/>
      <c r="D297" s="333"/>
      <c r="E297" s="354"/>
      <c r="F297" s="379"/>
      <c r="G297" s="139" t="s">
        <v>116</v>
      </c>
      <c r="H297" s="140"/>
      <c r="I297" s="189"/>
      <c r="J297" s="142"/>
      <c r="K297" s="142"/>
      <c r="L297" s="142"/>
      <c r="M297" s="142"/>
      <c r="N297" s="142"/>
      <c r="O297" s="142"/>
      <c r="P297" s="142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377"/>
    </row>
    <row r="298" spans="1:40" ht="12.75">
      <c r="A298" s="287"/>
      <c r="B298" s="319"/>
      <c r="C298" s="381"/>
      <c r="D298" s="333"/>
      <c r="E298" s="354"/>
      <c r="F298" s="145" t="s">
        <v>114</v>
      </c>
      <c r="G298" s="139" t="s">
        <v>117</v>
      </c>
      <c r="H298" s="146">
        <f aca="true" t="shared" si="71" ref="H298:AM298">H292+H294+H296</f>
        <v>0</v>
      </c>
      <c r="I298" s="191">
        <f t="shared" si="71"/>
        <v>0</v>
      </c>
      <c r="J298" s="148">
        <f t="shared" si="71"/>
        <v>0</v>
      </c>
      <c r="K298" s="148">
        <f t="shared" si="71"/>
        <v>0</v>
      </c>
      <c r="L298" s="148">
        <f t="shared" si="71"/>
        <v>0</v>
      </c>
      <c r="M298" s="148">
        <f t="shared" si="71"/>
        <v>0</v>
      </c>
      <c r="N298" s="148">
        <f t="shared" si="71"/>
        <v>0</v>
      </c>
      <c r="O298" s="148">
        <f t="shared" si="71"/>
        <v>0</v>
      </c>
      <c r="P298" s="148">
        <f t="shared" si="71"/>
        <v>0</v>
      </c>
      <c r="Q298" s="148">
        <f t="shared" si="71"/>
        <v>0</v>
      </c>
      <c r="R298" s="148">
        <f t="shared" si="71"/>
        <v>0</v>
      </c>
      <c r="S298" s="148">
        <f t="shared" si="71"/>
        <v>0</v>
      </c>
      <c r="T298" s="148">
        <f t="shared" si="71"/>
        <v>0</v>
      </c>
      <c r="U298" s="148">
        <f t="shared" si="71"/>
        <v>0</v>
      </c>
      <c r="V298" s="148">
        <f t="shared" si="71"/>
        <v>0</v>
      </c>
      <c r="W298" s="148">
        <f t="shared" si="71"/>
        <v>0</v>
      </c>
      <c r="X298" s="148">
        <f t="shared" si="71"/>
        <v>0</v>
      </c>
      <c r="Y298" s="148">
        <f t="shared" si="71"/>
        <v>0</v>
      </c>
      <c r="Z298" s="148">
        <f t="shared" si="71"/>
        <v>0</v>
      </c>
      <c r="AA298" s="148">
        <f t="shared" si="71"/>
        <v>0</v>
      </c>
      <c r="AB298" s="148">
        <f t="shared" si="71"/>
        <v>0</v>
      </c>
      <c r="AC298" s="148">
        <f t="shared" si="71"/>
        <v>0</v>
      </c>
      <c r="AD298" s="148">
        <f t="shared" si="71"/>
        <v>0</v>
      </c>
      <c r="AE298" s="148">
        <f t="shared" si="71"/>
        <v>0</v>
      </c>
      <c r="AF298" s="148">
        <f t="shared" si="71"/>
        <v>0</v>
      </c>
      <c r="AG298" s="148">
        <f t="shared" si="71"/>
        <v>0</v>
      </c>
      <c r="AH298" s="148">
        <f t="shared" si="71"/>
        <v>0</v>
      </c>
      <c r="AI298" s="148">
        <f t="shared" si="71"/>
        <v>0</v>
      </c>
      <c r="AJ298" s="148">
        <f t="shared" si="71"/>
        <v>0</v>
      </c>
      <c r="AK298" s="148">
        <f t="shared" si="71"/>
        <v>0</v>
      </c>
      <c r="AL298" s="148">
        <f t="shared" si="71"/>
        <v>0</v>
      </c>
      <c r="AM298" s="148">
        <f t="shared" si="71"/>
        <v>0</v>
      </c>
      <c r="AN298" s="377"/>
    </row>
    <row r="299" spans="1:40" ht="13.5" thickBot="1">
      <c r="A299" s="287"/>
      <c r="B299" s="320"/>
      <c r="C299" s="382"/>
      <c r="D299" s="333"/>
      <c r="E299" s="355"/>
      <c r="F299" s="226">
        <f>F293+F296</f>
        <v>1700000</v>
      </c>
      <c r="G299" s="150" t="s">
        <v>118</v>
      </c>
      <c r="H299" s="151">
        <f aca="true" t="shared" si="72" ref="H299:AM299">H293+H295+H297</f>
        <v>0</v>
      </c>
      <c r="I299" s="228">
        <f t="shared" si="72"/>
        <v>700000</v>
      </c>
      <c r="J299" s="153">
        <f t="shared" si="72"/>
        <v>500000</v>
      </c>
      <c r="K299" s="153">
        <f t="shared" si="72"/>
        <v>500000</v>
      </c>
      <c r="L299" s="153">
        <f t="shared" si="72"/>
        <v>0</v>
      </c>
      <c r="M299" s="153">
        <f t="shared" si="72"/>
        <v>0</v>
      </c>
      <c r="N299" s="153">
        <f t="shared" si="72"/>
        <v>0</v>
      </c>
      <c r="O299" s="153">
        <f t="shared" si="72"/>
        <v>0</v>
      </c>
      <c r="P299" s="153">
        <f t="shared" si="72"/>
        <v>0</v>
      </c>
      <c r="Q299" s="153">
        <f t="shared" si="72"/>
        <v>0</v>
      </c>
      <c r="R299" s="153">
        <f t="shared" si="72"/>
        <v>0</v>
      </c>
      <c r="S299" s="153">
        <f t="shared" si="72"/>
        <v>0</v>
      </c>
      <c r="T299" s="153">
        <f t="shared" si="72"/>
        <v>0</v>
      </c>
      <c r="U299" s="153">
        <f t="shared" si="72"/>
        <v>0</v>
      </c>
      <c r="V299" s="153">
        <f t="shared" si="72"/>
        <v>0</v>
      </c>
      <c r="W299" s="153">
        <f t="shared" si="72"/>
        <v>0</v>
      </c>
      <c r="X299" s="153">
        <f t="shared" si="72"/>
        <v>0</v>
      </c>
      <c r="Y299" s="153">
        <f t="shared" si="72"/>
        <v>0</v>
      </c>
      <c r="Z299" s="153">
        <f t="shared" si="72"/>
        <v>0</v>
      </c>
      <c r="AA299" s="153">
        <f t="shared" si="72"/>
        <v>0</v>
      </c>
      <c r="AB299" s="153">
        <f t="shared" si="72"/>
        <v>0</v>
      </c>
      <c r="AC299" s="153">
        <f t="shared" si="72"/>
        <v>0</v>
      </c>
      <c r="AD299" s="153">
        <f t="shared" si="72"/>
        <v>0</v>
      </c>
      <c r="AE299" s="153">
        <f t="shared" si="72"/>
        <v>0</v>
      </c>
      <c r="AF299" s="153">
        <f t="shared" si="72"/>
        <v>0</v>
      </c>
      <c r="AG299" s="153">
        <f t="shared" si="72"/>
        <v>0</v>
      </c>
      <c r="AH299" s="153">
        <f t="shared" si="72"/>
        <v>0</v>
      </c>
      <c r="AI299" s="153">
        <f t="shared" si="72"/>
        <v>0</v>
      </c>
      <c r="AJ299" s="153">
        <f t="shared" si="72"/>
        <v>0</v>
      </c>
      <c r="AK299" s="153">
        <f t="shared" si="72"/>
        <v>0</v>
      </c>
      <c r="AL299" s="153">
        <f t="shared" si="72"/>
        <v>0</v>
      </c>
      <c r="AM299" s="153">
        <f t="shared" si="72"/>
        <v>0</v>
      </c>
      <c r="AN299" s="378"/>
    </row>
    <row r="300" spans="1:40" ht="12.75" customHeight="1">
      <c r="A300" s="286">
        <v>36</v>
      </c>
      <c r="B300" s="323" t="s">
        <v>222</v>
      </c>
      <c r="C300" s="380">
        <v>90015</v>
      </c>
      <c r="D300" s="332" t="s">
        <v>191</v>
      </c>
      <c r="E300" s="356">
        <v>2011</v>
      </c>
      <c r="F300" s="132" t="s">
        <v>106</v>
      </c>
      <c r="G300" s="133" t="s">
        <v>192</v>
      </c>
      <c r="H300" s="134"/>
      <c r="I300" s="227"/>
      <c r="J300" s="136"/>
      <c r="K300" s="136"/>
      <c r="L300" s="136"/>
      <c r="M300" s="136"/>
      <c r="N300" s="136"/>
      <c r="O300" s="136"/>
      <c r="P300" s="136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376">
        <f>SUM(J307:AM307)</f>
        <v>100000</v>
      </c>
    </row>
    <row r="301" spans="1:40" ht="12.75">
      <c r="A301" s="287"/>
      <c r="B301" s="319"/>
      <c r="C301" s="381"/>
      <c r="D301" s="333"/>
      <c r="E301" s="354"/>
      <c r="F301" s="281">
        <f>SUM(H306:AM306)</f>
        <v>0</v>
      </c>
      <c r="G301" s="139" t="s">
        <v>193</v>
      </c>
      <c r="H301" s="140"/>
      <c r="I301" s="189">
        <f>50000-50000</f>
        <v>0</v>
      </c>
      <c r="J301" s="142">
        <v>50000</v>
      </c>
      <c r="K301" s="142">
        <v>50000</v>
      </c>
      <c r="L301" s="142"/>
      <c r="M301" s="142"/>
      <c r="N301" s="142"/>
      <c r="O301" s="142"/>
      <c r="P301" s="142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377"/>
    </row>
    <row r="302" spans="1:40" ht="12.75">
      <c r="A302" s="287"/>
      <c r="B302" s="319"/>
      <c r="C302" s="381"/>
      <c r="D302" s="333"/>
      <c r="E302" s="354"/>
      <c r="F302" s="379"/>
      <c r="G302" s="139" t="s">
        <v>109</v>
      </c>
      <c r="H302" s="140"/>
      <c r="I302" s="189"/>
      <c r="J302" s="142"/>
      <c r="K302" s="142"/>
      <c r="L302" s="142"/>
      <c r="M302" s="142"/>
      <c r="N302" s="142"/>
      <c r="O302" s="142"/>
      <c r="P302" s="142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377"/>
    </row>
    <row r="303" spans="1:40" ht="12.75">
      <c r="A303" s="287"/>
      <c r="B303" s="319"/>
      <c r="C303" s="381"/>
      <c r="D303" s="333"/>
      <c r="E303" s="266"/>
      <c r="F303" s="145" t="s">
        <v>110</v>
      </c>
      <c r="G303" s="139" t="s">
        <v>111</v>
      </c>
      <c r="H303" s="140"/>
      <c r="I303" s="189"/>
      <c r="J303" s="142"/>
      <c r="K303" s="142"/>
      <c r="L303" s="142"/>
      <c r="M303" s="142"/>
      <c r="N303" s="142"/>
      <c r="O303" s="142"/>
      <c r="P303" s="142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377"/>
    </row>
    <row r="304" spans="1:40" ht="12.75">
      <c r="A304" s="287"/>
      <c r="B304" s="319"/>
      <c r="C304" s="381"/>
      <c r="D304" s="333"/>
      <c r="E304" s="336">
        <v>2013</v>
      </c>
      <c r="F304" s="281">
        <f>SUM(H307:AM307)</f>
        <v>100000</v>
      </c>
      <c r="G304" s="139" t="s">
        <v>115</v>
      </c>
      <c r="H304" s="140"/>
      <c r="I304" s="189"/>
      <c r="J304" s="142"/>
      <c r="K304" s="142"/>
      <c r="L304" s="142"/>
      <c r="M304" s="142"/>
      <c r="N304" s="142"/>
      <c r="O304" s="142"/>
      <c r="P304" s="142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377"/>
    </row>
    <row r="305" spans="1:40" ht="12.75">
      <c r="A305" s="287"/>
      <c r="B305" s="319"/>
      <c r="C305" s="381"/>
      <c r="D305" s="333"/>
      <c r="E305" s="354"/>
      <c r="F305" s="379"/>
      <c r="G305" s="139" t="s">
        <v>116</v>
      </c>
      <c r="H305" s="140"/>
      <c r="I305" s="189"/>
      <c r="J305" s="142"/>
      <c r="K305" s="142"/>
      <c r="L305" s="142"/>
      <c r="M305" s="142"/>
      <c r="N305" s="142"/>
      <c r="O305" s="142"/>
      <c r="P305" s="142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377"/>
    </row>
    <row r="306" spans="1:40" ht="12.75">
      <c r="A306" s="287"/>
      <c r="B306" s="319"/>
      <c r="C306" s="381"/>
      <c r="D306" s="333"/>
      <c r="E306" s="354"/>
      <c r="F306" s="145" t="s">
        <v>114</v>
      </c>
      <c r="G306" s="139" t="s">
        <v>117</v>
      </c>
      <c r="H306" s="146">
        <f aca="true" t="shared" si="73" ref="H306:AM306">H300+H302+H304</f>
        <v>0</v>
      </c>
      <c r="I306" s="191">
        <f t="shared" si="73"/>
        <v>0</v>
      </c>
      <c r="J306" s="148">
        <f t="shared" si="73"/>
        <v>0</v>
      </c>
      <c r="K306" s="148">
        <f t="shared" si="73"/>
        <v>0</v>
      </c>
      <c r="L306" s="148">
        <f t="shared" si="73"/>
        <v>0</v>
      </c>
      <c r="M306" s="148">
        <f t="shared" si="73"/>
        <v>0</v>
      </c>
      <c r="N306" s="148">
        <f t="shared" si="73"/>
        <v>0</v>
      </c>
      <c r="O306" s="148">
        <f t="shared" si="73"/>
        <v>0</v>
      </c>
      <c r="P306" s="148">
        <f t="shared" si="73"/>
        <v>0</v>
      </c>
      <c r="Q306" s="148">
        <f t="shared" si="73"/>
        <v>0</v>
      </c>
      <c r="R306" s="148">
        <f t="shared" si="73"/>
        <v>0</v>
      </c>
      <c r="S306" s="148">
        <f t="shared" si="73"/>
        <v>0</v>
      </c>
      <c r="T306" s="148">
        <f t="shared" si="73"/>
        <v>0</v>
      </c>
      <c r="U306" s="148">
        <f t="shared" si="73"/>
        <v>0</v>
      </c>
      <c r="V306" s="148">
        <f t="shared" si="73"/>
        <v>0</v>
      </c>
      <c r="W306" s="148">
        <f t="shared" si="73"/>
        <v>0</v>
      </c>
      <c r="X306" s="148">
        <f t="shared" si="73"/>
        <v>0</v>
      </c>
      <c r="Y306" s="148">
        <f t="shared" si="73"/>
        <v>0</v>
      </c>
      <c r="Z306" s="148">
        <f t="shared" si="73"/>
        <v>0</v>
      </c>
      <c r="AA306" s="148">
        <f t="shared" si="73"/>
        <v>0</v>
      </c>
      <c r="AB306" s="148">
        <f t="shared" si="73"/>
        <v>0</v>
      </c>
      <c r="AC306" s="148">
        <f t="shared" si="73"/>
        <v>0</v>
      </c>
      <c r="AD306" s="148">
        <f t="shared" si="73"/>
        <v>0</v>
      </c>
      <c r="AE306" s="148">
        <f t="shared" si="73"/>
        <v>0</v>
      </c>
      <c r="AF306" s="148">
        <f t="shared" si="73"/>
        <v>0</v>
      </c>
      <c r="AG306" s="148">
        <f t="shared" si="73"/>
        <v>0</v>
      </c>
      <c r="AH306" s="148">
        <f t="shared" si="73"/>
        <v>0</v>
      </c>
      <c r="AI306" s="148">
        <f t="shared" si="73"/>
        <v>0</v>
      </c>
      <c r="AJ306" s="148">
        <f t="shared" si="73"/>
        <v>0</v>
      </c>
      <c r="AK306" s="148">
        <f t="shared" si="73"/>
        <v>0</v>
      </c>
      <c r="AL306" s="148">
        <f t="shared" si="73"/>
        <v>0</v>
      </c>
      <c r="AM306" s="148">
        <f t="shared" si="73"/>
        <v>0</v>
      </c>
      <c r="AN306" s="377"/>
    </row>
    <row r="307" spans="1:40" ht="13.5" thickBot="1">
      <c r="A307" s="287"/>
      <c r="B307" s="320"/>
      <c r="C307" s="382"/>
      <c r="D307" s="334"/>
      <c r="E307" s="355"/>
      <c r="F307" s="226">
        <f>F301+F304</f>
        <v>100000</v>
      </c>
      <c r="G307" s="150" t="s">
        <v>118</v>
      </c>
      <c r="H307" s="151">
        <f aca="true" t="shared" si="74" ref="H307:AM307">H301+H303+H305</f>
        <v>0</v>
      </c>
      <c r="I307" s="228">
        <f t="shared" si="74"/>
        <v>0</v>
      </c>
      <c r="J307" s="153">
        <f t="shared" si="74"/>
        <v>50000</v>
      </c>
      <c r="K307" s="153">
        <f t="shared" si="74"/>
        <v>50000</v>
      </c>
      <c r="L307" s="153">
        <f t="shared" si="74"/>
        <v>0</v>
      </c>
      <c r="M307" s="153">
        <f t="shared" si="74"/>
        <v>0</v>
      </c>
      <c r="N307" s="153">
        <f t="shared" si="74"/>
        <v>0</v>
      </c>
      <c r="O307" s="153">
        <f t="shared" si="74"/>
        <v>0</v>
      </c>
      <c r="P307" s="153">
        <f t="shared" si="74"/>
        <v>0</v>
      </c>
      <c r="Q307" s="153">
        <f t="shared" si="74"/>
        <v>0</v>
      </c>
      <c r="R307" s="153">
        <f t="shared" si="74"/>
        <v>0</v>
      </c>
      <c r="S307" s="153">
        <f t="shared" si="74"/>
        <v>0</v>
      </c>
      <c r="T307" s="153">
        <f t="shared" si="74"/>
        <v>0</v>
      </c>
      <c r="U307" s="153">
        <f t="shared" si="74"/>
        <v>0</v>
      </c>
      <c r="V307" s="153">
        <f t="shared" si="74"/>
        <v>0</v>
      </c>
      <c r="W307" s="153">
        <f t="shared" si="74"/>
        <v>0</v>
      </c>
      <c r="X307" s="153">
        <f t="shared" si="74"/>
        <v>0</v>
      </c>
      <c r="Y307" s="153">
        <f t="shared" si="74"/>
        <v>0</v>
      </c>
      <c r="Z307" s="153">
        <f t="shared" si="74"/>
        <v>0</v>
      </c>
      <c r="AA307" s="153">
        <f t="shared" si="74"/>
        <v>0</v>
      </c>
      <c r="AB307" s="153">
        <f t="shared" si="74"/>
        <v>0</v>
      </c>
      <c r="AC307" s="153">
        <f t="shared" si="74"/>
        <v>0</v>
      </c>
      <c r="AD307" s="153">
        <f t="shared" si="74"/>
        <v>0</v>
      </c>
      <c r="AE307" s="153">
        <f t="shared" si="74"/>
        <v>0</v>
      </c>
      <c r="AF307" s="153">
        <f t="shared" si="74"/>
        <v>0</v>
      </c>
      <c r="AG307" s="153">
        <f t="shared" si="74"/>
        <v>0</v>
      </c>
      <c r="AH307" s="153">
        <f t="shared" si="74"/>
        <v>0</v>
      </c>
      <c r="AI307" s="153">
        <f t="shared" si="74"/>
        <v>0</v>
      </c>
      <c r="AJ307" s="153">
        <f t="shared" si="74"/>
        <v>0</v>
      </c>
      <c r="AK307" s="153">
        <f t="shared" si="74"/>
        <v>0</v>
      </c>
      <c r="AL307" s="153">
        <f t="shared" si="74"/>
        <v>0</v>
      </c>
      <c r="AM307" s="153">
        <f t="shared" si="74"/>
        <v>0</v>
      </c>
      <c r="AN307" s="378"/>
    </row>
    <row r="308" spans="1:40" ht="12.75" customHeight="1">
      <c r="A308" s="286">
        <v>37</v>
      </c>
      <c r="B308" s="323" t="s">
        <v>205</v>
      </c>
      <c r="C308" s="380">
        <v>90015</v>
      </c>
      <c r="D308" s="332" t="s">
        <v>191</v>
      </c>
      <c r="E308" s="356">
        <v>2011</v>
      </c>
      <c r="F308" s="132" t="s">
        <v>106</v>
      </c>
      <c r="G308" s="133" t="s">
        <v>107</v>
      </c>
      <c r="H308" s="134"/>
      <c r="I308" s="227"/>
      <c r="J308" s="136"/>
      <c r="K308" s="136"/>
      <c r="L308" s="136"/>
      <c r="M308" s="136"/>
      <c r="N308" s="136"/>
      <c r="O308" s="136"/>
      <c r="P308" s="136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376">
        <f>SUM(J315:AM315)</f>
        <v>100000</v>
      </c>
    </row>
    <row r="309" spans="1:40" ht="12.75">
      <c r="A309" s="287"/>
      <c r="B309" s="319"/>
      <c r="C309" s="381"/>
      <c r="D309" s="333"/>
      <c r="E309" s="354"/>
      <c r="F309" s="281">
        <f>SUM(H314:AM314)</f>
        <v>0</v>
      </c>
      <c r="G309" s="139" t="s">
        <v>108</v>
      </c>
      <c r="H309" s="140"/>
      <c r="I309" s="189">
        <v>200000</v>
      </c>
      <c r="J309" s="142">
        <v>50000</v>
      </c>
      <c r="K309" s="142">
        <v>50000</v>
      </c>
      <c r="L309" s="142"/>
      <c r="M309" s="142"/>
      <c r="N309" s="142"/>
      <c r="O309" s="142"/>
      <c r="P309" s="142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377"/>
    </row>
    <row r="310" spans="1:40" ht="12.75">
      <c r="A310" s="287"/>
      <c r="B310" s="319"/>
      <c r="C310" s="381"/>
      <c r="D310" s="333"/>
      <c r="E310" s="354"/>
      <c r="F310" s="379"/>
      <c r="G310" s="139" t="s">
        <v>109</v>
      </c>
      <c r="H310" s="140"/>
      <c r="I310" s="189"/>
      <c r="J310" s="142"/>
      <c r="K310" s="142"/>
      <c r="L310" s="142"/>
      <c r="M310" s="142"/>
      <c r="N310" s="142"/>
      <c r="O310" s="142"/>
      <c r="P310" s="142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377"/>
    </row>
    <row r="311" spans="1:40" ht="12.75">
      <c r="A311" s="287"/>
      <c r="B311" s="319"/>
      <c r="C311" s="381"/>
      <c r="D311" s="333"/>
      <c r="E311" s="266"/>
      <c r="F311" s="145" t="s">
        <v>110</v>
      </c>
      <c r="G311" s="139" t="s">
        <v>111</v>
      </c>
      <c r="H311" s="140"/>
      <c r="I311" s="189"/>
      <c r="J311" s="142"/>
      <c r="K311" s="142"/>
      <c r="L311" s="142"/>
      <c r="M311" s="142"/>
      <c r="N311" s="142"/>
      <c r="O311" s="142"/>
      <c r="P311" s="142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377"/>
    </row>
    <row r="312" spans="1:40" ht="12.75">
      <c r="A312" s="287"/>
      <c r="B312" s="319"/>
      <c r="C312" s="381"/>
      <c r="D312" s="333"/>
      <c r="E312" s="336">
        <v>2013</v>
      </c>
      <c r="F312" s="281">
        <f>SUM(H315:AM315)</f>
        <v>300000</v>
      </c>
      <c r="G312" s="139" t="s">
        <v>115</v>
      </c>
      <c r="H312" s="140"/>
      <c r="I312" s="189"/>
      <c r="J312" s="142"/>
      <c r="K312" s="142"/>
      <c r="L312" s="142"/>
      <c r="M312" s="142"/>
      <c r="N312" s="142"/>
      <c r="O312" s="142"/>
      <c r="P312" s="142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377"/>
    </row>
    <row r="313" spans="1:40" ht="12.75">
      <c r="A313" s="287"/>
      <c r="B313" s="319"/>
      <c r="C313" s="381"/>
      <c r="D313" s="333"/>
      <c r="E313" s="354"/>
      <c r="F313" s="379"/>
      <c r="G313" s="139" t="s">
        <v>116</v>
      </c>
      <c r="H313" s="140"/>
      <c r="I313" s="189"/>
      <c r="J313" s="142"/>
      <c r="K313" s="142"/>
      <c r="L313" s="142"/>
      <c r="M313" s="142"/>
      <c r="N313" s="142"/>
      <c r="O313" s="142"/>
      <c r="P313" s="142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377"/>
    </row>
    <row r="314" spans="1:40" ht="12.75">
      <c r="A314" s="287"/>
      <c r="B314" s="319"/>
      <c r="C314" s="381"/>
      <c r="D314" s="333"/>
      <c r="E314" s="354"/>
      <c r="F314" s="145" t="s">
        <v>114</v>
      </c>
      <c r="G314" s="139" t="s">
        <v>117</v>
      </c>
      <c r="H314" s="146">
        <f aca="true" t="shared" si="75" ref="H314:AM314">H308+H310+H312</f>
        <v>0</v>
      </c>
      <c r="I314" s="191">
        <f t="shared" si="75"/>
        <v>0</v>
      </c>
      <c r="J314" s="148">
        <f t="shared" si="75"/>
        <v>0</v>
      </c>
      <c r="K314" s="148">
        <f t="shared" si="75"/>
        <v>0</v>
      </c>
      <c r="L314" s="148">
        <f t="shared" si="75"/>
        <v>0</v>
      </c>
      <c r="M314" s="148">
        <f t="shared" si="75"/>
        <v>0</v>
      </c>
      <c r="N314" s="148">
        <f t="shared" si="75"/>
        <v>0</v>
      </c>
      <c r="O314" s="148">
        <f t="shared" si="75"/>
        <v>0</v>
      </c>
      <c r="P314" s="148">
        <f t="shared" si="75"/>
        <v>0</v>
      </c>
      <c r="Q314" s="148">
        <f t="shared" si="75"/>
        <v>0</v>
      </c>
      <c r="R314" s="148">
        <f t="shared" si="75"/>
        <v>0</v>
      </c>
      <c r="S314" s="148">
        <f t="shared" si="75"/>
        <v>0</v>
      </c>
      <c r="T314" s="148">
        <f t="shared" si="75"/>
        <v>0</v>
      </c>
      <c r="U314" s="148">
        <f t="shared" si="75"/>
        <v>0</v>
      </c>
      <c r="V314" s="148">
        <f t="shared" si="75"/>
        <v>0</v>
      </c>
      <c r="W314" s="148">
        <f t="shared" si="75"/>
        <v>0</v>
      </c>
      <c r="X314" s="148">
        <f t="shared" si="75"/>
        <v>0</v>
      </c>
      <c r="Y314" s="148">
        <f t="shared" si="75"/>
        <v>0</v>
      </c>
      <c r="Z314" s="148">
        <f t="shared" si="75"/>
        <v>0</v>
      </c>
      <c r="AA314" s="148">
        <f t="shared" si="75"/>
        <v>0</v>
      </c>
      <c r="AB314" s="148">
        <f t="shared" si="75"/>
        <v>0</v>
      </c>
      <c r="AC314" s="148">
        <f t="shared" si="75"/>
        <v>0</v>
      </c>
      <c r="AD314" s="148">
        <f t="shared" si="75"/>
        <v>0</v>
      </c>
      <c r="AE314" s="148">
        <f t="shared" si="75"/>
        <v>0</v>
      </c>
      <c r="AF314" s="148">
        <f t="shared" si="75"/>
        <v>0</v>
      </c>
      <c r="AG314" s="148">
        <f t="shared" si="75"/>
        <v>0</v>
      </c>
      <c r="AH314" s="148">
        <f t="shared" si="75"/>
        <v>0</v>
      </c>
      <c r="AI314" s="148">
        <f t="shared" si="75"/>
        <v>0</v>
      </c>
      <c r="AJ314" s="148">
        <f t="shared" si="75"/>
        <v>0</v>
      </c>
      <c r="AK314" s="148">
        <f t="shared" si="75"/>
        <v>0</v>
      </c>
      <c r="AL314" s="148">
        <f t="shared" si="75"/>
        <v>0</v>
      </c>
      <c r="AM314" s="148">
        <f t="shared" si="75"/>
        <v>0</v>
      </c>
      <c r="AN314" s="377"/>
    </row>
    <row r="315" spans="1:40" ht="13.5" thickBot="1">
      <c r="A315" s="287"/>
      <c r="B315" s="320"/>
      <c r="C315" s="382"/>
      <c r="D315" s="334"/>
      <c r="E315" s="355"/>
      <c r="F315" s="226">
        <f>F309+F312</f>
        <v>300000</v>
      </c>
      <c r="G315" s="150" t="s">
        <v>118</v>
      </c>
      <c r="H315" s="151">
        <f aca="true" t="shared" si="76" ref="H315:AM315">H309+H311+H313</f>
        <v>0</v>
      </c>
      <c r="I315" s="228">
        <f t="shared" si="76"/>
        <v>200000</v>
      </c>
      <c r="J315" s="153">
        <f t="shared" si="76"/>
        <v>50000</v>
      </c>
      <c r="K315" s="153">
        <f t="shared" si="76"/>
        <v>50000</v>
      </c>
      <c r="L315" s="153">
        <f t="shared" si="76"/>
        <v>0</v>
      </c>
      <c r="M315" s="153">
        <f t="shared" si="76"/>
        <v>0</v>
      </c>
      <c r="N315" s="153">
        <f t="shared" si="76"/>
        <v>0</v>
      </c>
      <c r="O315" s="153">
        <f t="shared" si="76"/>
        <v>0</v>
      </c>
      <c r="P315" s="153">
        <f t="shared" si="76"/>
        <v>0</v>
      </c>
      <c r="Q315" s="153">
        <f t="shared" si="76"/>
        <v>0</v>
      </c>
      <c r="R315" s="153">
        <f t="shared" si="76"/>
        <v>0</v>
      </c>
      <c r="S315" s="153">
        <f t="shared" si="76"/>
        <v>0</v>
      </c>
      <c r="T315" s="153">
        <f t="shared" si="76"/>
        <v>0</v>
      </c>
      <c r="U315" s="153">
        <f t="shared" si="76"/>
        <v>0</v>
      </c>
      <c r="V315" s="153">
        <f t="shared" si="76"/>
        <v>0</v>
      </c>
      <c r="W315" s="153">
        <f t="shared" si="76"/>
        <v>0</v>
      </c>
      <c r="X315" s="153">
        <f t="shared" si="76"/>
        <v>0</v>
      </c>
      <c r="Y315" s="153">
        <f t="shared" si="76"/>
        <v>0</v>
      </c>
      <c r="Z315" s="153">
        <f t="shared" si="76"/>
        <v>0</v>
      </c>
      <c r="AA315" s="153">
        <f t="shared" si="76"/>
        <v>0</v>
      </c>
      <c r="AB315" s="153">
        <f t="shared" si="76"/>
        <v>0</v>
      </c>
      <c r="AC315" s="153">
        <f t="shared" si="76"/>
        <v>0</v>
      </c>
      <c r="AD315" s="153">
        <f t="shared" si="76"/>
        <v>0</v>
      </c>
      <c r="AE315" s="153">
        <f t="shared" si="76"/>
        <v>0</v>
      </c>
      <c r="AF315" s="153">
        <f t="shared" si="76"/>
        <v>0</v>
      </c>
      <c r="AG315" s="153">
        <f t="shared" si="76"/>
        <v>0</v>
      </c>
      <c r="AH315" s="153">
        <f t="shared" si="76"/>
        <v>0</v>
      </c>
      <c r="AI315" s="153">
        <f t="shared" si="76"/>
        <v>0</v>
      </c>
      <c r="AJ315" s="153">
        <f t="shared" si="76"/>
        <v>0</v>
      </c>
      <c r="AK315" s="153">
        <f t="shared" si="76"/>
        <v>0</v>
      </c>
      <c r="AL315" s="153">
        <f t="shared" si="76"/>
        <v>0</v>
      </c>
      <c r="AM315" s="153">
        <f t="shared" si="76"/>
        <v>0</v>
      </c>
      <c r="AN315" s="378"/>
    </row>
    <row r="316" spans="1:40" ht="12.75" customHeight="1">
      <c r="A316" s="286">
        <v>38</v>
      </c>
      <c r="B316" s="323" t="s">
        <v>219</v>
      </c>
      <c r="C316" s="380">
        <v>90095</v>
      </c>
      <c r="D316" s="332" t="s">
        <v>191</v>
      </c>
      <c r="E316" s="356">
        <v>2011</v>
      </c>
      <c r="F316" s="132" t="s">
        <v>106</v>
      </c>
      <c r="G316" s="133" t="s">
        <v>107</v>
      </c>
      <c r="H316" s="134"/>
      <c r="I316" s="227"/>
      <c r="J316" s="136"/>
      <c r="K316" s="136"/>
      <c r="L316" s="136"/>
      <c r="M316" s="136"/>
      <c r="N316" s="136"/>
      <c r="O316" s="136"/>
      <c r="P316" s="136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376">
        <f>SUM(J323:AM323)</f>
        <v>150000</v>
      </c>
    </row>
    <row r="317" spans="1:40" ht="12.75">
      <c r="A317" s="287"/>
      <c r="B317" s="319"/>
      <c r="C317" s="381"/>
      <c r="D317" s="333"/>
      <c r="E317" s="354"/>
      <c r="F317" s="281">
        <f>SUM(H322:AM322)</f>
        <v>0</v>
      </c>
      <c r="G317" s="139" t="s">
        <v>108</v>
      </c>
      <c r="H317" s="140"/>
      <c r="I317" s="189">
        <f>50000-45000</f>
        <v>5000</v>
      </c>
      <c r="J317" s="142">
        <v>50000</v>
      </c>
      <c r="K317" s="142">
        <v>100000</v>
      </c>
      <c r="L317" s="142"/>
      <c r="M317" s="142"/>
      <c r="N317" s="142"/>
      <c r="O317" s="142"/>
      <c r="P317" s="142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377"/>
    </row>
    <row r="318" spans="1:40" ht="12.75">
      <c r="A318" s="287"/>
      <c r="B318" s="319"/>
      <c r="C318" s="381"/>
      <c r="D318" s="333"/>
      <c r="E318" s="354"/>
      <c r="F318" s="379"/>
      <c r="G318" s="139" t="s">
        <v>109</v>
      </c>
      <c r="H318" s="140"/>
      <c r="I318" s="189"/>
      <c r="J318" s="142"/>
      <c r="K318" s="142"/>
      <c r="L318" s="142"/>
      <c r="M318" s="142"/>
      <c r="N318" s="142"/>
      <c r="O318" s="142"/>
      <c r="P318" s="142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377"/>
    </row>
    <row r="319" spans="1:40" ht="12.75">
      <c r="A319" s="287"/>
      <c r="B319" s="319"/>
      <c r="C319" s="381"/>
      <c r="D319" s="333"/>
      <c r="E319" s="266"/>
      <c r="F319" s="145" t="s">
        <v>110</v>
      </c>
      <c r="G319" s="139" t="s">
        <v>111</v>
      </c>
      <c r="H319" s="140"/>
      <c r="I319" s="189"/>
      <c r="J319" s="142"/>
      <c r="K319" s="142"/>
      <c r="L319" s="142"/>
      <c r="M319" s="142"/>
      <c r="N319" s="142"/>
      <c r="O319" s="142"/>
      <c r="P319" s="142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377"/>
    </row>
    <row r="320" spans="1:40" ht="12.75">
      <c r="A320" s="287"/>
      <c r="B320" s="319"/>
      <c r="C320" s="381"/>
      <c r="D320" s="333"/>
      <c r="E320" s="336">
        <v>2013</v>
      </c>
      <c r="F320" s="281">
        <f>SUM(H323:AM323)</f>
        <v>155000</v>
      </c>
      <c r="G320" s="139" t="s">
        <v>115</v>
      </c>
      <c r="H320" s="140"/>
      <c r="I320" s="189"/>
      <c r="J320" s="142"/>
      <c r="K320" s="142"/>
      <c r="L320" s="142"/>
      <c r="M320" s="142"/>
      <c r="N320" s="142"/>
      <c r="O320" s="142"/>
      <c r="P320" s="142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377"/>
    </row>
    <row r="321" spans="1:40" ht="12.75">
      <c r="A321" s="287"/>
      <c r="B321" s="319"/>
      <c r="C321" s="381"/>
      <c r="D321" s="333"/>
      <c r="E321" s="354"/>
      <c r="F321" s="379"/>
      <c r="G321" s="139" t="s">
        <v>116</v>
      </c>
      <c r="H321" s="140"/>
      <c r="I321" s="189"/>
      <c r="J321" s="142"/>
      <c r="K321" s="142"/>
      <c r="L321" s="142"/>
      <c r="M321" s="142"/>
      <c r="N321" s="142"/>
      <c r="O321" s="142"/>
      <c r="P321" s="142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377"/>
    </row>
    <row r="322" spans="1:40" ht="12.75">
      <c r="A322" s="287"/>
      <c r="B322" s="319"/>
      <c r="C322" s="381"/>
      <c r="D322" s="333"/>
      <c r="E322" s="354"/>
      <c r="F322" s="145" t="s">
        <v>114</v>
      </c>
      <c r="G322" s="139" t="s">
        <v>117</v>
      </c>
      <c r="H322" s="146">
        <f aca="true" t="shared" si="77" ref="H322:AM322">H316+H318+H320</f>
        <v>0</v>
      </c>
      <c r="I322" s="191">
        <f t="shared" si="77"/>
        <v>0</v>
      </c>
      <c r="J322" s="148">
        <f t="shared" si="77"/>
        <v>0</v>
      </c>
      <c r="K322" s="148">
        <f t="shared" si="77"/>
        <v>0</v>
      </c>
      <c r="L322" s="148">
        <f t="shared" si="77"/>
        <v>0</v>
      </c>
      <c r="M322" s="148">
        <f t="shared" si="77"/>
        <v>0</v>
      </c>
      <c r="N322" s="148">
        <f t="shared" si="77"/>
        <v>0</v>
      </c>
      <c r="O322" s="148">
        <f t="shared" si="77"/>
        <v>0</v>
      </c>
      <c r="P322" s="148">
        <f t="shared" si="77"/>
        <v>0</v>
      </c>
      <c r="Q322" s="148">
        <f t="shared" si="77"/>
        <v>0</v>
      </c>
      <c r="R322" s="148">
        <f t="shared" si="77"/>
        <v>0</v>
      </c>
      <c r="S322" s="148">
        <f t="shared" si="77"/>
        <v>0</v>
      </c>
      <c r="T322" s="148">
        <f t="shared" si="77"/>
        <v>0</v>
      </c>
      <c r="U322" s="148">
        <f t="shared" si="77"/>
        <v>0</v>
      </c>
      <c r="V322" s="148">
        <f t="shared" si="77"/>
        <v>0</v>
      </c>
      <c r="W322" s="148">
        <f t="shared" si="77"/>
        <v>0</v>
      </c>
      <c r="X322" s="148">
        <f t="shared" si="77"/>
        <v>0</v>
      </c>
      <c r="Y322" s="148">
        <f t="shared" si="77"/>
        <v>0</v>
      </c>
      <c r="Z322" s="148">
        <f t="shared" si="77"/>
        <v>0</v>
      </c>
      <c r="AA322" s="148">
        <f t="shared" si="77"/>
        <v>0</v>
      </c>
      <c r="AB322" s="148">
        <f t="shared" si="77"/>
        <v>0</v>
      </c>
      <c r="AC322" s="148">
        <f t="shared" si="77"/>
        <v>0</v>
      </c>
      <c r="AD322" s="148">
        <f t="shared" si="77"/>
        <v>0</v>
      </c>
      <c r="AE322" s="148">
        <f t="shared" si="77"/>
        <v>0</v>
      </c>
      <c r="AF322" s="148">
        <f t="shared" si="77"/>
        <v>0</v>
      </c>
      <c r="AG322" s="148">
        <f t="shared" si="77"/>
        <v>0</v>
      </c>
      <c r="AH322" s="148">
        <f t="shared" si="77"/>
        <v>0</v>
      </c>
      <c r="AI322" s="148">
        <f t="shared" si="77"/>
        <v>0</v>
      </c>
      <c r="AJ322" s="148">
        <f t="shared" si="77"/>
        <v>0</v>
      </c>
      <c r="AK322" s="148">
        <f t="shared" si="77"/>
        <v>0</v>
      </c>
      <c r="AL322" s="148">
        <f t="shared" si="77"/>
        <v>0</v>
      </c>
      <c r="AM322" s="148">
        <f t="shared" si="77"/>
        <v>0</v>
      </c>
      <c r="AN322" s="377"/>
    </row>
    <row r="323" spans="1:40" ht="13.5" thickBot="1">
      <c r="A323" s="287"/>
      <c r="B323" s="320"/>
      <c r="C323" s="382"/>
      <c r="D323" s="334"/>
      <c r="E323" s="355"/>
      <c r="F323" s="226">
        <f>F317+F320</f>
        <v>155000</v>
      </c>
      <c r="G323" s="150" t="s">
        <v>118</v>
      </c>
      <c r="H323" s="151">
        <f aca="true" t="shared" si="78" ref="H323:AM323">H317+H319+H321</f>
        <v>0</v>
      </c>
      <c r="I323" s="228">
        <f t="shared" si="78"/>
        <v>5000</v>
      </c>
      <c r="J323" s="153">
        <f t="shared" si="78"/>
        <v>50000</v>
      </c>
      <c r="K323" s="153">
        <f t="shared" si="78"/>
        <v>100000</v>
      </c>
      <c r="L323" s="153">
        <f t="shared" si="78"/>
        <v>0</v>
      </c>
      <c r="M323" s="153">
        <f t="shared" si="78"/>
        <v>0</v>
      </c>
      <c r="N323" s="153">
        <f t="shared" si="78"/>
        <v>0</v>
      </c>
      <c r="O323" s="153">
        <f t="shared" si="78"/>
        <v>0</v>
      </c>
      <c r="P323" s="153">
        <f t="shared" si="78"/>
        <v>0</v>
      </c>
      <c r="Q323" s="153">
        <f t="shared" si="78"/>
        <v>0</v>
      </c>
      <c r="R323" s="153">
        <f t="shared" si="78"/>
        <v>0</v>
      </c>
      <c r="S323" s="153">
        <f t="shared" si="78"/>
        <v>0</v>
      </c>
      <c r="T323" s="153">
        <f t="shared" si="78"/>
        <v>0</v>
      </c>
      <c r="U323" s="153">
        <f t="shared" si="78"/>
        <v>0</v>
      </c>
      <c r="V323" s="153">
        <f t="shared" si="78"/>
        <v>0</v>
      </c>
      <c r="W323" s="153">
        <f t="shared" si="78"/>
        <v>0</v>
      </c>
      <c r="X323" s="153">
        <f t="shared" si="78"/>
        <v>0</v>
      </c>
      <c r="Y323" s="153">
        <f t="shared" si="78"/>
        <v>0</v>
      </c>
      <c r="Z323" s="153">
        <f t="shared" si="78"/>
        <v>0</v>
      </c>
      <c r="AA323" s="153">
        <f t="shared" si="78"/>
        <v>0</v>
      </c>
      <c r="AB323" s="153">
        <f t="shared" si="78"/>
        <v>0</v>
      </c>
      <c r="AC323" s="153">
        <f t="shared" si="78"/>
        <v>0</v>
      </c>
      <c r="AD323" s="153">
        <f t="shared" si="78"/>
        <v>0</v>
      </c>
      <c r="AE323" s="153">
        <f t="shared" si="78"/>
        <v>0</v>
      </c>
      <c r="AF323" s="153">
        <f t="shared" si="78"/>
        <v>0</v>
      </c>
      <c r="AG323" s="153">
        <f t="shared" si="78"/>
        <v>0</v>
      </c>
      <c r="AH323" s="153">
        <f t="shared" si="78"/>
        <v>0</v>
      </c>
      <c r="AI323" s="153">
        <f t="shared" si="78"/>
        <v>0</v>
      </c>
      <c r="AJ323" s="153">
        <f t="shared" si="78"/>
        <v>0</v>
      </c>
      <c r="AK323" s="153">
        <f t="shared" si="78"/>
        <v>0</v>
      </c>
      <c r="AL323" s="153">
        <f t="shared" si="78"/>
        <v>0</v>
      </c>
      <c r="AM323" s="153">
        <f t="shared" si="78"/>
        <v>0</v>
      </c>
      <c r="AN323" s="378"/>
    </row>
    <row r="324" spans="1:40" ht="12.75">
      <c r="A324" s="286">
        <v>39</v>
      </c>
      <c r="B324" s="319" t="s">
        <v>223</v>
      </c>
      <c r="C324" s="381">
        <v>90095</v>
      </c>
      <c r="D324" s="333" t="s">
        <v>224</v>
      </c>
      <c r="E324" s="354">
        <v>2010</v>
      </c>
      <c r="F324" s="144" t="s">
        <v>106</v>
      </c>
      <c r="G324" s="155" t="s">
        <v>107</v>
      </c>
      <c r="H324" s="134"/>
      <c r="I324" s="187"/>
      <c r="J324" s="158"/>
      <c r="K324" s="158"/>
      <c r="L324" s="158"/>
      <c r="M324" s="158"/>
      <c r="N324" s="158"/>
      <c r="O324" s="158"/>
      <c r="P324" s="158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376">
        <f>SUM(J331:AM331)</f>
        <v>0</v>
      </c>
    </row>
    <row r="325" spans="1:40" ht="12.75">
      <c r="A325" s="287"/>
      <c r="B325" s="319"/>
      <c r="C325" s="381"/>
      <c r="D325" s="333"/>
      <c r="E325" s="354"/>
      <c r="F325" s="281">
        <f>SUM(H330:AM330)</f>
        <v>0</v>
      </c>
      <c r="G325" s="139" t="s">
        <v>108</v>
      </c>
      <c r="H325" s="140">
        <v>776113</v>
      </c>
      <c r="I325" s="189">
        <v>651451</v>
      </c>
      <c r="J325" s="142"/>
      <c r="K325" s="142"/>
      <c r="L325" s="142"/>
      <c r="M325" s="142"/>
      <c r="N325" s="142"/>
      <c r="O325" s="142"/>
      <c r="P325" s="142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377"/>
    </row>
    <row r="326" spans="1:40" ht="12.75">
      <c r="A326" s="287"/>
      <c r="B326" s="319"/>
      <c r="C326" s="381"/>
      <c r="D326" s="333"/>
      <c r="E326" s="354"/>
      <c r="F326" s="379"/>
      <c r="G326" s="139" t="s">
        <v>109</v>
      </c>
      <c r="H326" s="140"/>
      <c r="I326" s="189"/>
      <c r="J326" s="142"/>
      <c r="K326" s="142"/>
      <c r="L326" s="142"/>
      <c r="M326" s="142"/>
      <c r="N326" s="142"/>
      <c r="O326" s="142"/>
      <c r="P326" s="142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377"/>
    </row>
    <row r="327" spans="1:40" ht="12.75">
      <c r="A327" s="287"/>
      <c r="B327" s="319"/>
      <c r="C327" s="381"/>
      <c r="D327" s="333"/>
      <c r="E327" s="266"/>
      <c r="F327" s="145" t="s">
        <v>110</v>
      </c>
      <c r="G327" s="139" t="s">
        <v>111</v>
      </c>
      <c r="H327" s="140"/>
      <c r="I327" s="189"/>
      <c r="J327" s="142"/>
      <c r="K327" s="142"/>
      <c r="L327" s="142"/>
      <c r="M327" s="142"/>
      <c r="N327" s="142"/>
      <c r="O327" s="142"/>
      <c r="P327" s="142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377"/>
    </row>
    <row r="328" spans="1:40" ht="12.75">
      <c r="A328" s="287"/>
      <c r="B328" s="319"/>
      <c r="C328" s="381"/>
      <c r="D328" s="333"/>
      <c r="E328" s="336">
        <v>2011</v>
      </c>
      <c r="F328" s="281">
        <f>SUM(H331:AM331)</f>
        <v>1427564</v>
      </c>
      <c r="G328" s="139" t="s">
        <v>115</v>
      </c>
      <c r="H328" s="140"/>
      <c r="I328" s="189"/>
      <c r="J328" s="142"/>
      <c r="K328" s="142"/>
      <c r="L328" s="142"/>
      <c r="M328" s="142"/>
      <c r="N328" s="142"/>
      <c r="O328" s="142"/>
      <c r="P328" s="142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377"/>
    </row>
    <row r="329" spans="1:40" ht="12.75">
      <c r="A329" s="287"/>
      <c r="B329" s="319"/>
      <c r="C329" s="381"/>
      <c r="D329" s="333"/>
      <c r="E329" s="354"/>
      <c r="F329" s="379"/>
      <c r="G329" s="139" t="s">
        <v>116</v>
      </c>
      <c r="H329" s="140"/>
      <c r="I329" s="189"/>
      <c r="J329" s="142"/>
      <c r="K329" s="142"/>
      <c r="L329" s="142"/>
      <c r="M329" s="142"/>
      <c r="N329" s="142"/>
      <c r="O329" s="142"/>
      <c r="P329" s="142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377"/>
    </row>
    <row r="330" spans="1:40" ht="12.75">
      <c r="A330" s="287"/>
      <c r="B330" s="319"/>
      <c r="C330" s="381"/>
      <c r="D330" s="333"/>
      <c r="E330" s="354"/>
      <c r="F330" s="145" t="s">
        <v>114</v>
      </c>
      <c r="G330" s="139" t="s">
        <v>117</v>
      </c>
      <c r="H330" s="146">
        <f aca="true" t="shared" si="79" ref="H330:AM330">H324+H326+H328</f>
        <v>0</v>
      </c>
      <c r="I330" s="191">
        <f t="shared" si="79"/>
        <v>0</v>
      </c>
      <c r="J330" s="148">
        <f t="shared" si="79"/>
        <v>0</v>
      </c>
      <c r="K330" s="148">
        <f t="shared" si="79"/>
        <v>0</v>
      </c>
      <c r="L330" s="148">
        <f t="shared" si="79"/>
        <v>0</v>
      </c>
      <c r="M330" s="148">
        <f t="shared" si="79"/>
        <v>0</v>
      </c>
      <c r="N330" s="148">
        <f t="shared" si="79"/>
        <v>0</v>
      </c>
      <c r="O330" s="148">
        <f t="shared" si="79"/>
        <v>0</v>
      </c>
      <c r="P330" s="148">
        <f t="shared" si="79"/>
        <v>0</v>
      </c>
      <c r="Q330" s="148">
        <f t="shared" si="79"/>
        <v>0</v>
      </c>
      <c r="R330" s="148">
        <f t="shared" si="79"/>
        <v>0</v>
      </c>
      <c r="S330" s="148">
        <f t="shared" si="79"/>
        <v>0</v>
      </c>
      <c r="T330" s="148">
        <f t="shared" si="79"/>
        <v>0</v>
      </c>
      <c r="U330" s="148">
        <f t="shared" si="79"/>
        <v>0</v>
      </c>
      <c r="V330" s="148">
        <f t="shared" si="79"/>
        <v>0</v>
      </c>
      <c r="W330" s="148">
        <f t="shared" si="79"/>
        <v>0</v>
      </c>
      <c r="X330" s="148">
        <f t="shared" si="79"/>
        <v>0</v>
      </c>
      <c r="Y330" s="148">
        <f t="shared" si="79"/>
        <v>0</v>
      </c>
      <c r="Z330" s="148">
        <f t="shared" si="79"/>
        <v>0</v>
      </c>
      <c r="AA330" s="148">
        <f t="shared" si="79"/>
        <v>0</v>
      </c>
      <c r="AB330" s="148">
        <f t="shared" si="79"/>
        <v>0</v>
      </c>
      <c r="AC330" s="148">
        <f t="shared" si="79"/>
        <v>0</v>
      </c>
      <c r="AD330" s="148">
        <f t="shared" si="79"/>
        <v>0</v>
      </c>
      <c r="AE330" s="148">
        <f t="shared" si="79"/>
        <v>0</v>
      </c>
      <c r="AF330" s="148">
        <f t="shared" si="79"/>
        <v>0</v>
      </c>
      <c r="AG330" s="148">
        <f t="shared" si="79"/>
        <v>0</v>
      </c>
      <c r="AH330" s="148">
        <f t="shared" si="79"/>
        <v>0</v>
      </c>
      <c r="AI330" s="148">
        <f t="shared" si="79"/>
        <v>0</v>
      </c>
      <c r="AJ330" s="148">
        <f t="shared" si="79"/>
        <v>0</v>
      </c>
      <c r="AK330" s="148">
        <f t="shared" si="79"/>
        <v>0</v>
      </c>
      <c r="AL330" s="148">
        <f t="shared" si="79"/>
        <v>0</v>
      </c>
      <c r="AM330" s="148">
        <f t="shared" si="79"/>
        <v>0</v>
      </c>
      <c r="AN330" s="377"/>
    </row>
    <row r="331" spans="1:40" ht="13.5" thickBot="1">
      <c r="A331" s="287"/>
      <c r="B331" s="320"/>
      <c r="C331" s="382"/>
      <c r="D331" s="334"/>
      <c r="E331" s="355"/>
      <c r="F331" s="226">
        <f>F325+F328</f>
        <v>1427564</v>
      </c>
      <c r="G331" s="150" t="s">
        <v>118</v>
      </c>
      <c r="H331" s="151">
        <f aca="true" t="shared" si="80" ref="H331:AM331">H325+H327+H329</f>
        <v>776113</v>
      </c>
      <c r="I331" s="228">
        <f t="shared" si="80"/>
        <v>651451</v>
      </c>
      <c r="J331" s="153">
        <f t="shared" si="80"/>
        <v>0</v>
      </c>
      <c r="K331" s="153">
        <f t="shared" si="80"/>
        <v>0</v>
      </c>
      <c r="L331" s="153">
        <f t="shared" si="80"/>
        <v>0</v>
      </c>
      <c r="M331" s="153">
        <f t="shared" si="80"/>
        <v>0</v>
      </c>
      <c r="N331" s="153">
        <f t="shared" si="80"/>
        <v>0</v>
      </c>
      <c r="O331" s="153">
        <f t="shared" si="80"/>
        <v>0</v>
      </c>
      <c r="P331" s="153">
        <f t="shared" si="80"/>
        <v>0</v>
      </c>
      <c r="Q331" s="153">
        <f t="shared" si="80"/>
        <v>0</v>
      </c>
      <c r="R331" s="153">
        <f t="shared" si="80"/>
        <v>0</v>
      </c>
      <c r="S331" s="153">
        <f t="shared" si="80"/>
        <v>0</v>
      </c>
      <c r="T331" s="153">
        <f t="shared" si="80"/>
        <v>0</v>
      </c>
      <c r="U331" s="153">
        <f t="shared" si="80"/>
        <v>0</v>
      </c>
      <c r="V331" s="153">
        <f t="shared" si="80"/>
        <v>0</v>
      </c>
      <c r="W331" s="153">
        <f t="shared" si="80"/>
        <v>0</v>
      </c>
      <c r="X331" s="153">
        <f t="shared" si="80"/>
        <v>0</v>
      </c>
      <c r="Y331" s="153">
        <f t="shared" si="80"/>
        <v>0</v>
      </c>
      <c r="Z331" s="153">
        <f t="shared" si="80"/>
        <v>0</v>
      </c>
      <c r="AA331" s="153">
        <f t="shared" si="80"/>
        <v>0</v>
      </c>
      <c r="AB331" s="153">
        <f t="shared" si="80"/>
        <v>0</v>
      </c>
      <c r="AC331" s="153">
        <f t="shared" si="80"/>
        <v>0</v>
      </c>
      <c r="AD331" s="153">
        <f t="shared" si="80"/>
        <v>0</v>
      </c>
      <c r="AE331" s="153">
        <f t="shared" si="80"/>
        <v>0</v>
      </c>
      <c r="AF331" s="153">
        <f t="shared" si="80"/>
        <v>0</v>
      </c>
      <c r="AG331" s="153">
        <f t="shared" si="80"/>
        <v>0</v>
      </c>
      <c r="AH331" s="153">
        <f t="shared" si="80"/>
        <v>0</v>
      </c>
      <c r="AI331" s="153">
        <f t="shared" si="80"/>
        <v>0</v>
      </c>
      <c r="AJ331" s="153">
        <f t="shared" si="80"/>
        <v>0</v>
      </c>
      <c r="AK331" s="153">
        <f t="shared" si="80"/>
        <v>0</v>
      </c>
      <c r="AL331" s="153">
        <f t="shared" si="80"/>
        <v>0</v>
      </c>
      <c r="AM331" s="153">
        <f t="shared" si="80"/>
        <v>0</v>
      </c>
      <c r="AN331" s="378"/>
    </row>
    <row r="332" spans="1:40" ht="12.75" customHeight="1">
      <c r="A332" s="286">
        <v>40</v>
      </c>
      <c r="B332" s="323" t="s">
        <v>225</v>
      </c>
      <c r="C332" s="380">
        <v>90095</v>
      </c>
      <c r="D332" s="332" t="s">
        <v>191</v>
      </c>
      <c r="E332" s="356">
        <v>2011</v>
      </c>
      <c r="F332" s="132" t="s">
        <v>106</v>
      </c>
      <c r="G332" s="133" t="s">
        <v>107</v>
      </c>
      <c r="H332" s="134"/>
      <c r="I332" s="227"/>
      <c r="J332" s="136"/>
      <c r="K332" s="136"/>
      <c r="L332" s="136"/>
      <c r="M332" s="136"/>
      <c r="N332" s="136"/>
      <c r="O332" s="136"/>
      <c r="P332" s="136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376">
        <f>SUM(J339:AM339)</f>
        <v>1500000</v>
      </c>
    </row>
    <row r="333" spans="1:40" ht="12.75">
      <c r="A333" s="287"/>
      <c r="B333" s="319"/>
      <c r="C333" s="381"/>
      <c r="D333" s="333"/>
      <c r="E333" s="354"/>
      <c r="F333" s="281">
        <f>SUM(H338:AM338)</f>
        <v>0</v>
      </c>
      <c r="G333" s="139" t="s">
        <v>108</v>
      </c>
      <c r="H333" s="140"/>
      <c r="I333" s="189">
        <v>500000</v>
      </c>
      <c r="J333" s="142">
        <v>1500000</v>
      </c>
      <c r="K333" s="142"/>
      <c r="L333" s="142"/>
      <c r="M333" s="142"/>
      <c r="N333" s="142"/>
      <c r="O333" s="142"/>
      <c r="P333" s="142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377"/>
    </row>
    <row r="334" spans="1:40" ht="12.75">
      <c r="A334" s="287"/>
      <c r="B334" s="319"/>
      <c r="C334" s="381"/>
      <c r="D334" s="333"/>
      <c r="E334" s="354"/>
      <c r="F334" s="379"/>
      <c r="G334" s="139" t="s">
        <v>109</v>
      </c>
      <c r="H334" s="140"/>
      <c r="I334" s="189"/>
      <c r="J334" s="142"/>
      <c r="K334" s="142"/>
      <c r="L334" s="142"/>
      <c r="M334" s="142"/>
      <c r="N334" s="142"/>
      <c r="O334" s="142"/>
      <c r="P334" s="142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377"/>
    </row>
    <row r="335" spans="1:40" ht="12.75">
      <c r="A335" s="287"/>
      <c r="B335" s="319"/>
      <c r="C335" s="381"/>
      <c r="D335" s="333"/>
      <c r="E335" s="266"/>
      <c r="F335" s="145" t="s">
        <v>110</v>
      </c>
      <c r="G335" s="139" t="s">
        <v>111</v>
      </c>
      <c r="H335" s="140"/>
      <c r="I335" s="189"/>
      <c r="J335" s="142"/>
      <c r="K335" s="142"/>
      <c r="L335" s="142"/>
      <c r="M335" s="142"/>
      <c r="N335" s="142"/>
      <c r="O335" s="142"/>
      <c r="P335" s="142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377"/>
    </row>
    <row r="336" spans="1:40" ht="12.75">
      <c r="A336" s="287"/>
      <c r="B336" s="319"/>
      <c r="C336" s="381"/>
      <c r="D336" s="333"/>
      <c r="E336" s="336">
        <v>2012</v>
      </c>
      <c r="F336" s="281">
        <f>SUM(H339:AM339)</f>
        <v>2000000</v>
      </c>
      <c r="G336" s="139" t="s">
        <v>115</v>
      </c>
      <c r="H336" s="140"/>
      <c r="I336" s="189"/>
      <c r="J336" s="142"/>
      <c r="K336" s="142"/>
      <c r="L336" s="142"/>
      <c r="M336" s="142"/>
      <c r="N336" s="142"/>
      <c r="O336" s="142"/>
      <c r="P336" s="142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377"/>
    </row>
    <row r="337" spans="1:40" ht="12.75">
      <c r="A337" s="287"/>
      <c r="B337" s="319"/>
      <c r="C337" s="381"/>
      <c r="D337" s="333"/>
      <c r="E337" s="354"/>
      <c r="F337" s="379"/>
      <c r="G337" s="139" t="s">
        <v>116</v>
      </c>
      <c r="H337" s="140"/>
      <c r="I337" s="189"/>
      <c r="J337" s="142"/>
      <c r="K337" s="142"/>
      <c r="L337" s="142"/>
      <c r="M337" s="142"/>
      <c r="N337" s="142"/>
      <c r="O337" s="142"/>
      <c r="P337" s="142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377"/>
    </row>
    <row r="338" spans="1:40" ht="12.75">
      <c r="A338" s="287"/>
      <c r="B338" s="319"/>
      <c r="C338" s="381"/>
      <c r="D338" s="333"/>
      <c r="E338" s="354"/>
      <c r="F338" s="145" t="s">
        <v>114</v>
      </c>
      <c r="G338" s="139" t="s">
        <v>117</v>
      </c>
      <c r="H338" s="146">
        <f aca="true" t="shared" si="81" ref="H338:AM338">H332+H334+H336</f>
        <v>0</v>
      </c>
      <c r="I338" s="191">
        <f t="shared" si="81"/>
        <v>0</v>
      </c>
      <c r="J338" s="148">
        <f t="shared" si="81"/>
        <v>0</v>
      </c>
      <c r="K338" s="148">
        <f t="shared" si="81"/>
        <v>0</v>
      </c>
      <c r="L338" s="148">
        <f t="shared" si="81"/>
        <v>0</v>
      </c>
      <c r="M338" s="148">
        <f t="shared" si="81"/>
        <v>0</v>
      </c>
      <c r="N338" s="148">
        <f t="shared" si="81"/>
        <v>0</v>
      </c>
      <c r="O338" s="148">
        <f t="shared" si="81"/>
        <v>0</v>
      </c>
      <c r="P338" s="148">
        <f t="shared" si="81"/>
        <v>0</v>
      </c>
      <c r="Q338" s="148">
        <f t="shared" si="81"/>
        <v>0</v>
      </c>
      <c r="R338" s="148">
        <f t="shared" si="81"/>
        <v>0</v>
      </c>
      <c r="S338" s="148">
        <f t="shared" si="81"/>
        <v>0</v>
      </c>
      <c r="T338" s="148">
        <f t="shared" si="81"/>
        <v>0</v>
      </c>
      <c r="U338" s="148">
        <f t="shared" si="81"/>
        <v>0</v>
      </c>
      <c r="V338" s="148">
        <f t="shared" si="81"/>
        <v>0</v>
      </c>
      <c r="W338" s="148">
        <f t="shared" si="81"/>
        <v>0</v>
      </c>
      <c r="X338" s="148">
        <f t="shared" si="81"/>
        <v>0</v>
      </c>
      <c r="Y338" s="148">
        <f t="shared" si="81"/>
        <v>0</v>
      </c>
      <c r="Z338" s="148">
        <f t="shared" si="81"/>
        <v>0</v>
      </c>
      <c r="AA338" s="148">
        <f t="shared" si="81"/>
        <v>0</v>
      </c>
      <c r="AB338" s="148">
        <f t="shared" si="81"/>
        <v>0</v>
      </c>
      <c r="AC338" s="148">
        <f t="shared" si="81"/>
        <v>0</v>
      </c>
      <c r="AD338" s="148">
        <f t="shared" si="81"/>
        <v>0</v>
      </c>
      <c r="AE338" s="148">
        <f t="shared" si="81"/>
        <v>0</v>
      </c>
      <c r="AF338" s="148">
        <f t="shared" si="81"/>
        <v>0</v>
      </c>
      <c r="AG338" s="148">
        <f t="shared" si="81"/>
        <v>0</v>
      </c>
      <c r="AH338" s="148">
        <f t="shared" si="81"/>
        <v>0</v>
      </c>
      <c r="AI338" s="148">
        <f t="shared" si="81"/>
        <v>0</v>
      </c>
      <c r="AJ338" s="148">
        <f t="shared" si="81"/>
        <v>0</v>
      </c>
      <c r="AK338" s="148">
        <f t="shared" si="81"/>
        <v>0</v>
      </c>
      <c r="AL338" s="148">
        <f t="shared" si="81"/>
        <v>0</v>
      </c>
      <c r="AM338" s="148">
        <f t="shared" si="81"/>
        <v>0</v>
      </c>
      <c r="AN338" s="377"/>
    </row>
    <row r="339" spans="1:40" ht="13.5" thickBot="1">
      <c r="A339" s="287"/>
      <c r="B339" s="320"/>
      <c r="C339" s="382"/>
      <c r="D339" s="334"/>
      <c r="E339" s="355"/>
      <c r="F339" s="226">
        <f>F333+F336</f>
        <v>2000000</v>
      </c>
      <c r="G339" s="150" t="s">
        <v>118</v>
      </c>
      <c r="H339" s="151">
        <f aca="true" t="shared" si="82" ref="H339:AM339">H333+H335+H337</f>
        <v>0</v>
      </c>
      <c r="I339" s="228">
        <f t="shared" si="82"/>
        <v>500000</v>
      </c>
      <c r="J339" s="153">
        <f t="shared" si="82"/>
        <v>1500000</v>
      </c>
      <c r="K339" s="153">
        <f t="shared" si="82"/>
        <v>0</v>
      </c>
      <c r="L339" s="153">
        <f t="shared" si="82"/>
        <v>0</v>
      </c>
      <c r="M339" s="153">
        <f t="shared" si="82"/>
        <v>0</v>
      </c>
      <c r="N339" s="153">
        <f t="shared" si="82"/>
        <v>0</v>
      </c>
      <c r="O339" s="153">
        <f t="shared" si="82"/>
        <v>0</v>
      </c>
      <c r="P339" s="153">
        <f t="shared" si="82"/>
        <v>0</v>
      </c>
      <c r="Q339" s="153">
        <f t="shared" si="82"/>
        <v>0</v>
      </c>
      <c r="R339" s="153">
        <f t="shared" si="82"/>
        <v>0</v>
      </c>
      <c r="S339" s="153">
        <f t="shared" si="82"/>
        <v>0</v>
      </c>
      <c r="T339" s="153">
        <f t="shared" si="82"/>
        <v>0</v>
      </c>
      <c r="U339" s="153">
        <f t="shared" si="82"/>
        <v>0</v>
      </c>
      <c r="V339" s="153">
        <f t="shared" si="82"/>
        <v>0</v>
      </c>
      <c r="W339" s="153">
        <f t="shared" si="82"/>
        <v>0</v>
      </c>
      <c r="X339" s="153">
        <f t="shared" si="82"/>
        <v>0</v>
      </c>
      <c r="Y339" s="153">
        <f t="shared" si="82"/>
        <v>0</v>
      </c>
      <c r="Z339" s="153">
        <f t="shared" si="82"/>
        <v>0</v>
      </c>
      <c r="AA339" s="153">
        <f t="shared" si="82"/>
        <v>0</v>
      </c>
      <c r="AB339" s="153">
        <f t="shared" si="82"/>
        <v>0</v>
      </c>
      <c r="AC339" s="153">
        <f t="shared" si="82"/>
        <v>0</v>
      </c>
      <c r="AD339" s="153">
        <f t="shared" si="82"/>
        <v>0</v>
      </c>
      <c r="AE339" s="153">
        <f t="shared" si="82"/>
        <v>0</v>
      </c>
      <c r="AF339" s="153">
        <f t="shared" si="82"/>
        <v>0</v>
      </c>
      <c r="AG339" s="153">
        <f t="shared" si="82"/>
        <v>0</v>
      </c>
      <c r="AH339" s="153">
        <f t="shared" si="82"/>
        <v>0</v>
      </c>
      <c r="AI339" s="153">
        <f t="shared" si="82"/>
        <v>0</v>
      </c>
      <c r="AJ339" s="153">
        <f t="shared" si="82"/>
        <v>0</v>
      </c>
      <c r="AK339" s="153">
        <f t="shared" si="82"/>
        <v>0</v>
      </c>
      <c r="AL339" s="153">
        <f t="shared" si="82"/>
        <v>0</v>
      </c>
      <c r="AM339" s="153">
        <f t="shared" si="82"/>
        <v>0</v>
      </c>
      <c r="AN339" s="378"/>
    </row>
    <row r="340" spans="1:40" ht="12.75" customHeight="1">
      <c r="A340" s="286">
        <v>41</v>
      </c>
      <c r="B340" s="323" t="s">
        <v>226</v>
      </c>
      <c r="C340" s="380">
        <v>90095</v>
      </c>
      <c r="D340" s="332" t="s">
        <v>191</v>
      </c>
      <c r="E340" s="356">
        <v>2011</v>
      </c>
      <c r="F340" s="132" t="s">
        <v>106</v>
      </c>
      <c r="G340" s="133" t="s">
        <v>107</v>
      </c>
      <c r="H340" s="134"/>
      <c r="I340" s="227"/>
      <c r="J340" s="136"/>
      <c r="K340" s="136"/>
      <c r="L340" s="136"/>
      <c r="M340" s="136"/>
      <c r="N340" s="136"/>
      <c r="O340" s="136"/>
      <c r="P340" s="136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376">
        <f>SUM(J347:AM347)</f>
        <v>1000000</v>
      </c>
    </row>
    <row r="341" spans="1:40" ht="12.75">
      <c r="A341" s="287"/>
      <c r="B341" s="319"/>
      <c r="C341" s="381"/>
      <c r="D341" s="333"/>
      <c r="E341" s="354"/>
      <c r="F341" s="281">
        <f>SUM(H346:AM346)</f>
        <v>0</v>
      </c>
      <c r="G341" s="139" t="s">
        <v>108</v>
      </c>
      <c r="H341" s="140"/>
      <c r="I341" s="189">
        <v>500000</v>
      </c>
      <c r="J341" s="142">
        <v>1000000</v>
      </c>
      <c r="K341" s="142"/>
      <c r="L341" s="142"/>
      <c r="M341" s="142"/>
      <c r="N341" s="142"/>
      <c r="O341" s="142"/>
      <c r="P341" s="142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377"/>
    </row>
    <row r="342" spans="1:40" ht="12.75">
      <c r="A342" s="287"/>
      <c r="B342" s="319"/>
      <c r="C342" s="381"/>
      <c r="D342" s="333"/>
      <c r="E342" s="354"/>
      <c r="F342" s="379"/>
      <c r="G342" s="139" t="s">
        <v>109</v>
      </c>
      <c r="H342" s="140"/>
      <c r="I342" s="189"/>
      <c r="J342" s="142"/>
      <c r="K342" s="142"/>
      <c r="L342" s="142"/>
      <c r="M342" s="142"/>
      <c r="N342" s="142"/>
      <c r="O342" s="142"/>
      <c r="P342" s="142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377"/>
    </row>
    <row r="343" spans="1:40" ht="12.75">
      <c r="A343" s="287"/>
      <c r="B343" s="319"/>
      <c r="C343" s="381"/>
      <c r="D343" s="333"/>
      <c r="E343" s="266"/>
      <c r="F343" s="145" t="s">
        <v>110</v>
      </c>
      <c r="G343" s="139" t="s">
        <v>111</v>
      </c>
      <c r="H343" s="140"/>
      <c r="I343" s="189"/>
      <c r="J343" s="142"/>
      <c r="K343" s="142"/>
      <c r="L343" s="142"/>
      <c r="M343" s="142"/>
      <c r="N343" s="142"/>
      <c r="O343" s="142"/>
      <c r="P343" s="142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377"/>
    </row>
    <row r="344" spans="1:40" ht="12.75">
      <c r="A344" s="287"/>
      <c r="B344" s="319"/>
      <c r="C344" s="381"/>
      <c r="D344" s="333"/>
      <c r="E344" s="336">
        <v>2012</v>
      </c>
      <c r="F344" s="281">
        <f>SUM(H347:AM347)</f>
        <v>1500000</v>
      </c>
      <c r="G344" s="139" t="s">
        <v>115</v>
      </c>
      <c r="H344" s="140"/>
      <c r="I344" s="189"/>
      <c r="J344" s="142"/>
      <c r="K344" s="142"/>
      <c r="L344" s="142"/>
      <c r="M344" s="142"/>
      <c r="N344" s="142"/>
      <c r="O344" s="142"/>
      <c r="P344" s="142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377"/>
    </row>
    <row r="345" spans="1:40" ht="12.75">
      <c r="A345" s="287"/>
      <c r="B345" s="319"/>
      <c r="C345" s="381"/>
      <c r="D345" s="333"/>
      <c r="E345" s="354"/>
      <c r="F345" s="379"/>
      <c r="G345" s="139" t="s">
        <v>116</v>
      </c>
      <c r="H345" s="140"/>
      <c r="I345" s="189"/>
      <c r="J345" s="142"/>
      <c r="K345" s="142"/>
      <c r="L345" s="142"/>
      <c r="M345" s="142"/>
      <c r="N345" s="142"/>
      <c r="O345" s="142"/>
      <c r="P345" s="142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377"/>
    </row>
    <row r="346" spans="1:40" ht="12.75">
      <c r="A346" s="287"/>
      <c r="B346" s="319"/>
      <c r="C346" s="381"/>
      <c r="D346" s="333"/>
      <c r="E346" s="354"/>
      <c r="F346" s="145" t="s">
        <v>114</v>
      </c>
      <c r="G346" s="139" t="s">
        <v>117</v>
      </c>
      <c r="H346" s="146">
        <f aca="true" t="shared" si="83" ref="H346:AM346">H340+H342+H344</f>
        <v>0</v>
      </c>
      <c r="I346" s="191">
        <f t="shared" si="83"/>
        <v>0</v>
      </c>
      <c r="J346" s="148">
        <f t="shared" si="83"/>
        <v>0</v>
      </c>
      <c r="K346" s="148">
        <f t="shared" si="83"/>
        <v>0</v>
      </c>
      <c r="L346" s="148">
        <f t="shared" si="83"/>
        <v>0</v>
      </c>
      <c r="M346" s="148">
        <f t="shared" si="83"/>
        <v>0</v>
      </c>
      <c r="N346" s="148">
        <f t="shared" si="83"/>
        <v>0</v>
      </c>
      <c r="O346" s="148">
        <f t="shared" si="83"/>
        <v>0</v>
      </c>
      <c r="P346" s="148">
        <f t="shared" si="83"/>
        <v>0</v>
      </c>
      <c r="Q346" s="148">
        <f t="shared" si="83"/>
        <v>0</v>
      </c>
      <c r="R346" s="148">
        <f t="shared" si="83"/>
        <v>0</v>
      </c>
      <c r="S346" s="148">
        <f t="shared" si="83"/>
        <v>0</v>
      </c>
      <c r="T346" s="148">
        <f t="shared" si="83"/>
        <v>0</v>
      </c>
      <c r="U346" s="148">
        <f t="shared" si="83"/>
        <v>0</v>
      </c>
      <c r="V346" s="148">
        <f t="shared" si="83"/>
        <v>0</v>
      </c>
      <c r="W346" s="148">
        <f t="shared" si="83"/>
        <v>0</v>
      </c>
      <c r="X346" s="148">
        <f t="shared" si="83"/>
        <v>0</v>
      </c>
      <c r="Y346" s="148">
        <f t="shared" si="83"/>
        <v>0</v>
      </c>
      <c r="Z346" s="148">
        <f t="shared" si="83"/>
        <v>0</v>
      </c>
      <c r="AA346" s="148">
        <f t="shared" si="83"/>
        <v>0</v>
      </c>
      <c r="AB346" s="148">
        <f t="shared" si="83"/>
        <v>0</v>
      </c>
      <c r="AC346" s="148">
        <f t="shared" si="83"/>
        <v>0</v>
      </c>
      <c r="AD346" s="148">
        <f t="shared" si="83"/>
        <v>0</v>
      </c>
      <c r="AE346" s="148">
        <f t="shared" si="83"/>
        <v>0</v>
      </c>
      <c r="AF346" s="148">
        <f t="shared" si="83"/>
        <v>0</v>
      </c>
      <c r="AG346" s="148">
        <f t="shared" si="83"/>
        <v>0</v>
      </c>
      <c r="AH346" s="148">
        <f t="shared" si="83"/>
        <v>0</v>
      </c>
      <c r="AI346" s="148">
        <f t="shared" si="83"/>
        <v>0</v>
      </c>
      <c r="AJ346" s="148">
        <f t="shared" si="83"/>
        <v>0</v>
      </c>
      <c r="AK346" s="148">
        <f t="shared" si="83"/>
        <v>0</v>
      </c>
      <c r="AL346" s="148">
        <f t="shared" si="83"/>
        <v>0</v>
      </c>
      <c r="AM346" s="148">
        <f t="shared" si="83"/>
        <v>0</v>
      </c>
      <c r="AN346" s="377"/>
    </row>
    <row r="347" spans="1:40" ht="13.5" thickBot="1">
      <c r="A347" s="287"/>
      <c r="B347" s="320"/>
      <c r="C347" s="382"/>
      <c r="D347" s="334"/>
      <c r="E347" s="355"/>
      <c r="F347" s="226">
        <f>F341+F344</f>
        <v>1500000</v>
      </c>
      <c r="G347" s="150" t="s">
        <v>118</v>
      </c>
      <c r="H347" s="151">
        <f aca="true" t="shared" si="84" ref="H347:AM347">H341+H343+H345</f>
        <v>0</v>
      </c>
      <c r="I347" s="228">
        <f t="shared" si="84"/>
        <v>500000</v>
      </c>
      <c r="J347" s="153">
        <f t="shared" si="84"/>
        <v>1000000</v>
      </c>
      <c r="K347" s="153">
        <f t="shared" si="84"/>
        <v>0</v>
      </c>
      <c r="L347" s="153">
        <f t="shared" si="84"/>
        <v>0</v>
      </c>
      <c r="M347" s="153">
        <f t="shared" si="84"/>
        <v>0</v>
      </c>
      <c r="N347" s="153">
        <f t="shared" si="84"/>
        <v>0</v>
      </c>
      <c r="O347" s="153">
        <f t="shared" si="84"/>
        <v>0</v>
      </c>
      <c r="P347" s="153">
        <f t="shared" si="84"/>
        <v>0</v>
      </c>
      <c r="Q347" s="153">
        <f t="shared" si="84"/>
        <v>0</v>
      </c>
      <c r="R347" s="153">
        <f t="shared" si="84"/>
        <v>0</v>
      </c>
      <c r="S347" s="153">
        <f t="shared" si="84"/>
        <v>0</v>
      </c>
      <c r="T347" s="153">
        <f t="shared" si="84"/>
        <v>0</v>
      </c>
      <c r="U347" s="153">
        <f t="shared" si="84"/>
        <v>0</v>
      </c>
      <c r="V347" s="153">
        <f t="shared" si="84"/>
        <v>0</v>
      </c>
      <c r="W347" s="153">
        <f t="shared" si="84"/>
        <v>0</v>
      </c>
      <c r="X347" s="153">
        <f t="shared" si="84"/>
        <v>0</v>
      </c>
      <c r="Y347" s="153">
        <f t="shared" si="84"/>
        <v>0</v>
      </c>
      <c r="Z347" s="153">
        <f t="shared" si="84"/>
        <v>0</v>
      </c>
      <c r="AA347" s="153">
        <f t="shared" si="84"/>
        <v>0</v>
      </c>
      <c r="AB347" s="153">
        <f t="shared" si="84"/>
        <v>0</v>
      </c>
      <c r="AC347" s="153">
        <f t="shared" si="84"/>
        <v>0</v>
      </c>
      <c r="AD347" s="153">
        <f t="shared" si="84"/>
        <v>0</v>
      </c>
      <c r="AE347" s="153">
        <f t="shared" si="84"/>
        <v>0</v>
      </c>
      <c r="AF347" s="153">
        <f t="shared" si="84"/>
        <v>0</v>
      </c>
      <c r="AG347" s="153">
        <f t="shared" si="84"/>
        <v>0</v>
      </c>
      <c r="AH347" s="153">
        <f t="shared" si="84"/>
        <v>0</v>
      </c>
      <c r="AI347" s="153">
        <f t="shared" si="84"/>
        <v>0</v>
      </c>
      <c r="AJ347" s="153">
        <f t="shared" si="84"/>
        <v>0</v>
      </c>
      <c r="AK347" s="153">
        <f t="shared" si="84"/>
        <v>0</v>
      </c>
      <c r="AL347" s="153">
        <f t="shared" si="84"/>
        <v>0</v>
      </c>
      <c r="AM347" s="153">
        <f t="shared" si="84"/>
        <v>0</v>
      </c>
      <c r="AN347" s="378"/>
    </row>
    <row r="348" spans="1:40" ht="12.75" customHeight="1">
      <c r="A348" s="286">
        <v>42</v>
      </c>
      <c r="B348" s="289" t="s">
        <v>227</v>
      </c>
      <c r="C348" s="401">
        <v>92106</v>
      </c>
      <c r="D348" s="403" t="s">
        <v>191</v>
      </c>
      <c r="E348" s="393">
        <v>2010</v>
      </c>
      <c r="F348" s="233" t="s">
        <v>106</v>
      </c>
      <c r="G348" s="234" t="s">
        <v>107</v>
      </c>
      <c r="H348" s="235"/>
      <c r="I348" s="236"/>
      <c r="J348" s="237"/>
      <c r="K348" s="158"/>
      <c r="L348" s="158"/>
      <c r="M348" s="158"/>
      <c r="N348" s="158"/>
      <c r="O348" s="158"/>
      <c r="P348" s="158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376">
        <f>SUM(J355:AM355)</f>
        <v>8483037</v>
      </c>
    </row>
    <row r="349" spans="1:40" ht="12.75">
      <c r="A349" s="287"/>
      <c r="B349" s="289"/>
      <c r="C349" s="401"/>
      <c r="D349" s="404"/>
      <c r="E349" s="393"/>
      <c r="F349" s="405">
        <f>SUM(H354:AM354)</f>
        <v>0</v>
      </c>
      <c r="G349" s="229" t="s">
        <v>108</v>
      </c>
      <c r="H349" s="230">
        <v>910400</v>
      </c>
      <c r="I349" s="231">
        <f>5659967-2300000</f>
        <v>3359967</v>
      </c>
      <c r="J349" s="232">
        <f>1477910+2300000</f>
        <v>3777910</v>
      </c>
      <c r="K349" s="232">
        <v>4705127</v>
      </c>
      <c r="L349" s="232"/>
      <c r="M349" s="232"/>
      <c r="N349" s="142"/>
      <c r="O349" s="142"/>
      <c r="P349" s="142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377"/>
    </row>
    <row r="350" spans="1:40" ht="12.75">
      <c r="A350" s="287"/>
      <c r="B350" s="289"/>
      <c r="C350" s="401"/>
      <c r="D350" s="404"/>
      <c r="E350" s="393"/>
      <c r="F350" s="406"/>
      <c r="G350" s="229" t="s">
        <v>109</v>
      </c>
      <c r="H350" s="230"/>
      <c r="I350" s="231"/>
      <c r="J350" s="232"/>
      <c r="K350" s="232"/>
      <c r="L350" s="232"/>
      <c r="M350" s="232"/>
      <c r="N350" s="142"/>
      <c r="O350" s="142"/>
      <c r="P350" s="142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377"/>
    </row>
    <row r="351" spans="1:40" ht="12.75">
      <c r="A351" s="287"/>
      <c r="B351" s="289"/>
      <c r="C351" s="401"/>
      <c r="D351" s="404"/>
      <c r="E351" s="394"/>
      <c r="F351" s="238" t="s">
        <v>110</v>
      </c>
      <c r="G351" s="229" t="s">
        <v>111</v>
      </c>
      <c r="H351" s="230"/>
      <c r="I351" s="231"/>
      <c r="J351" s="232"/>
      <c r="K351" s="232"/>
      <c r="L351" s="232"/>
      <c r="M351" s="232"/>
      <c r="N351" s="142"/>
      <c r="O351" s="142"/>
      <c r="P351" s="142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377"/>
    </row>
    <row r="352" spans="1:40" ht="12.75">
      <c r="A352" s="287"/>
      <c r="B352" s="289"/>
      <c r="C352" s="401"/>
      <c r="D352" s="404"/>
      <c r="E352" s="395">
        <v>2013</v>
      </c>
      <c r="F352" s="405">
        <f>SUM(H355:AM355)</f>
        <v>12753404</v>
      </c>
      <c r="G352" s="229" t="s">
        <v>115</v>
      </c>
      <c r="H352" s="230"/>
      <c r="I352" s="231"/>
      <c r="J352" s="232"/>
      <c r="K352" s="232"/>
      <c r="L352" s="232"/>
      <c r="M352" s="232"/>
      <c r="N352" s="142"/>
      <c r="O352" s="142"/>
      <c r="P352" s="142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377"/>
    </row>
    <row r="353" spans="1:40" ht="12.75">
      <c r="A353" s="287"/>
      <c r="B353" s="289"/>
      <c r="C353" s="401"/>
      <c r="D353" s="404"/>
      <c r="E353" s="393"/>
      <c r="F353" s="406"/>
      <c r="G353" s="229" t="s">
        <v>116</v>
      </c>
      <c r="H353" s="230"/>
      <c r="I353" s="231"/>
      <c r="J353" s="232"/>
      <c r="K353" s="232"/>
      <c r="L353" s="232"/>
      <c r="M353" s="232"/>
      <c r="N353" s="142"/>
      <c r="O353" s="142"/>
      <c r="P353" s="142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377"/>
    </row>
    <row r="354" spans="1:40" ht="12.75">
      <c r="A354" s="287"/>
      <c r="B354" s="289"/>
      <c r="C354" s="401"/>
      <c r="D354" s="404"/>
      <c r="E354" s="393"/>
      <c r="F354" s="238" t="s">
        <v>114</v>
      </c>
      <c r="G354" s="229" t="s">
        <v>117</v>
      </c>
      <c r="H354" s="239">
        <f aca="true" t="shared" si="85" ref="H354:AM354">H348+H350+H352</f>
        <v>0</v>
      </c>
      <c r="I354" s="240">
        <f t="shared" si="85"/>
        <v>0</v>
      </c>
      <c r="J354" s="241">
        <f t="shared" si="85"/>
        <v>0</v>
      </c>
      <c r="K354" s="241">
        <f t="shared" si="85"/>
        <v>0</v>
      </c>
      <c r="L354" s="241">
        <f t="shared" si="85"/>
        <v>0</v>
      </c>
      <c r="M354" s="241">
        <f t="shared" si="85"/>
        <v>0</v>
      </c>
      <c r="N354" s="148">
        <f t="shared" si="85"/>
        <v>0</v>
      </c>
      <c r="O354" s="148">
        <f t="shared" si="85"/>
        <v>0</v>
      </c>
      <c r="P354" s="148">
        <f t="shared" si="85"/>
        <v>0</v>
      </c>
      <c r="Q354" s="148">
        <f t="shared" si="85"/>
        <v>0</v>
      </c>
      <c r="R354" s="148">
        <f t="shared" si="85"/>
        <v>0</v>
      </c>
      <c r="S354" s="148">
        <f t="shared" si="85"/>
        <v>0</v>
      </c>
      <c r="T354" s="148">
        <f t="shared" si="85"/>
        <v>0</v>
      </c>
      <c r="U354" s="148">
        <f t="shared" si="85"/>
        <v>0</v>
      </c>
      <c r="V354" s="148">
        <f t="shared" si="85"/>
        <v>0</v>
      </c>
      <c r="W354" s="148">
        <f t="shared" si="85"/>
        <v>0</v>
      </c>
      <c r="X354" s="148">
        <f t="shared" si="85"/>
        <v>0</v>
      </c>
      <c r="Y354" s="148">
        <f t="shared" si="85"/>
        <v>0</v>
      </c>
      <c r="Z354" s="148">
        <f t="shared" si="85"/>
        <v>0</v>
      </c>
      <c r="AA354" s="148">
        <f t="shared" si="85"/>
        <v>0</v>
      </c>
      <c r="AB354" s="148">
        <f t="shared" si="85"/>
        <v>0</v>
      </c>
      <c r="AC354" s="148">
        <f t="shared" si="85"/>
        <v>0</v>
      </c>
      <c r="AD354" s="148">
        <f t="shared" si="85"/>
        <v>0</v>
      </c>
      <c r="AE354" s="148">
        <f t="shared" si="85"/>
        <v>0</v>
      </c>
      <c r="AF354" s="148">
        <f t="shared" si="85"/>
        <v>0</v>
      </c>
      <c r="AG354" s="148">
        <f t="shared" si="85"/>
        <v>0</v>
      </c>
      <c r="AH354" s="148">
        <f t="shared" si="85"/>
        <v>0</v>
      </c>
      <c r="AI354" s="148">
        <f t="shared" si="85"/>
        <v>0</v>
      </c>
      <c r="AJ354" s="148">
        <f t="shared" si="85"/>
        <v>0</v>
      </c>
      <c r="AK354" s="148">
        <f t="shared" si="85"/>
        <v>0</v>
      </c>
      <c r="AL354" s="148">
        <f t="shared" si="85"/>
        <v>0</v>
      </c>
      <c r="AM354" s="148">
        <f t="shared" si="85"/>
        <v>0</v>
      </c>
      <c r="AN354" s="377"/>
    </row>
    <row r="355" spans="1:40" ht="13.5" thickBot="1">
      <c r="A355" s="287"/>
      <c r="B355" s="289"/>
      <c r="C355" s="401"/>
      <c r="D355" s="404"/>
      <c r="E355" s="393"/>
      <c r="F355" s="242">
        <f>F349+F352</f>
        <v>12753404</v>
      </c>
      <c r="G355" s="243" t="s">
        <v>118</v>
      </c>
      <c r="H355" s="244">
        <f aca="true" t="shared" si="86" ref="H355:AM355">H349+H351+H353</f>
        <v>910400</v>
      </c>
      <c r="I355" s="245">
        <f t="shared" si="86"/>
        <v>3359967</v>
      </c>
      <c r="J355" s="246">
        <f t="shared" si="86"/>
        <v>3777910</v>
      </c>
      <c r="K355" s="246">
        <f t="shared" si="86"/>
        <v>4705127</v>
      </c>
      <c r="L355" s="246">
        <f t="shared" si="86"/>
        <v>0</v>
      </c>
      <c r="M355" s="246">
        <f t="shared" si="86"/>
        <v>0</v>
      </c>
      <c r="N355" s="166">
        <f t="shared" si="86"/>
        <v>0</v>
      </c>
      <c r="O355" s="166">
        <f t="shared" si="86"/>
        <v>0</v>
      </c>
      <c r="P355" s="166">
        <f t="shared" si="86"/>
        <v>0</v>
      </c>
      <c r="Q355" s="166">
        <f t="shared" si="86"/>
        <v>0</v>
      </c>
      <c r="R355" s="166">
        <f t="shared" si="86"/>
        <v>0</v>
      </c>
      <c r="S355" s="166">
        <f t="shared" si="86"/>
        <v>0</v>
      </c>
      <c r="T355" s="166">
        <f t="shared" si="86"/>
        <v>0</v>
      </c>
      <c r="U355" s="166">
        <f t="shared" si="86"/>
        <v>0</v>
      </c>
      <c r="V355" s="166">
        <f t="shared" si="86"/>
        <v>0</v>
      </c>
      <c r="W355" s="166">
        <f t="shared" si="86"/>
        <v>0</v>
      </c>
      <c r="X355" s="166">
        <f t="shared" si="86"/>
        <v>0</v>
      </c>
      <c r="Y355" s="166">
        <f t="shared" si="86"/>
        <v>0</v>
      </c>
      <c r="Z355" s="166">
        <f t="shared" si="86"/>
        <v>0</v>
      </c>
      <c r="AA355" s="166">
        <f t="shared" si="86"/>
        <v>0</v>
      </c>
      <c r="AB355" s="166">
        <f t="shared" si="86"/>
        <v>0</v>
      </c>
      <c r="AC355" s="166">
        <f t="shared" si="86"/>
        <v>0</v>
      </c>
      <c r="AD355" s="166">
        <f t="shared" si="86"/>
        <v>0</v>
      </c>
      <c r="AE355" s="166">
        <f t="shared" si="86"/>
        <v>0</v>
      </c>
      <c r="AF355" s="166">
        <f t="shared" si="86"/>
        <v>0</v>
      </c>
      <c r="AG355" s="166">
        <f t="shared" si="86"/>
        <v>0</v>
      </c>
      <c r="AH355" s="166">
        <f t="shared" si="86"/>
        <v>0</v>
      </c>
      <c r="AI355" s="166">
        <f t="shared" si="86"/>
        <v>0</v>
      </c>
      <c r="AJ355" s="166">
        <f t="shared" si="86"/>
        <v>0</v>
      </c>
      <c r="AK355" s="166">
        <f t="shared" si="86"/>
        <v>0</v>
      </c>
      <c r="AL355" s="166">
        <f t="shared" si="86"/>
        <v>0</v>
      </c>
      <c r="AM355" s="166">
        <f t="shared" si="86"/>
        <v>0</v>
      </c>
      <c r="AN355" s="378"/>
    </row>
    <row r="356" spans="1:40" ht="12.75" customHeight="1">
      <c r="A356" s="286">
        <v>43</v>
      </c>
      <c r="B356" s="323" t="s">
        <v>228</v>
      </c>
      <c r="C356" s="380">
        <v>92109</v>
      </c>
      <c r="D356" s="332" t="s">
        <v>191</v>
      </c>
      <c r="E356" s="392">
        <v>2007</v>
      </c>
      <c r="F356" s="132" t="s">
        <v>106</v>
      </c>
      <c r="G356" s="133" t="s">
        <v>107</v>
      </c>
      <c r="H356" s="134"/>
      <c r="I356" s="227"/>
      <c r="J356" s="136"/>
      <c r="K356" s="136"/>
      <c r="L356" s="136"/>
      <c r="M356" s="136"/>
      <c r="N356" s="136"/>
      <c r="O356" s="136"/>
      <c r="P356" s="136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376">
        <f>SUM(J363:AM363)</f>
        <v>0</v>
      </c>
    </row>
    <row r="357" spans="1:40" ht="12.75">
      <c r="A357" s="287"/>
      <c r="B357" s="319"/>
      <c r="C357" s="381"/>
      <c r="D357" s="333"/>
      <c r="E357" s="393"/>
      <c r="F357" s="281">
        <f>SUM(H362:AM362)</f>
        <v>0</v>
      </c>
      <c r="G357" s="139" t="s">
        <v>108</v>
      </c>
      <c r="H357" s="140">
        <v>9265253</v>
      </c>
      <c r="I357" s="189">
        <f>100000+800000</f>
        <v>900000</v>
      </c>
      <c r="J357" s="142"/>
      <c r="K357" s="142"/>
      <c r="L357" s="142"/>
      <c r="M357" s="142"/>
      <c r="N357" s="142"/>
      <c r="O357" s="142"/>
      <c r="P357" s="142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377"/>
    </row>
    <row r="358" spans="1:40" ht="12.75">
      <c r="A358" s="287"/>
      <c r="B358" s="319"/>
      <c r="C358" s="381"/>
      <c r="D358" s="333"/>
      <c r="E358" s="393"/>
      <c r="F358" s="379"/>
      <c r="G358" s="139" t="s">
        <v>109</v>
      </c>
      <c r="H358" s="140"/>
      <c r="I358" s="189"/>
      <c r="J358" s="142"/>
      <c r="K358" s="142"/>
      <c r="L358" s="142"/>
      <c r="M358" s="142"/>
      <c r="N358" s="142"/>
      <c r="O358" s="142"/>
      <c r="P358" s="142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377"/>
    </row>
    <row r="359" spans="1:40" ht="12.75">
      <c r="A359" s="287"/>
      <c r="B359" s="319"/>
      <c r="C359" s="381"/>
      <c r="D359" s="333"/>
      <c r="E359" s="394"/>
      <c r="F359" s="145" t="s">
        <v>110</v>
      </c>
      <c r="G359" s="139" t="s">
        <v>111</v>
      </c>
      <c r="H359" s="140"/>
      <c r="I359" s="189"/>
      <c r="J359" s="142"/>
      <c r="K359" s="142"/>
      <c r="L359" s="142"/>
      <c r="M359" s="142"/>
      <c r="N359" s="142"/>
      <c r="O359" s="142"/>
      <c r="P359" s="142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377"/>
    </row>
    <row r="360" spans="1:40" ht="12.75">
      <c r="A360" s="287"/>
      <c r="B360" s="319"/>
      <c r="C360" s="381"/>
      <c r="D360" s="333"/>
      <c r="E360" s="395">
        <v>2011</v>
      </c>
      <c r="F360" s="281">
        <f>SUM(H363:AM363)</f>
        <v>10165253</v>
      </c>
      <c r="G360" s="139" t="s">
        <v>115</v>
      </c>
      <c r="H360" s="140"/>
      <c r="I360" s="189"/>
      <c r="J360" s="142"/>
      <c r="K360" s="142"/>
      <c r="L360" s="142"/>
      <c r="M360" s="142"/>
      <c r="N360" s="142"/>
      <c r="O360" s="142"/>
      <c r="P360" s="142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377"/>
    </row>
    <row r="361" spans="1:40" ht="12.75">
      <c r="A361" s="287"/>
      <c r="B361" s="319"/>
      <c r="C361" s="381"/>
      <c r="D361" s="333"/>
      <c r="E361" s="393"/>
      <c r="F361" s="379"/>
      <c r="G361" s="139" t="s">
        <v>116</v>
      </c>
      <c r="H361" s="140"/>
      <c r="I361" s="189"/>
      <c r="J361" s="142"/>
      <c r="K361" s="142"/>
      <c r="L361" s="142"/>
      <c r="M361" s="142"/>
      <c r="N361" s="142"/>
      <c r="O361" s="142"/>
      <c r="P361" s="142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377"/>
    </row>
    <row r="362" spans="1:40" ht="12.75">
      <c r="A362" s="287"/>
      <c r="B362" s="319"/>
      <c r="C362" s="381"/>
      <c r="D362" s="333"/>
      <c r="E362" s="393"/>
      <c r="F362" s="145" t="s">
        <v>114</v>
      </c>
      <c r="G362" s="139" t="s">
        <v>117</v>
      </c>
      <c r="H362" s="146">
        <f aca="true" t="shared" si="87" ref="H362:AM362">H356+H358+H360</f>
        <v>0</v>
      </c>
      <c r="I362" s="191">
        <f t="shared" si="87"/>
        <v>0</v>
      </c>
      <c r="J362" s="148">
        <f t="shared" si="87"/>
        <v>0</v>
      </c>
      <c r="K362" s="148">
        <f t="shared" si="87"/>
        <v>0</v>
      </c>
      <c r="L362" s="148">
        <f t="shared" si="87"/>
        <v>0</v>
      </c>
      <c r="M362" s="148">
        <f t="shared" si="87"/>
        <v>0</v>
      </c>
      <c r="N362" s="148">
        <f t="shared" si="87"/>
        <v>0</v>
      </c>
      <c r="O362" s="148">
        <f t="shared" si="87"/>
        <v>0</v>
      </c>
      <c r="P362" s="148">
        <f t="shared" si="87"/>
        <v>0</v>
      </c>
      <c r="Q362" s="148">
        <f t="shared" si="87"/>
        <v>0</v>
      </c>
      <c r="R362" s="148">
        <f t="shared" si="87"/>
        <v>0</v>
      </c>
      <c r="S362" s="148">
        <f t="shared" si="87"/>
        <v>0</v>
      </c>
      <c r="T362" s="148">
        <f t="shared" si="87"/>
        <v>0</v>
      </c>
      <c r="U362" s="148">
        <f t="shared" si="87"/>
        <v>0</v>
      </c>
      <c r="V362" s="148">
        <f t="shared" si="87"/>
        <v>0</v>
      </c>
      <c r="W362" s="148">
        <f t="shared" si="87"/>
        <v>0</v>
      </c>
      <c r="X362" s="148">
        <f t="shared" si="87"/>
        <v>0</v>
      </c>
      <c r="Y362" s="148">
        <f t="shared" si="87"/>
        <v>0</v>
      </c>
      <c r="Z362" s="148">
        <f t="shared" si="87"/>
        <v>0</v>
      </c>
      <c r="AA362" s="148">
        <f t="shared" si="87"/>
        <v>0</v>
      </c>
      <c r="AB362" s="148">
        <f t="shared" si="87"/>
        <v>0</v>
      </c>
      <c r="AC362" s="148">
        <f t="shared" si="87"/>
        <v>0</v>
      </c>
      <c r="AD362" s="148">
        <f t="shared" si="87"/>
        <v>0</v>
      </c>
      <c r="AE362" s="148">
        <f t="shared" si="87"/>
        <v>0</v>
      </c>
      <c r="AF362" s="148">
        <f t="shared" si="87"/>
        <v>0</v>
      </c>
      <c r="AG362" s="148">
        <f t="shared" si="87"/>
        <v>0</v>
      </c>
      <c r="AH362" s="148">
        <f t="shared" si="87"/>
        <v>0</v>
      </c>
      <c r="AI362" s="148">
        <f t="shared" si="87"/>
        <v>0</v>
      </c>
      <c r="AJ362" s="148">
        <f t="shared" si="87"/>
        <v>0</v>
      </c>
      <c r="AK362" s="148">
        <f t="shared" si="87"/>
        <v>0</v>
      </c>
      <c r="AL362" s="148">
        <f t="shared" si="87"/>
        <v>0</v>
      </c>
      <c r="AM362" s="148">
        <f t="shared" si="87"/>
        <v>0</v>
      </c>
      <c r="AN362" s="377"/>
    </row>
    <row r="363" spans="1:40" ht="18" customHeight="1" thickBot="1">
      <c r="A363" s="287"/>
      <c r="B363" s="320"/>
      <c r="C363" s="382"/>
      <c r="D363" s="334"/>
      <c r="E363" s="396"/>
      <c r="F363" s="226">
        <f>F357+F360</f>
        <v>10165253</v>
      </c>
      <c r="G363" s="150" t="s">
        <v>118</v>
      </c>
      <c r="H363" s="151">
        <f aca="true" t="shared" si="88" ref="H363:AM363">H357+H359+H361</f>
        <v>9265253</v>
      </c>
      <c r="I363" s="228">
        <f t="shared" si="88"/>
        <v>900000</v>
      </c>
      <c r="J363" s="153">
        <f t="shared" si="88"/>
        <v>0</v>
      </c>
      <c r="K363" s="153">
        <f t="shared" si="88"/>
        <v>0</v>
      </c>
      <c r="L363" s="153">
        <f t="shared" si="88"/>
        <v>0</v>
      </c>
      <c r="M363" s="153">
        <f t="shared" si="88"/>
        <v>0</v>
      </c>
      <c r="N363" s="153">
        <f t="shared" si="88"/>
        <v>0</v>
      </c>
      <c r="O363" s="153">
        <f t="shared" si="88"/>
        <v>0</v>
      </c>
      <c r="P363" s="153">
        <f t="shared" si="88"/>
        <v>0</v>
      </c>
      <c r="Q363" s="153">
        <f t="shared" si="88"/>
        <v>0</v>
      </c>
      <c r="R363" s="153">
        <f t="shared" si="88"/>
        <v>0</v>
      </c>
      <c r="S363" s="153">
        <f t="shared" si="88"/>
        <v>0</v>
      </c>
      <c r="T363" s="153">
        <f t="shared" si="88"/>
        <v>0</v>
      </c>
      <c r="U363" s="153">
        <f t="shared" si="88"/>
        <v>0</v>
      </c>
      <c r="V363" s="153">
        <f t="shared" si="88"/>
        <v>0</v>
      </c>
      <c r="W363" s="153">
        <f t="shared" si="88"/>
        <v>0</v>
      </c>
      <c r="X363" s="153">
        <f t="shared" si="88"/>
        <v>0</v>
      </c>
      <c r="Y363" s="153">
        <f t="shared" si="88"/>
        <v>0</v>
      </c>
      <c r="Z363" s="153">
        <f t="shared" si="88"/>
        <v>0</v>
      </c>
      <c r="AA363" s="153">
        <f t="shared" si="88"/>
        <v>0</v>
      </c>
      <c r="AB363" s="153">
        <f t="shared" si="88"/>
        <v>0</v>
      </c>
      <c r="AC363" s="153">
        <f t="shared" si="88"/>
        <v>0</v>
      </c>
      <c r="AD363" s="153">
        <f t="shared" si="88"/>
        <v>0</v>
      </c>
      <c r="AE363" s="153">
        <f t="shared" si="88"/>
        <v>0</v>
      </c>
      <c r="AF363" s="153">
        <f t="shared" si="88"/>
        <v>0</v>
      </c>
      <c r="AG363" s="153">
        <f t="shared" si="88"/>
        <v>0</v>
      </c>
      <c r="AH363" s="153">
        <f t="shared" si="88"/>
        <v>0</v>
      </c>
      <c r="AI363" s="153">
        <f t="shared" si="88"/>
        <v>0</v>
      </c>
      <c r="AJ363" s="153">
        <f t="shared" si="88"/>
        <v>0</v>
      </c>
      <c r="AK363" s="153">
        <f t="shared" si="88"/>
        <v>0</v>
      </c>
      <c r="AL363" s="153">
        <f t="shared" si="88"/>
        <v>0</v>
      </c>
      <c r="AM363" s="153">
        <f t="shared" si="88"/>
        <v>0</v>
      </c>
      <c r="AN363" s="378"/>
    </row>
    <row r="364" spans="1:40" ht="12.75" customHeight="1">
      <c r="A364" s="286">
        <v>44</v>
      </c>
      <c r="B364" s="323" t="s">
        <v>229</v>
      </c>
      <c r="C364" s="380">
        <v>92116</v>
      </c>
      <c r="D364" s="332" t="s">
        <v>191</v>
      </c>
      <c r="E364" s="356">
        <v>2011</v>
      </c>
      <c r="F364" s="132" t="s">
        <v>106</v>
      </c>
      <c r="G364" s="133" t="s">
        <v>107</v>
      </c>
      <c r="H364" s="134"/>
      <c r="I364" s="227"/>
      <c r="J364" s="136"/>
      <c r="K364" s="136"/>
      <c r="L364" s="136"/>
      <c r="M364" s="136"/>
      <c r="N364" s="136"/>
      <c r="O364" s="136"/>
      <c r="P364" s="136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376">
        <f>SUM(J371:AM371)</f>
        <v>250000</v>
      </c>
    </row>
    <row r="365" spans="1:40" ht="12.75">
      <c r="A365" s="287"/>
      <c r="B365" s="319"/>
      <c r="C365" s="381"/>
      <c r="D365" s="333"/>
      <c r="E365" s="354"/>
      <c r="F365" s="281">
        <f>SUM(H370:AM370)</f>
        <v>0</v>
      </c>
      <c r="G365" s="139" t="s">
        <v>108</v>
      </c>
      <c r="H365" s="140"/>
      <c r="I365" s="189">
        <f>100000+800000</f>
        <v>900000</v>
      </c>
      <c r="J365" s="142">
        <v>250000</v>
      </c>
      <c r="K365" s="142"/>
      <c r="L365" s="142"/>
      <c r="M365" s="142"/>
      <c r="N365" s="142"/>
      <c r="O365" s="142"/>
      <c r="P365" s="142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377"/>
    </row>
    <row r="366" spans="1:40" ht="12.75">
      <c r="A366" s="287"/>
      <c r="B366" s="319"/>
      <c r="C366" s="381"/>
      <c r="D366" s="333"/>
      <c r="E366" s="354"/>
      <c r="F366" s="379"/>
      <c r="G366" s="139" t="s">
        <v>109</v>
      </c>
      <c r="H366" s="140"/>
      <c r="I366" s="189"/>
      <c r="J366" s="142"/>
      <c r="K366" s="142"/>
      <c r="L366" s="142"/>
      <c r="M366" s="142"/>
      <c r="N366" s="142"/>
      <c r="O366" s="142"/>
      <c r="P366" s="142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377"/>
    </row>
    <row r="367" spans="1:40" ht="12.75">
      <c r="A367" s="287"/>
      <c r="B367" s="319"/>
      <c r="C367" s="381"/>
      <c r="D367" s="333"/>
      <c r="E367" s="266"/>
      <c r="F367" s="145" t="s">
        <v>110</v>
      </c>
      <c r="G367" s="139" t="s">
        <v>111</v>
      </c>
      <c r="H367" s="140"/>
      <c r="I367" s="189"/>
      <c r="J367" s="142"/>
      <c r="K367" s="142"/>
      <c r="L367" s="142"/>
      <c r="M367" s="142"/>
      <c r="N367" s="142"/>
      <c r="O367" s="142"/>
      <c r="P367" s="142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377"/>
    </row>
    <row r="368" spans="1:40" ht="12.75">
      <c r="A368" s="287"/>
      <c r="B368" s="319"/>
      <c r="C368" s="381"/>
      <c r="D368" s="333"/>
      <c r="E368" s="336">
        <v>2012</v>
      </c>
      <c r="F368" s="281">
        <f>SUM(H371:AM371)</f>
        <v>1150000</v>
      </c>
      <c r="G368" s="139" t="s">
        <v>115</v>
      </c>
      <c r="H368" s="140"/>
      <c r="I368" s="189"/>
      <c r="J368" s="142"/>
      <c r="K368" s="142"/>
      <c r="L368" s="142"/>
      <c r="M368" s="142"/>
      <c r="N368" s="142"/>
      <c r="O368" s="142"/>
      <c r="P368" s="142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377"/>
    </row>
    <row r="369" spans="1:40" ht="12.75">
      <c r="A369" s="287"/>
      <c r="B369" s="319"/>
      <c r="C369" s="381"/>
      <c r="D369" s="333"/>
      <c r="E369" s="354"/>
      <c r="F369" s="379"/>
      <c r="G369" s="139" t="s">
        <v>116</v>
      </c>
      <c r="H369" s="140"/>
      <c r="I369" s="189"/>
      <c r="J369" s="142"/>
      <c r="K369" s="142"/>
      <c r="L369" s="142"/>
      <c r="M369" s="142"/>
      <c r="N369" s="142"/>
      <c r="O369" s="142"/>
      <c r="P369" s="142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377"/>
    </row>
    <row r="370" spans="1:40" ht="12.75">
      <c r="A370" s="287"/>
      <c r="B370" s="319"/>
      <c r="C370" s="381"/>
      <c r="D370" s="333"/>
      <c r="E370" s="354"/>
      <c r="F370" s="145" t="s">
        <v>114</v>
      </c>
      <c r="G370" s="139" t="s">
        <v>117</v>
      </c>
      <c r="H370" s="146">
        <f aca="true" t="shared" si="89" ref="H370:AM370">H364+H366+H368</f>
        <v>0</v>
      </c>
      <c r="I370" s="191">
        <f t="shared" si="89"/>
        <v>0</v>
      </c>
      <c r="J370" s="148">
        <f t="shared" si="89"/>
        <v>0</v>
      </c>
      <c r="K370" s="148">
        <f t="shared" si="89"/>
        <v>0</v>
      </c>
      <c r="L370" s="148">
        <f t="shared" si="89"/>
        <v>0</v>
      </c>
      <c r="M370" s="148">
        <f t="shared" si="89"/>
        <v>0</v>
      </c>
      <c r="N370" s="148">
        <f t="shared" si="89"/>
        <v>0</v>
      </c>
      <c r="O370" s="148">
        <f t="shared" si="89"/>
        <v>0</v>
      </c>
      <c r="P370" s="148">
        <f t="shared" si="89"/>
        <v>0</v>
      </c>
      <c r="Q370" s="148">
        <f t="shared" si="89"/>
        <v>0</v>
      </c>
      <c r="R370" s="148">
        <f t="shared" si="89"/>
        <v>0</v>
      </c>
      <c r="S370" s="148">
        <f t="shared" si="89"/>
        <v>0</v>
      </c>
      <c r="T370" s="148">
        <f t="shared" si="89"/>
        <v>0</v>
      </c>
      <c r="U370" s="148">
        <f t="shared" si="89"/>
        <v>0</v>
      </c>
      <c r="V370" s="148">
        <f t="shared" si="89"/>
        <v>0</v>
      </c>
      <c r="W370" s="148">
        <f t="shared" si="89"/>
        <v>0</v>
      </c>
      <c r="X370" s="148">
        <f t="shared" si="89"/>
        <v>0</v>
      </c>
      <c r="Y370" s="148">
        <f t="shared" si="89"/>
        <v>0</v>
      </c>
      <c r="Z370" s="148">
        <f t="shared" si="89"/>
        <v>0</v>
      </c>
      <c r="AA370" s="148">
        <f t="shared" si="89"/>
        <v>0</v>
      </c>
      <c r="AB370" s="148">
        <f t="shared" si="89"/>
        <v>0</v>
      </c>
      <c r="AC370" s="148">
        <f t="shared" si="89"/>
        <v>0</v>
      </c>
      <c r="AD370" s="148">
        <f t="shared" si="89"/>
        <v>0</v>
      </c>
      <c r="AE370" s="148">
        <f t="shared" si="89"/>
        <v>0</v>
      </c>
      <c r="AF370" s="148">
        <f t="shared" si="89"/>
        <v>0</v>
      </c>
      <c r="AG370" s="148">
        <f t="shared" si="89"/>
        <v>0</v>
      </c>
      <c r="AH370" s="148">
        <f t="shared" si="89"/>
        <v>0</v>
      </c>
      <c r="AI370" s="148">
        <f t="shared" si="89"/>
        <v>0</v>
      </c>
      <c r="AJ370" s="148">
        <f t="shared" si="89"/>
        <v>0</v>
      </c>
      <c r="AK370" s="148">
        <f t="shared" si="89"/>
        <v>0</v>
      </c>
      <c r="AL370" s="148">
        <f t="shared" si="89"/>
        <v>0</v>
      </c>
      <c r="AM370" s="148">
        <f t="shared" si="89"/>
        <v>0</v>
      </c>
      <c r="AN370" s="377"/>
    </row>
    <row r="371" spans="1:40" ht="18" customHeight="1" thickBot="1">
      <c r="A371" s="287"/>
      <c r="B371" s="320"/>
      <c r="C371" s="382"/>
      <c r="D371" s="334"/>
      <c r="E371" s="355"/>
      <c r="F371" s="226">
        <f>F365+F368</f>
        <v>1150000</v>
      </c>
      <c r="G371" s="150" t="s">
        <v>118</v>
      </c>
      <c r="H371" s="151">
        <f aca="true" t="shared" si="90" ref="H371:AM371">H365+H367+H369</f>
        <v>0</v>
      </c>
      <c r="I371" s="228">
        <f t="shared" si="90"/>
        <v>900000</v>
      </c>
      <c r="J371" s="153">
        <f t="shared" si="90"/>
        <v>250000</v>
      </c>
      <c r="K371" s="153">
        <f t="shared" si="90"/>
        <v>0</v>
      </c>
      <c r="L371" s="153">
        <f t="shared" si="90"/>
        <v>0</v>
      </c>
      <c r="M371" s="153">
        <f t="shared" si="90"/>
        <v>0</v>
      </c>
      <c r="N371" s="153">
        <f t="shared" si="90"/>
        <v>0</v>
      </c>
      <c r="O371" s="153">
        <f t="shared" si="90"/>
        <v>0</v>
      </c>
      <c r="P371" s="153">
        <f t="shared" si="90"/>
        <v>0</v>
      </c>
      <c r="Q371" s="153">
        <f t="shared" si="90"/>
        <v>0</v>
      </c>
      <c r="R371" s="153">
        <f t="shared" si="90"/>
        <v>0</v>
      </c>
      <c r="S371" s="153">
        <f t="shared" si="90"/>
        <v>0</v>
      </c>
      <c r="T371" s="153">
        <f t="shared" si="90"/>
        <v>0</v>
      </c>
      <c r="U371" s="153">
        <f t="shared" si="90"/>
        <v>0</v>
      </c>
      <c r="V371" s="153">
        <f t="shared" si="90"/>
        <v>0</v>
      </c>
      <c r="W371" s="153">
        <f t="shared" si="90"/>
        <v>0</v>
      </c>
      <c r="X371" s="153">
        <f t="shared" si="90"/>
        <v>0</v>
      </c>
      <c r="Y371" s="153">
        <f t="shared" si="90"/>
        <v>0</v>
      </c>
      <c r="Z371" s="153">
        <f t="shared" si="90"/>
        <v>0</v>
      </c>
      <c r="AA371" s="153">
        <f t="shared" si="90"/>
        <v>0</v>
      </c>
      <c r="AB371" s="153">
        <f t="shared" si="90"/>
        <v>0</v>
      </c>
      <c r="AC371" s="153">
        <f t="shared" si="90"/>
        <v>0</v>
      </c>
      <c r="AD371" s="153">
        <f t="shared" si="90"/>
        <v>0</v>
      </c>
      <c r="AE371" s="153">
        <f t="shared" si="90"/>
        <v>0</v>
      </c>
      <c r="AF371" s="153">
        <f t="shared" si="90"/>
        <v>0</v>
      </c>
      <c r="AG371" s="153">
        <f t="shared" si="90"/>
        <v>0</v>
      </c>
      <c r="AH371" s="153">
        <f t="shared" si="90"/>
        <v>0</v>
      </c>
      <c r="AI371" s="153">
        <f t="shared" si="90"/>
        <v>0</v>
      </c>
      <c r="AJ371" s="153">
        <f t="shared" si="90"/>
        <v>0</v>
      </c>
      <c r="AK371" s="153">
        <f t="shared" si="90"/>
        <v>0</v>
      </c>
      <c r="AL371" s="153">
        <f t="shared" si="90"/>
        <v>0</v>
      </c>
      <c r="AM371" s="153">
        <f t="shared" si="90"/>
        <v>0</v>
      </c>
      <c r="AN371" s="378"/>
    </row>
    <row r="372" spans="1:40" ht="12.75" customHeight="1">
      <c r="A372" s="286">
        <v>45</v>
      </c>
      <c r="B372" s="323" t="s">
        <v>230</v>
      </c>
      <c r="C372" s="380">
        <v>92601</v>
      </c>
      <c r="D372" s="332" t="s">
        <v>231</v>
      </c>
      <c r="E372" s="392">
        <v>2010</v>
      </c>
      <c r="F372" s="132" t="s">
        <v>106</v>
      </c>
      <c r="G372" s="133" t="s">
        <v>192</v>
      </c>
      <c r="H372" s="235"/>
      <c r="I372" s="236">
        <v>5929</v>
      </c>
      <c r="J372" s="237">
        <v>5929</v>
      </c>
      <c r="K372" s="237">
        <v>5929</v>
      </c>
      <c r="L372" s="237">
        <v>5929</v>
      </c>
      <c r="M372" s="237">
        <v>5929</v>
      </c>
      <c r="N372" s="158"/>
      <c r="O372" s="158"/>
      <c r="P372" s="158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376">
        <f>SUM(J379:AM379)</f>
        <v>0</v>
      </c>
    </row>
    <row r="373" spans="1:40" ht="12.75">
      <c r="A373" s="287"/>
      <c r="B373" s="319"/>
      <c r="C373" s="381"/>
      <c r="D373" s="333"/>
      <c r="E373" s="393"/>
      <c r="F373" s="281">
        <f>SUM(H378:AM378)</f>
        <v>29645</v>
      </c>
      <c r="G373" s="139" t="s">
        <v>193</v>
      </c>
      <c r="H373" s="230">
        <v>62661424</v>
      </c>
      <c r="I373" s="231">
        <f>11000000-580325-110000-81000-1790000-50000</f>
        <v>8388675</v>
      </c>
      <c r="J373" s="232"/>
      <c r="K373" s="232"/>
      <c r="L373" s="232"/>
      <c r="M373" s="232"/>
      <c r="N373" s="142"/>
      <c r="O373" s="142"/>
      <c r="P373" s="142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377"/>
    </row>
    <row r="374" spans="1:40" ht="12.75">
      <c r="A374" s="287"/>
      <c r="B374" s="319"/>
      <c r="C374" s="381"/>
      <c r="D374" s="333"/>
      <c r="E374" s="393"/>
      <c r="F374" s="379"/>
      <c r="G374" s="139" t="s">
        <v>109</v>
      </c>
      <c r="H374" s="230"/>
      <c r="I374" s="231"/>
      <c r="J374" s="232"/>
      <c r="K374" s="232"/>
      <c r="L374" s="232"/>
      <c r="M374" s="232"/>
      <c r="N374" s="142"/>
      <c r="O374" s="142"/>
      <c r="P374" s="142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377"/>
    </row>
    <row r="375" spans="1:40" ht="12.75">
      <c r="A375" s="287"/>
      <c r="B375" s="319"/>
      <c r="C375" s="381"/>
      <c r="D375" s="333"/>
      <c r="E375" s="394"/>
      <c r="F375" s="145" t="s">
        <v>110</v>
      </c>
      <c r="G375" s="139" t="s">
        <v>111</v>
      </c>
      <c r="H375" s="230"/>
      <c r="I375" s="231"/>
      <c r="J375" s="232"/>
      <c r="K375" s="232"/>
      <c r="L375" s="232"/>
      <c r="M375" s="232"/>
      <c r="N375" s="142"/>
      <c r="O375" s="142"/>
      <c r="P375" s="142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377"/>
    </row>
    <row r="376" spans="1:40" ht="12.75">
      <c r="A376" s="287"/>
      <c r="B376" s="319"/>
      <c r="C376" s="381"/>
      <c r="D376" s="333"/>
      <c r="E376" s="395">
        <v>2015</v>
      </c>
      <c r="F376" s="281">
        <f>SUM(H379:AM379)</f>
        <v>71050099</v>
      </c>
      <c r="G376" s="139" t="s">
        <v>115</v>
      </c>
      <c r="H376" s="230"/>
      <c r="I376" s="231"/>
      <c r="J376" s="232"/>
      <c r="K376" s="232"/>
      <c r="L376" s="232"/>
      <c r="M376" s="232"/>
      <c r="N376" s="142"/>
      <c r="O376" s="142"/>
      <c r="P376" s="142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377"/>
    </row>
    <row r="377" spans="1:40" ht="12.75">
      <c r="A377" s="287"/>
      <c r="B377" s="319"/>
      <c r="C377" s="381"/>
      <c r="D377" s="333"/>
      <c r="E377" s="393"/>
      <c r="F377" s="379"/>
      <c r="G377" s="139" t="s">
        <v>116</v>
      </c>
      <c r="H377" s="230"/>
      <c r="I377" s="231"/>
      <c r="J377" s="232"/>
      <c r="K377" s="232"/>
      <c r="L377" s="232"/>
      <c r="M377" s="232"/>
      <c r="N377" s="142"/>
      <c r="O377" s="142"/>
      <c r="P377" s="142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377"/>
    </row>
    <row r="378" spans="1:40" ht="12.75">
      <c r="A378" s="287"/>
      <c r="B378" s="319"/>
      <c r="C378" s="381"/>
      <c r="D378" s="333"/>
      <c r="E378" s="393"/>
      <c r="F378" s="145" t="s">
        <v>114</v>
      </c>
      <c r="G378" s="139" t="s">
        <v>117</v>
      </c>
      <c r="H378" s="239">
        <f aca="true" t="shared" si="91" ref="H378:AM378">H372+H374+H376</f>
        <v>0</v>
      </c>
      <c r="I378" s="240">
        <f t="shared" si="91"/>
        <v>5929</v>
      </c>
      <c r="J378" s="241">
        <f t="shared" si="91"/>
        <v>5929</v>
      </c>
      <c r="K378" s="241">
        <f t="shared" si="91"/>
        <v>5929</v>
      </c>
      <c r="L378" s="241">
        <f t="shared" si="91"/>
        <v>5929</v>
      </c>
      <c r="M378" s="241">
        <f t="shared" si="91"/>
        <v>5929</v>
      </c>
      <c r="N378" s="148">
        <f t="shared" si="91"/>
        <v>0</v>
      </c>
      <c r="O378" s="148">
        <f t="shared" si="91"/>
        <v>0</v>
      </c>
      <c r="P378" s="148">
        <f t="shared" si="91"/>
        <v>0</v>
      </c>
      <c r="Q378" s="148">
        <f t="shared" si="91"/>
        <v>0</v>
      </c>
      <c r="R378" s="148">
        <f t="shared" si="91"/>
        <v>0</v>
      </c>
      <c r="S378" s="148">
        <f t="shared" si="91"/>
        <v>0</v>
      </c>
      <c r="T378" s="148">
        <f t="shared" si="91"/>
        <v>0</v>
      </c>
      <c r="U378" s="148">
        <f t="shared" si="91"/>
        <v>0</v>
      </c>
      <c r="V378" s="148">
        <f t="shared" si="91"/>
        <v>0</v>
      </c>
      <c r="W378" s="148">
        <f t="shared" si="91"/>
        <v>0</v>
      </c>
      <c r="X378" s="148">
        <f t="shared" si="91"/>
        <v>0</v>
      </c>
      <c r="Y378" s="148">
        <f t="shared" si="91"/>
        <v>0</v>
      </c>
      <c r="Z378" s="148">
        <f t="shared" si="91"/>
        <v>0</v>
      </c>
      <c r="AA378" s="148">
        <f t="shared" si="91"/>
        <v>0</v>
      </c>
      <c r="AB378" s="148">
        <f t="shared" si="91"/>
        <v>0</v>
      </c>
      <c r="AC378" s="148">
        <f t="shared" si="91"/>
        <v>0</v>
      </c>
      <c r="AD378" s="148">
        <f t="shared" si="91"/>
        <v>0</v>
      </c>
      <c r="AE378" s="148">
        <f t="shared" si="91"/>
        <v>0</v>
      </c>
      <c r="AF378" s="148">
        <f t="shared" si="91"/>
        <v>0</v>
      </c>
      <c r="AG378" s="148">
        <f t="shared" si="91"/>
        <v>0</v>
      </c>
      <c r="AH378" s="148">
        <f t="shared" si="91"/>
        <v>0</v>
      </c>
      <c r="AI378" s="148">
        <f t="shared" si="91"/>
        <v>0</v>
      </c>
      <c r="AJ378" s="148">
        <f t="shared" si="91"/>
        <v>0</v>
      </c>
      <c r="AK378" s="148">
        <f t="shared" si="91"/>
        <v>0</v>
      </c>
      <c r="AL378" s="148">
        <f t="shared" si="91"/>
        <v>0</v>
      </c>
      <c r="AM378" s="148">
        <f t="shared" si="91"/>
        <v>0</v>
      </c>
      <c r="AN378" s="377"/>
    </row>
    <row r="379" spans="1:40" ht="13.5" thickBot="1">
      <c r="A379" s="287"/>
      <c r="B379" s="320"/>
      <c r="C379" s="381"/>
      <c r="D379" s="334"/>
      <c r="E379" s="393"/>
      <c r="F379" s="226">
        <f>F373+F376</f>
        <v>71079744</v>
      </c>
      <c r="G379" s="164" t="s">
        <v>118</v>
      </c>
      <c r="H379" s="244">
        <f aca="true" t="shared" si="92" ref="H379:AM379">H373+H375+H377</f>
        <v>62661424</v>
      </c>
      <c r="I379" s="247">
        <f t="shared" si="92"/>
        <v>8388675</v>
      </c>
      <c r="J379" s="248">
        <f t="shared" si="92"/>
        <v>0</v>
      </c>
      <c r="K379" s="248">
        <f t="shared" si="92"/>
        <v>0</v>
      </c>
      <c r="L379" s="248">
        <f t="shared" si="92"/>
        <v>0</v>
      </c>
      <c r="M379" s="248">
        <f t="shared" si="92"/>
        <v>0</v>
      </c>
      <c r="N379" s="153">
        <f t="shared" si="92"/>
        <v>0</v>
      </c>
      <c r="O379" s="153">
        <f t="shared" si="92"/>
        <v>0</v>
      </c>
      <c r="P379" s="153">
        <f t="shared" si="92"/>
        <v>0</v>
      </c>
      <c r="Q379" s="153">
        <f t="shared" si="92"/>
        <v>0</v>
      </c>
      <c r="R379" s="153">
        <f t="shared" si="92"/>
        <v>0</v>
      </c>
      <c r="S379" s="153">
        <f t="shared" si="92"/>
        <v>0</v>
      </c>
      <c r="T379" s="153">
        <f t="shared" si="92"/>
        <v>0</v>
      </c>
      <c r="U379" s="153">
        <f t="shared" si="92"/>
        <v>0</v>
      </c>
      <c r="V379" s="153">
        <f t="shared" si="92"/>
        <v>0</v>
      </c>
      <c r="W379" s="153">
        <f t="shared" si="92"/>
        <v>0</v>
      </c>
      <c r="X379" s="153">
        <f t="shared" si="92"/>
        <v>0</v>
      </c>
      <c r="Y379" s="153">
        <f t="shared" si="92"/>
        <v>0</v>
      </c>
      <c r="Z379" s="153">
        <f t="shared" si="92"/>
        <v>0</v>
      </c>
      <c r="AA379" s="153">
        <f t="shared" si="92"/>
        <v>0</v>
      </c>
      <c r="AB379" s="153">
        <f t="shared" si="92"/>
        <v>0</v>
      </c>
      <c r="AC379" s="153">
        <f t="shared" si="92"/>
        <v>0</v>
      </c>
      <c r="AD379" s="153">
        <f t="shared" si="92"/>
        <v>0</v>
      </c>
      <c r="AE379" s="153">
        <f t="shared" si="92"/>
        <v>0</v>
      </c>
      <c r="AF379" s="153">
        <f t="shared" si="92"/>
        <v>0</v>
      </c>
      <c r="AG379" s="153">
        <f t="shared" si="92"/>
        <v>0</v>
      </c>
      <c r="AH379" s="153">
        <f t="shared" si="92"/>
        <v>0</v>
      </c>
      <c r="AI379" s="153">
        <f t="shared" si="92"/>
        <v>0</v>
      </c>
      <c r="AJ379" s="153">
        <f t="shared" si="92"/>
        <v>0</v>
      </c>
      <c r="AK379" s="153">
        <f t="shared" si="92"/>
        <v>0</v>
      </c>
      <c r="AL379" s="153">
        <f t="shared" si="92"/>
        <v>0</v>
      </c>
      <c r="AM379" s="192">
        <f t="shared" si="92"/>
        <v>0</v>
      </c>
      <c r="AN379" s="378"/>
    </row>
    <row r="380" spans="1:40" ht="12.75" customHeight="1">
      <c r="A380" s="286">
        <v>46</v>
      </c>
      <c r="B380" s="323" t="s">
        <v>232</v>
      </c>
      <c r="C380" s="380">
        <v>92601</v>
      </c>
      <c r="D380" s="332" t="s">
        <v>233</v>
      </c>
      <c r="E380" s="356">
        <v>2011</v>
      </c>
      <c r="F380" s="132" t="s">
        <v>106</v>
      </c>
      <c r="G380" s="133" t="s">
        <v>192</v>
      </c>
      <c r="H380" s="134"/>
      <c r="I380" s="227"/>
      <c r="J380" s="136"/>
      <c r="K380" s="136"/>
      <c r="L380" s="136"/>
      <c r="M380" s="136"/>
      <c r="N380" s="136"/>
      <c r="O380" s="136"/>
      <c r="P380" s="136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376">
        <f>SUM(J387:AM387)</f>
        <v>500000</v>
      </c>
    </row>
    <row r="381" spans="1:40" ht="12.75">
      <c r="A381" s="287"/>
      <c r="B381" s="319"/>
      <c r="C381" s="381"/>
      <c r="D381" s="333"/>
      <c r="E381" s="354"/>
      <c r="F381" s="281">
        <f>SUM(H386:AM386)</f>
        <v>0</v>
      </c>
      <c r="G381" s="139" t="s">
        <v>193</v>
      </c>
      <c r="H381" s="140"/>
      <c r="I381" s="231">
        <f>500000-260000</f>
        <v>240000</v>
      </c>
      <c r="J381" s="232">
        <v>500000</v>
      </c>
      <c r="K381" s="142"/>
      <c r="L381" s="142"/>
      <c r="M381" s="142"/>
      <c r="N381" s="142"/>
      <c r="O381" s="142"/>
      <c r="P381" s="142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377"/>
    </row>
    <row r="382" spans="1:40" ht="12.75">
      <c r="A382" s="287"/>
      <c r="B382" s="319"/>
      <c r="C382" s="381"/>
      <c r="D382" s="333"/>
      <c r="E382" s="354"/>
      <c r="F382" s="379"/>
      <c r="G382" s="139" t="s">
        <v>109</v>
      </c>
      <c r="H382" s="140"/>
      <c r="I382" s="189"/>
      <c r="J382" s="142"/>
      <c r="K382" s="142"/>
      <c r="L382" s="142"/>
      <c r="M382" s="142"/>
      <c r="N382" s="142"/>
      <c r="O382" s="142"/>
      <c r="P382" s="142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377"/>
    </row>
    <row r="383" spans="1:40" ht="12.75">
      <c r="A383" s="287"/>
      <c r="B383" s="319"/>
      <c r="C383" s="381"/>
      <c r="D383" s="333"/>
      <c r="E383" s="266"/>
      <c r="F383" s="145" t="s">
        <v>110</v>
      </c>
      <c r="G383" s="139" t="s">
        <v>111</v>
      </c>
      <c r="H383" s="140"/>
      <c r="I383" s="189"/>
      <c r="J383" s="142"/>
      <c r="K383" s="142"/>
      <c r="L383" s="142"/>
      <c r="M383" s="142"/>
      <c r="N383" s="142"/>
      <c r="O383" s="142"/>
      <c r="P383" s="142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377"/>
    </row>
    <row r="384" spans="1:40" ht="12.75">
      <c r="A384" s="287"/>
      <c r="B384" s="319"/>
      <c r="C384" s="381"/>
      <c r="D384" s="333"/>
      <c r="E384" s="336">
        <v>2012</v>
      </c>
      <c r="F384" s="281">
        <f>SUM(H387:AM387)</f>
        <v>740000</v>
      </c>
      <c r="G384" s="139" t="s">
        <v>115</v>
      </c>
      <c r="H384" s="140"/>
      <c r="I384" s="189"/>
      <c r="J384" s="142"/>
      <c r="K384" s="142"/>
      <c r="L384" s="142"/>
      <c r="M384" s="142"/>
      <c r="N384" s="142"/>
      <c r="O384" s="142"/>
      <c r="P384" s="142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377"/>
    </row>
    <row r="385" spans="1:40" ht="12.75">
      <c r="A385" s="287"/>
      <c r="B385" s="319"/>
      <c r="C385" s="381"/>
      <c r="D385" s="333"/>
      <c r="E385" s="354"/>
      <c r="F385" s="379"/>
      <c r="G385" s="139" t="s">
        <v>116</v>
      </c>
      <c r="H385" s="140"/>
      <c r="I385" s="189"/>
      <c r="J385" s="142"/>
      <c r="K385" s="142"/>
      <c r="L385" s="142"/>
      <c r="M385" s="142"/>
      <c r="N385" s="142"/>
      <c r="O385" s="142"/>
      <c r="P385" s="142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377"/>
    </row>
    <row r="386" spans="1:40" ht="12.75">
      <c r="A386" s="287"/>
      <c r="B386" s="319"/>
      <c r="C386" s="381"/>
      <c r="D386" s="333"/>
      <c r="E386" s="354"/>
      <c r="F386" s="145" t="s">
        <v>114</v>
      </c>
      <c r="G386" s="139" t="s">
        <v>117</v>
      </c>
      <c r="H386" s="146">
        <f aca="true" t="shared" si="93" ref="H386:AM386">H380+H382+H384</f>
        <v>0</v>
      </c>
      <c r="I386" s="191">
        <f t="shared" si="93"/>
        <v>0</v>
      </c>
      <c r="J386" s="148">
        <f t="shared" si="93"/>
        <v>0</v>
      </c>
      <c r="K386" s="148">
        <f t="shared" si="93"/>
        <v>0</v>
      </c>
      <c r="L386" s="148">
        <f t="shared" si="93"/>
        <v>0</v>
      </c>
      <c r="M386" s="148">
        <f t="shared" si="93"/>
        <v>0</v>
      </c>
      <c r="N386" s="148">
        <f t="shared" si="93"/>
        <v>0</v>
      </c>
      <c r="O386" s="148">
        <f t="shared" si="93"/>
        <v>0</v>
      </c>
      <c r="P386" s="148">
        <f t="shared" si="93"/>
        <v>0</v>
      </c>
      <c r="Q386" s="148">
        <f t="shared" si="93"/>
        <v>0</v>
      </c>
      <c r="R386" s="148">
        <f t="shared" si="93"/>
        <v>0</v>
      </c>
      <c r="S386" s="148">
        <f t="shared" si="93"/>
        <v>0</v>
      </c>
      <c r="T386" s="148">
        <f t="shared" si="93"/>
        <v>0</v>
      </c>
      <c r="U386" s="148">
        <f t="shared" si="93"/>
        <v>0</v>
      </c>
      <c r="V386" s="148">
        <f t="shared" si="93"/>
        <v>0</v>
      </c>
      <c r="W386" s="148">
        <f t="shared" si="93"/>
        <v>0</v>
      </c>
      <c r="X386" s="148">
        <f t="shared" si="93"/>
        <v>0</v>
      </c>
      <c r="Y386" s="148">
        <f t="shared" si="93"/>
        <v>0</v>
      </c>
      <c r="Z386" s="148">
        <f t="shared" si="93"/>
        <v>0</v>
      </c>
      <c r="AA386" s="148">
        <f t="shared" si="93"/>
        <v>0</v>
      </c>
      <c r="AB386" s="148">
        <f t="shared" si="93"/>
        <v>0</v>
      </c>
      <c r="AC386" s="148">
        <f t="shared" si="93"/>
        <v>0</v>
      </c>
      <c r="AD386" s="148">
        <f t="shared" si="93"/>
        <v>0</v>
      </c>
      <c r="AE386" s="148">
        <f t="shared" si="93"/>
        <v>0</v>
      </c>
      <c r="AF386" s="148">
        <f t="shared" si="93"/>
        <v>0</v>
      </c>
      <c r="AG386" s="148">
        <f t="shared" si="93"/>
        <v>0</v>
      </c>
      <c r="AH386" s="148">
        <f t="shared" si="93"/>
        <v>0</v>
      </c>
      <c r="AI386" s="148">
        <f t="shared" si="93"/>
        <v>0</v>
      </c>
      <c r="AJ386" s="148">
        <f t="shared" si="93"/>
        <v>0</v>
      </c>
      <c r="AK386" s="148">
        <f t="shared" si="93"/>
        <v>0</v>
      </c>
      <c r="AL386" s="148">
        <f t="shared" si="93"/>
        <v>0</v>
      </c>
      <c r="AM386" s="148">
        <f t="shared" si="93"/>
        <v>0</v>
      </c>
      <c r="AN386" s="377"/>
    </row>
    <row r="387" spans="1:40" ht="13.5" thickBot="1">
      <c r="A387" s="287"/>
      <c r="B387" s="320"/>
      <c r="C387" s="382"/>
      <c r="D387" s="334"/>
      <c r="E387" s="355"/>
      <c r="F387" s="226">
        <f>F381+F384</f>
        <v>740000</v>
      </c>
      <c r="G387" s="150" t="s">
        <v>118</v>
      </c>
      <c r="H387" s="151">
        <f aca="true" t="shared" si="94" ref="H387:AM387">H381+H383+H385</f>
        <v>0</v>
      </c>
      <c r="I387" s="228">
        <f t="shared" si="94"/>
        <v>240000</v>
      </c>
      <c r="J387" s="153">
        <f t="shared" si="94"/>
        <v>500000</v>
      </c>
      <c r="K387" s="153">
        <f t="shared" si="94"/>
        <v>0</v>
      </c>
      <c r="L387" s="153">
        <f t="shared" si="94"/>
        <v>0</v>
      </c>
      <c r="M387" s="153">
        <f t="shared" si="94"/>
        <v>0</v>
      </c>
      <c r="N387" s="153">
        <f t="shared" si="94"/>
        <v>0</v>
      </c>
      <c r="O387" s="153">
        <f t="shared" si="94"/>
        <v>0</v>
      </c>
      <c r="P387" s="153">
        <f t="shared" si="94"/>
        <v>0</v>
      </c>
      <c r="Q387" s="153">
        <f t="shared" si="94"/>
        <v>0</v>
      </c>
      <c r="R387" s="153">
        <f t="shared" si="94"/>
        <v>0</v>
      </c>
      <c r="S387" s="153">
        <f t="shared" si="94"/>
        <v>0</v>
      </c>
      <c r="T387" s="153">
        <f t="shared" si="94"/>
        <v>0</v>
      </c>
      <c r="U387" s="153">
        <f t="shared" si="94"/>
        <v>0</v>
      </c>
      <c r="V387" s="153">
        <f t="shared" si="94"/>
        <v>0</v>
      </c>
      <c r="W387" s="153">
        <f t="shared" si="94"/>
        <v>0</v>
      </c>
      <c r="X387" s="153">
        <f t="shared" si="94"/>
        <v>0</v>
      </c>
      <c r="Y387" s="153">
        <f t="shared" si="94"/>
        <v>0</v>
      </c>
      <c r="Z387" s="153">
        <f t="shared" si="94"/>
        <v>0</v>
      </c>
      <c r="AA387" s="153">
        <f t="shared" si="94"/>
        <v>0</v>
      </c>
      <c r="AB387" s="153">
        <f t="shared" si="94"/>
        <v>0</v>
      </c>
      <c r="AC387" s="153">
        <f t="shared" si="94"/>
        <v>0</v>
      </c>
      <c r="AD387" s="153">
        <f t="shared" si="94"/>
        <v>0</v>
      </c>
      <c r="AE387" s="153">
        <f t="shared" si="94"/>
        <v>0</v>
      </c>
      <c r="AF387" s="153">
        <f t="shared" si="94"/>
        <v>0</v>
      </c>
      <c r="AG387" s="153">
        <f t="shared" si="94"/>
        <v>0</v>
      </c>
      <c r="AH387" s="153">
        <f t="shared" si="94"/>
        <v>0</v>
      </c>
      <c r="AI387" s="153">
        <f t="shared" si="94"/>
        <v>0</v>
      </c>
      <c r="AJ387" s="153">
        <f t="shared" si="94"/>
        <v>0</v>
      </c>
      <c r="AK387" s="153">
        <f t="shared" si="94"/>
        <v>0</v>
      </c>
      <c r="AL387" s="153">
        <f t="shared" si="94"/>
        <v>0</v>
      </c>
      <c r="AM387" s="153">
        <f t="shared" si="94"/>
        <v>0</v>
      </c>
      <c r="AN387" s="378"/>
    </row>
    <row r="388" spans="1:40" ht="12.75">
      <c r="A388" s="286">
        <v>47</v>
      </c>
      <c r="B388" s="323" t="s">
        <v>234</v>
      </c>
      <c r="C388" s="400">
        <v>92695</v>
      </c>
      <c r="D388" s="332" t="s">
        <v>233</v>
      </c>
      <c r="E388" s="356">
        <v>2011</v>
      </c>
      <c r="F388" s="132" t="s">
        <v>106</v>
      </c>
      <c r="G388" s="133" t="s">
        <v>107</v>
      </c>
      <c r="H388" s="134"/>
      <c r="I388" s="227"/>
      <c r="J388" s="136"/>
      <c r="K388" s="136"/>
      <c r="L388" s="136"/>
      <c r="M388" s="136"/>
      <c r="N388" s="136"/>
      <c r="O388" s="136"/>
      <c r="P388" s="136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376">
        <f>SUM(J395:AM395)</f>
        <v>200000</v>
      </c>
    </row>
    <row r="389" spans="1:40" ht="12.75">
      <c r="A389" s="287"/>
      <c r="B389" s="319"/>
      <c r="C389" s="401"/>
      <c r="D389" s="333"/>
      <c r="E389" s="354"/>
      <c r="F389" s="281">
        <f>SUM(H394:AM394)</f>
        <v>0</v>
      </c>
      <c r="G389" s="139" t="s">
        <v>108</v>
      </c>
      <c r="H389" s="140"/>
      <c r="I389" s="189">
        <v>1000000</v>
      </c>
      <c r="J389" s="142">
        <v>200000</v>
      </c>
      <c r="K389" s="142"/>
      <c r="L389" s="142"/>
      <c r="M389" s="142"/>
      <c r="N389" s="142"/>
      <c r="O389" s="142"/>
      <c r="P389" s="142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377"/>
    </row>
    <row r="390" spans="1:40" ht="12.75">
      <c r="A390" s="287"/>
      <c r="B390" s="319"/>
      <c r="C390" s="401"/>
      <c r="D390" s="333"/>
      <c r="E390" s="354"/>
      <c r="F390" s="379"/>
      <c r="G390" s="139" t="s">
        <v>109</v>
      </c>
      <c r="H390" s="140"/>
      <c r="I390" s="189"/>
      <c r="J390" s="142"/>
      <c r="K390" s="142"/>
      <c r="L390" s="142"/>
      <c r="M390" s="142"/>
      <c r="N390" s="142"/>
      <c r="O390" s="142"/>
      <c r="P390" s="142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377"/>
    </row>
    <row r="391" spans="1:40" ht="12.75">
      <c r="A391" s="287"/>
      <c r="B391" s="319"/>
      <c r="C391" s="401"/>
      <c r="D391" s="333"/>
      <c r="E391" s="266"/>
      <c r="F391" s="145" t="s">
        <v>110</v>
      </c>
      <c r="G391" s="139" t="s">
        <v>111</v>
      </c>
      <c r="H391" s="140"/>
      <c r="I391" s="189"/>
      <c r="J391" s="142"/>
      <c r="K391" s="142"/>
      <c r="L391" s="142"/>
      <c r="M391" s="142"/>
      <c r="N391" s="142"/>
      <c r="O391" s="142"/>
      <c r="P391" s="142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377"/>
    </row>
    <row r="392" spans="1:40" ht="12.75">
      <c r="A392" s="287"/>
      <c r="B392" s="319"/>
      <c r="C392" s="401"/>
      <c r="D392" s="333"/>
      <c r="E392" s="336">
        <v>2012</v>
      </c>
      <c r="F392" s="281">
        <f>SUM(H395:AM395)</f>
        <v>1200000</v>
      </c>
      <c r="G392" s="139" t="s">
        <v>115</v>
      </c>
      <c r="H392" s="140"/>
      <c r="I392" s="189"/>
      <c r="J392" s="142"/>
      <c r="K392" s="142"/>
      <c r="L392" s="142"/>
      <c r="M392" s="142"/>
      <c r="N392" s="142"/>
      <c r="O392" s="142"/>
      <c r="P392" s="142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377"/>
    </row>
    <row r="393" spans="1:40" ht="12.75">
      <c r="A393" s="287"/>
      <c r="B393" s="319"/>
      <c r="C393" s="401"/>
      <c r="D393" s="333"/>
      <c r="E393" s="354"/>
      <c r="F393" s="379"/>
      <c r="G393" s="139" t="s">
        <v>116</v>
      </c>
      <c r="H393" s="140"/>
      <c r="I393" s="189"/>
      <c r="J393" s="142"/>
      <c r="K393" s="142"/>
      <c r="L393" s="142"/>
      <c r="M393" s="142"/>
      <c r="N393" s="142"/>
      <c r="O393" s="142"/>
      <c r="P393" s="142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377"/>
    </row>
    <row r="394" spans="1:40" ht="12.75">
      <c r="A394" s="287"/>
      <c r="B394" s="319"/>
      <c r="C394" s="401"/>
      <c r="D394" s="333"/>
      <c r="E394" s="354"/>
      <c r="F394" s="145" t="s">
        <v>114</v>
      </c>
      <c r="G394" s="139" t="s">
        <v>117</v>
      </c>
      <c r="H394" s="146">
        <f aca="true" t="shared" si="95" ref="H394:AM394">H388+H390+H392</f>
        <v>0</v>
      </c>
      <c r="I394" s="191">
        <f t="shared" si="95"/>
        <v>0</v>
      </c>
      <c r="J394" s="148">
        <f t="shared" si="95"/>
        <v>0</v>
      </c>
      <c r="K394" s="148">
        <f t="shared" si="95"/>
        <v>0</v>
      </c>
      <c r="L394" s="148">
        <f t="shared" si="95"/>
        <v>0</v>
      </c>
      <c r="M394" s="148">
        <f t="shared" si="95"/>
        <v>0</v>
      </c>
      <c r="N394" s="148">
        <f t="shared" si="95"/>
        <v>0</v>
      </c>
      <c r="O394" s="148">
        <f t="shared" si="95"/>
        <v>0</v>
      </c>
      <c r="P394" s="148">
        <f t="shared" si="95"/>
        <v>0</v>
      </c>
      <c r="Q394" s="148">
        <f t="shared" si="95"/>
        <v>0</v>
      </c>
      <c r="R394" s="148">
        <f t="shared" si="95"/>
        <v>0</v>
      </c>
      <c r="S394" s="148">
        <f t="shared" si="95"/>
        <v>0</v>
      </c>
      <c r="T394" s="148">
        <f t="shared" si="95"/>
        <v>0</v>
      </c>
      <c r="U394" s="148">
        <f t="shared" si="95"/>
        <v>0</v>
      </c>
      <c r="V394" s="148">
        <f t="shared" si="95"/>
        <v>0</v>
      </c>
      <c r="W394" s="148">
        <f t="shared" si="95"/>
        <v>0</v>
      </c>
      <c r="X394" s="148">
        <f t="shared" si="95"/>
        <v>0</v>
      </c>
      <c r="Y394" s="148">
        <f t="shared" si="95"/>
        <v>0</v>
      </c>
      <c r="Z394" s="148">
        <f t="shared" si="95"/>
        <v>0</v>
      </c>
      <c r="AA394" s="148">
        <f t="shared" si="95"/>
        <v>0</v>
      </c>
      <c r="AB394" s="148">
        <f t="shared" si="95"/>
        <v>0</v>
      </c>
      <c r="AC394" s="148">
        <f t="shared" si="95"/>
        <v>0</v>
      </c>
      <c r="AD394" s="148">
        <f t="shared" si="95"/>
        <v>0</v>
      </c>
      <c r="AE394" s="148">
        <f t="shared" si="95"/>
        <v>0</v>
      </c>
      <c r="AF394" s="148">
        <f t="shared" si="95"/>
        <v>0</v>
      </c>
      <c r="AG394" s="148">
        <f t="shared" si="95"/>
        <v>0</v>
      </c>
      <c r="AH394" s="148">
        <f t="shared" si="95"/>
        <v>0</v>
      </c>
      <c r="AI394" s="148">
        <f t="shared" si="95"/>
        <v>0</v>
      </c>
      <c r="AJ394" s="148">
        <f t="shared" si="95"/>
        <v>0</v>
      </c>
      <c r="AK394" s="148">
        <f t="shared" si="95"/>
        <v>0</v>
      </c>
      <c r="AL394" s="148">
        <f t="shared" si="95"/>
        <v>0</v>
      </c>
      <c r="AM394" s="148">
        <f t="shared" si="95"/>
        <v>0</v>
      </c>
      <c r="AN394" s="377"/>
    </row>
    <row r="395" spans="1:40" ht="13.5" thickBot="1">
      <c r="A395" s="287"/>
      <c r="B395" s="320"/>
      <c r="C395" s="402"/>
      <c r="D395" s="334"/>
      <c r="E395" s="355"/>
      <c r="F395" s="226">
        <f>F389+F392</f>
        <v>1200000</v>
      </c>
      <c r="G395" s="150" t="s">
        <v>118</v>
      </c>
      <c r="H395" s="151">
        <f aca="true" t="shared" si="96" ref="H395:AM395">H389+H391+H393</f>
        <v>0</v>
      </c>
      <c r="I395" s="228">
        <f t="shared" si="96"/>
        <v>1000000</v>
      </c>
      <c r="J395" s="153">
        <f t="shared" si="96"/>
        <v>200000</v>
      </c>
      <c r="K395" s="153">
        <f t="shared" si="96"/>
        <v>0</v>
      </c>
      <c r="L395" s="153">
        <f t="shared" si="96"/>
        <v>0</v>
      </c>
      <c r="M395" s="153">
        <f t="shared" si="96"/>
        <v>0</v>
      </c>
      <c r="N395" s="153">
        <f t="shared" si="96"/>
        <v>0</v>
      </c>
      <c r="O395" s="153">
        <f t="shared" si="96"/>
        <v>0</v>
      </c>
      <c r="P395" s="153">
        <f t="shared" si="96"/>
        <v>0</v>
      </c>
      <c r="Q395" s="153">
        <f t="shared" si="96"/>
        <v>0</v>
      </c>
      <c r="R395" s="153">
        <f t="shared" si="96"/>
        <v>0</v>
      </c>
      <c r="S395" s="153">
        <f t="shared" si="96"/>
        <v>0</v>
      </c>
      <c r="T395" s="153">
        <f t="shared" si="96"/>
        <v>0</v>
      </c>
      <c r="U395" s="153">
        <f t="shared" si="96"/>
        <v>0</v>
      </c>
      <c r="V395" s="153">
        <f t="shared" si="96"/>
        <v>0</v>
      </c>
      <c r="W395" s="153">
        <f t="shared" si="96"/>
        <v>0</v>
      </c>
      <c r="X395" s="153">
        <f t="shared" si="96"/>
        <v>0</v>
      </c>
      <c r="Y395" s="153">
        <f t="shared" si="96"/>
        <v>0</v>
      </c>
      <c r="Z395" s="153">
        <f t="shared" si="96"/>
        <v>0</v>
      </c>
      <c r="AA395" s="153">
        <f t="shared" si="96"/>
        <v>0</v>
      </c>
      <c r="AB395" s="153">
        <f t="shared" si="96"/>
        <v>0</v>
      </c>
      <c r="AC395" s="153">
        <f t="shared" si="96"/>
        <v>0</v>
      </c>
      <c r="AD395" s="153">
        <f t="shared" si="96"/>
        <v>0</v>
      </c>
      <c r="AE395" s="153">
        <f t="shared" si="96"/>
        <v>0</v>
      </c>
      <c r="AF395" s="153">
        <f t="shared" si="96"/>
        <v>0</v>
      </c>
      <c r="AG395" s="153">
        <f t="shared" si="96"/>
        <v>0</v>
      </c>
      <c r="AH395" s="153">
        <f t="shared" si="96"/>
        <v>0</v>
      </c>
      <c r="AI395" s="153">
        <f t="shared" si="96"/>
        <v>0</v>
      </c>
      <c r="AJ395" s="153">
        <f t="shared" si="96"/>
        <v>0</v>
      </c>
      <c r="AK395" s="153">
        <f t="shared" si="96"/>
        <v>0</v>
      </c>
      <c r="AL395" s="153">
        <f t="shared" si="96"/>
        <v>0</v>
      </c>
      <c r="AM395" s="153">
        <f t="shared" si="96"/>
        <v>0</v>
      </c>
      <c r="AN395" s="378"/>
    </row>
    <row r="396" spans="1:40" ht="12.75" customHeight="1">
      <c r="A396" s="286">
        <v>48</v>
      </c>
      <c r="B396" s="323" t="s">
        <v>235</v>
      </c>
      <c r="C396" s="380">
        <v>92601</v>
      </c>
      <c r="D396" s="332" t="s">
        <v>191</v>
      </c>
      <c r="E396" s="356">
        <v>2010</v>
      </c>
      <c r="F396" s="132" t="s">
        <v>106</v>
      </c>
      <c r="G396" s="133" t="s">
        <v>107</v>
      </c>
      <c r="H396" s="134"/>
      <c r="I396" s="227"/>
      <c r="J396" s="136"/>
      <c r="K396" s="136"/>
      <c r="L396" s="136"/>
      <c r="M396" s="136"/>
      <c r="N396" s="136"/>
      <c r="O396" s="136"/>
      <c r="P396" s="136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376">
        <f>SUM(J403:AM403)</f>
        <v>0</v>
      </c>
    </row>
    <row r="397" spans="1:40" ht="12.75">
      <c r="A397" s="287"/>
      <c r="B397" s="319"/>
      <c r="C397" s="381"/>
      <c r="D397" s="333"/>
      <c r="E397" s="354"/>
      <c r="F397" s="281">
        <f>SUM(H402:AM402)</f>
        <v>0</v>
      </c>
      <c r="G397" s="139" t="s">
        <v>108</v>
      </c>
      <c r="H397" s="140">
        <v>100000</v>
      </c>
      <c r="I397" s="189">
        <f>850000-220000-100000</f>
        <v>530000</v>
      </c>
      <c r="J397" s="142"/>
      <c r="K397" s="142"/>
      <c r="L397" s="142"/>
      <c r="M397" s="142"/>
      <c r="N397" s="142"/>
      <c r="O397" s="142"/>
      <c r="P397" s="142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377"/>
    </row>
    <row r="398" spans="1:40" ht="12.75">
      <c r="A398" s="287"/>
      <c r="B398" s="319"/>
      <c r="C398" s="381"/>
      <c r="D398" s="333"/>
      <c r="E398" s="354"/>
      <c r="F398" s="379"/>
      <c r="G398" s="139" t="s">
        <v>109</v>
      </c>
      <c r="H398" s="140"/>
      <c r="I398" s="189"/>
      <c r="J398" s="142"/>
      <c r="K398" s="142"/>
      <c r="L398" s="142"/>
      <c r="M398" s="142"/>
      <c r="N398" s="142"/>
      <c r="O398" s="142"/>
      <c r="P398" s="142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377"/>
    </row>
    <row r="399" spans="1:40" ht="12.75">
      <c r="A399" s="287"/>
      <c r="B399" s="319"/>
      <c r="C399" s="381"/>
      <c r="D399" s="333"/>
      <c r="E399" s="266"/>
      <c r="F399" s="145" t="s">
        <v>110</v>
      </c>
      <c r="G399" s="139" t="s">
        <v>111</v>
      </c>
      <c r="H399" s="140"/>
      <c r="I399" s="189"/>
      <c r="J399" s="142"/>
      <c r="K399" s="142"/>
      <c r="L399" s="142"/>
      <c r="M399" s="142"/>
      <c r="N399" s="142"/>
      <c r="O399" s="142"/>
      <c r="P399" s="142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377"/>
    </row>
    <row r="400" spans="1:40" ht="12.75">
      <c r="A400" s="287"/>
      <c r="B400" s="319"/>
      <c r="C400" s="381"/>
      <c r="D400" s="333"/>
      <c r="E400" s="336">
        <v>2011</v>
      </c>
      <c r="F400" s="281">
        <f>SUM(H403:AM403)</f>
        <v>630000</v>
      </c>
      <c r="G400" s="139" t="s">
        <v>115</v>
      </c>
      <c r="H400" s="140"/>
      <c r="I400" s="189"/>
      <c r="J400" s="142"/>
      <c r="K400" s="142"/>
      <c r="L400" s="142"/>
      <c r="M400" s="142"/>
      <c r="N400" s="142"/>
      <c r="O400" s="142"/>
      <c r="P400" s="142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377"/>
    </row>
    <row r="401" spans="1:40" ht="12.75">
      <c r="A401" s="287"/>
      <c r="B401" s="319"/>
      <c r="C401" s="381"/>
      <c r="D401" s="333"/>
      <c r="E401" s="354"/>
      <c r="F401" s="379"/>
      <c r="G401" s="139" t="s">
        <v>116</v>
      </c>
      <c r="H401" s="140"/>
      <c r="I401" s="189"/>
      <c r="J401" s="142"/>
      <c r="K401" s="142"/>
      <c r="L401" s="142"/>
      <c r="M401" s="142"/>
      <c r="N401" s="142"/>
      <c r="O401" s="142"/>
      <c r="P401" s="142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377"/>
    </row>
    <row r="402" spans="1:40" ht="12.75">
      <c r="A402" s="287"/>
      <c r="B402" s="319"/>
      <c r="C402" s="381"/>
      <c r="D402" s="333"/>
      <c r="E402" s="354"/>
      <c r="F402" s="145" t="s">
        <v>114</v>
      </c>
      <c r="G402" s="139" t="s">
        <v>117</v>
      </c>
      <c r="H402" s="146">
        <f aca="true" t="shared" si="97" ref="H402:AM402">H396+H398+H400</f>
        <v>0</v>
      </c>
      <c r="I402" s="191">
        <f t="shared" si="97"/>
        <v>0</v>
      </c>
      <c r="J402" s="148">
        <f t="shared" si="97"/>
        <v>0</v>
      </c>
      <c r="K402" s="148">
        <f t="shared" si="97"/>
        <v>0</v>
      </c>
      <c r="L402" s="148">
        <f t="shared" si="97"/>
        <v>0</v>
      </c>
      <c r="M402" s="148">
        <f t="shared" si="97"/>
        <v>0</v>
      </c>
      <c r="N402" s="148">
        <f t="shared" si="97"/>
        <v>0</v>
      </c>
      <c r="O402" s="148">
        <f t="shared" si="97"/>
        <v>0</v>
      </c>
      <c r="P402" s="148">
        <f t="shared" si="97"/>
        <v>0</v>
      </c>
      <c r="Q402" s="148">
        <f t="shared" si="97"/>
        <v>0</v>
      </c>
      <c r="R402" s="148">
        <f t="shared" si="97"/>
        <v>0</v>
      </c>
      <c r="S402" s="148">
        <f t="shared" si="97"/>
        <v>0</v>
      </c>
      <c r="T402" s="148">
        <f t="shared" si="97"/>
        <v>0</v>
      </c>
      <c r="U402" s="148">
        <f t="shared" si="97"/>
        <v>0</v>
      </c>
      <c r="V402" s="148">
        <f t="shared" si="97"/>
        <v>0</v>
      </c>
      <c r="W402" s="148">
        <f t="shared" si="97"/>
        <v>0</v>
      </c>
      <c r="X402" s="148">
        <f t="shared" si="97"/>
        <v>0</v>
      </c>
      <c r="Y402" s="148">
        <f t="shared" si="97"/>
        <v>0</v>
      </c>
      <c r="Z402" s="148">
        <f t="shared" si="97"/>
        <v>0</v>
      </c>
      <c r="AA402" s="148">
        <f t="shared" si="97"/>
        <v>0</v>
      </c>
      <c r="AB402" s="148">
        <f t="shared" si="97"/>
        <v>0</v>
      </c>
      <c r="AC402" s="148">
        <f t="shared" si="97"/>
        <v>0</v>
      </c>
      <c r="AD402" s="148">
        <f t="shared" si="97"/>
        <v>0</v>
      </c>
      <c r="AE402" s="148">
        <f t="shared" si="97"/>
        <v>0</v>
      </c>
      <c r="AF402" s="148">
        <f t="shared" si="97"/>
        <v>0</v>
      </c>
      <c r="AG402" s="148">
        <f t="shared" si="97"/>
        <v>0</v>
      </c>
      <c r="AH402" s="148">
        <f t="shared" si="97"/>
        <v>0</v>
      </c>
      <c r="AI402" s="148">
        <f t="shared" si="97"/>
        <v>0</v>
      </c>
      <c r="AJ402" s="148">
        <f t="shared" si="97"/>
        <v>0</v>
      </c>
      <c r="AK402" s="148">
        <f t="shared" si="97"/>
        <v>0</v>
      </c>
      <c r="AL402" s="148">
        <f t="shared" si="97"/>
        <v>0</v>
      </c>
      <c r="AM402" s="148">
        <f t="shared" si="97"/>
        <v>0</v>
      </c>
      <c r="AN402" s="377"/>
    </row>
    <row r="403" spans="1:40" ht="13.5" thickBot="1">
      <c r="A403" s="287"/>
      <c r="B403" s="320"/>
      <c r="C403" s="382"/>
      <c r="D403" s="334"/>
      <c r="E403" s="355"/>
      <c r="F403" s="226">
        <f>F397+F400</f>
        <v>630000</v>
      </c>
      <c r="G403" s="150" t="s">
        <v>118</v>
      </c>
      <c r="H403" s="151">
        <f aca="true" t="shared" si="98" ref="H403:AM403">H397+H399+H401</f>
        <v>100000</v>
      </c>
      <c r="I403" s="228">
        <f t="shared" si="98"/>
        <v>530000</v>
      </c>
      <c r="J403" s="153">
        <f t="shared" si="98"/>
        <v>0</v>
      </c>
      <c r="K403" s="153">
        <f t="shared" si="98"/>
        <v>0</v>
      </c>
      <c r="L403" s="153">
        <f t="shared" si="98"/>
        <v>0</v>
      </c>
      <c r="M403" s="153">
        <f t="shared" si="98"/>
        <v>0</v>
      </c>
      <c r="N403" s="153">
        <f t="shared" si="98"/>
        <v>0</v>
      </c>
      <c r="O403" s="153">
        <f t="shared" si="98"/>
        <v>0</v>
      </c>
      <c r="P403" s="153">
        <f t="shared" si="98"/>
        <v>0</v>
      </c>
      <c r="Q403" s="153">
        <f t="shared" si="98"/>
        <v>0</v>
      </c>
      <c r="R403" s="153">
        <f t="shared" si="98"/>
        <v>0</v>
      </c>
      <c r="S403" s="153">
        <f t="shared" si="98"/>
        <v>0</v>
      </c>
      <c r="T403" s="153">
        <f t="shared" si="98"/>
        <v>0</v>
      </c>
      <c r="U403" s="153">
        <f t="shared" si="98"/>
        <v>0</v>
      </c>
      <c r="V403" s="153">
        <f t="shared" si="98"/>
        <v>0</v>
      </c>
      <c r="W403" s="153">
        <f t="shared" si="98"/>
        <v>0</v>
      </c>
      <c r="X403" s="153">
        <f t="shared" si="98"/>
        <v>0</v>
      </c>
      <c r="Y403" s="153">
        <f t="shared" si="98"/>
        <v>0</v>
      </c>
      <c r="Z403" s="153">
        <f t="shared" si="98"/>
        <v>0</v>
      </c>
      <c r="AA403" s="153">
        <f t="shared" si="98"/>
        <v>0</v>
      </c>
      <c r="AB403" s="153">
        <f t="shared" si="98"/>
        <v>0</v>
      </c>
      <c r="AC403" s="153">
        <f t="shared" si="98"/>
        <v>0</v>
      </c>
      <c r="AD403" s="153">
        <f t="shared" si="98"/>
        <v>0</v>
      </c>
      <c r="AE403" s="153">
        <f t="shared" si="98"/>
        <v>0</v>
      </c>
      <c r="AF403" s="153">
        <f t="shared" si="98"/>
        <v>0</v>
      </c>
      <c r="AG403" s="153">
        <f t="shared" si="98"/>
        <v>0</v>
      </c>
      <c r="AH403" s="153">
        <f t="shared" si="98"/>
        <v>0</v>
      </c>
      <c r="AI403" s="153">
        <f t="shared" si="98"/>
        <v>0</v>
      </c>
      <c r="AJ403" s="153">
        <f t="shared" si="98"/>
        <v>0</v>
      </c>
      <c r="AK403" s="153">
        <f t="shared" si="98"/>
        <v>0</v>
      </c>
      <c r="AL403" s="153">
        <f t="shared" si="98"/>
        <v>0</v>
      </c>
      <c r="AM403" s="153">
        <f t="shared" si="98"/>
        <v>0</v>
      </c>
      <c r="AN403" s="378"/>
    </row>
    <row r="404" spans="1:40" ht="12.75" customHeight="1">
      <c r="A404" s="286">
        <v>49</v>
      </c>
      <c r="B404" s="319" t="s">
        <v>205</v>
      </c>
      <c r="C404" s="381">
        <v>92601</v>
      </c>
      <c r="D404" s="332" t="s">
        <v>191</v>
      </c>
      <c r="E404" s="354">
        <v>2012</v>
      </c>
      <c r="F404" s="132" t="s">
        <v>106</v>
      </c>
      <c r="G404" s="155" t="s">
        <v>107</v>
      </c>
      <c r="H404" s="134"/>
      <c r="I404" s="187"/>
      <c r="J404" s="158"/>
      <c r="K404" s="158"/>
      <c r="L404" s="158"/>
      <c r="M404" s="158"/>
      <c r="N404" s="158"/>
      <c r="O404" s="158"/>
      <c r="P404" s="158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376">
        <f>SUM(J411:AM411)</f>
        <v>200000</v>
      </c>
    </row>
    <row r="405" spans="1:40" ht="12.75">
      <c r="A405" s="287"/>
      <c r="B405" s="319"/>
      <c r="C405" s="381"/>
      <c r="D405" s="333"/>
      <c r="E405" s="354"/>
      <c r="F405" s="281">
        <f>SUM(H410:AM410)</f>
        <v>0</v>
      </c>
      <c r="G405" s="139" t="s">
        <v>108</v>
      </c>
      <c r="H405" s="140"/>
      <c r="I405" s="189"/>
      <c r="J405" s="142">
        <v>100000</v>
      </c>
      <c r="K405" s="142">
        <v>100000</v>
      </c>
      <c r="L405" s="142"/>
      <c r="M405" s="142"/>
      <c r="N405" s="142"/>
      <c r="O405" s="142"/>
      <c r="P405" s="142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377"/>
    </row>
    <row r="406" spans="1:40" ht="12.75">
      <c r="A406" s="287"/>
      <c r="B406" s="319"/>
      <c r="C406" s="381"/>
      <c r="D406" s="333"/>
      <c r="E406" s="354"/>
      <c r="F406" s="379"/>
      <c r="G406" s="139" t="s">
        <v>109</v>
      </c>
      <c r="H406" s="140"/>
      <c r="I406" s="189"/>
      <c r="J406" s="142"/>
      <c r="K406" s="142"/>
      <c r="L406" s="142"/>
      <c r="M406" s="142"/>
      <c r="N406" s="142"/>
      <c r="O406" s="142"/>
      <c r="P406" s="142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377"/>
    </row>
    <row r="407" spans="1:40" ht="12.75">
      <c r="A407" s="287"/>
      <c r="B407" s="319"/>
      <c r="C407" s="381"/>
      <c r="D407" s="333"/>
      <c r="E407" s="266"/>
      <c r="F407" s="145" t="s">
        <v>110</v>
      </c>
      <c r="G407" s="139" t="s">
        <v>111</v>
      </c>
      <c r="H407" s="140"/>
      <c r="I407" s="189"/>
      <c r="J407" s="142"/>
      <c r="K407" s="142"/>
      <c r="L407" s="142"/>
      <c r="M407" s="142"/>
      <c r="N407" s="142"/>
      <c r="O407" s="142"/>
      <c r="P407" s="142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377"/>
    </row>
    <row r="408" spans="1:40" ht="12.75">
      <c r="A408" s="287"/>
      <c r="B408" s="319"/>
      <c r="C408" s="381"/>
      <c r="D408" s="333"/>
      <c r="E408" s="336">
        <v>2013</v>
      </c>
      <c r="F408" s="281">
        <f>SUM(H411:AM411)</f>
        <v>200000</v>
      </c>
      <c r="G408" s="139" t="s">
        <v>115</v>
      </c>
      <c r="H408" s="140"/>
      <c r="I408" s="189"/>
      <c r="J408" s="142"/>
      <c r="K408" s="142"/>
      <c r="L408" s="142"/>
      <c r="M408" s="142"/>
      <c r="N408" s="142"/>
      <c r="O408" s="142"/>
      <c r="P408" s="142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377"/>
    </row>
    <row r="409" spans="1:40" ht="12.75">
      <c r="A409" s="287"/>
      <c r="B409" s="319"/>
      <c r="C409" s="381"/>
      <c r="D409" s="333"/>
      <c r="E409" s="354"/>
      <c r="F409" s="379"/>
      <c r="G409" s="139" t="s">
        <v>116</v>
      </c>
      <c r="H409" s="140"/>
      <c r="I409" s="189"/>
      <c r="J409" s="142"/>
      <c r="K409" s="142"/>
      <c r="L409" s="142"/>
      <c r="M409" s="142"/>
      <c r="N409" s="142"/>
      <c r="O409" s="142"/>
      <c r="P409" s="142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377"/>
    </row>
    <row r="410" spans="1:40" ht="12.75">
      <c r="A410" s="287"/>
      <c r="B410" s="319"/>
      <c r="C410" s="381"/>
      <c r="D410" s="333"/>
      <c r="E410" s="354"/>
      <c r="F410" s="145" t="s">
        <v>114</v>
      </c>
      <c r="G410" s="139" t="s">
        <v>117</v>
      </c>
      <c r="H410" s="146">
        <f aca="true" t="shared" si="99" ref="H410:AM410">H404+H406+H408</f>
        <v>0</v>
      </c>
      <c r="I410" s="191">
        <f t="shared" si="99"/>
        <v>0</v>
      </c>
      <c r="J410" s="148">
        <f t="shared" si="99"/>
        <v>0</v>
      </c>
      <c r="K410" s="148">
        <f t="shared" si="99"/>
        <v>0</v>
      </c>
      <c r="L410" s="148">
        <f t="shared" si="99"/>
        <v>0</v>
      </c>
      <c r="M410" s="148">
        <f t="shared" si="99"/>
        <v>0</v>
      </c>
      <c r="N410" s="148">
        <f t="shared" si="99"/>
        <v>0</v>
      </c>
      <c r="O410" s="148">
        <f t="shared" si="99"/>
        <v>0</v>
      </c>
      <c r="P410" s="148">
        <f t="shared" si="99"/>
        <v>0</v>
      </c>
      <c r="Q410" s="148">
        <f t="shared" si="99"/>
        <v>0</v>
      </c>
      <c r="R410" s="148">
        <f t="shared" si="99"/>
        <v>0</v>
      </c>
      <c r="S410" s="148">
        <f t="shared" si="99"/>
        <v>0</v>
      </c>
      <c r="T410" s="148">
        <f t="shared" si="99"/>
        <v>0</v>
      </c>
      <c r="U410" s="148">
        <f t="shared" si="99"/>
        <v>0</v>
      </c>
      <c r="V410" s="148">
        <f t="shared" si="99"/>
        <v>0</v>
      </c>
      <c r="W410" s="148">
        <f t="shared" si="99"/>
        <v>0</v>
      </c>
      <c r="X410" s="148">
        <f t="shared" si="99"/>
        <v>0</v>
      </c>
      <c r="Y410" s="148">
        <f t="shared" si="99"/>
        <v>0</v>
      </c>
      <c r="Z410" s="148">
        <f t="shared" si="99"/>
        <v>0</v>
      </c>
      <c r="AA410" s="148">
        <f t="shared" si="99"/>
        <v>0</v>
      </c>
      <c r="AB410" s="148">
        <f t="shared" si="99"/>
        <v>0</v>
      </c>
      <c r="AC410" s="148">
        <f t="shared" si="99"/>
        <v>0</v>
      </c>
      <c r="AD410" s="148">
        <f t="shared" si="99"/>
        <v>0</v>
      </c>
      <c r="AE410" s="148">
        <f t="shared" si="99"/>
        <v>0</v>
      </c>
      <c r="AF410" s="148">
        <f t="shared" si="99"/>
        <v>0</v>
      </c>
      <c r="AG410" s="148">
        <f t="shared" si="99"/>
        <v>0</v>
      </c>
      <c r="AH410" s="148">
        <f t="shared" si="99"/>
        <v>0</v>
      </c>
      <c r="AI410" s="148">
        <f t="shared" si="99"/>
        <v>0</v>
      </c>
      <c r="AJ410" s="148">
        <f t="shared" si="99"/>
        <v>0</v>
      </c>
      <c r="AK410" s="148">
        <f t="shared" si="99"/>
        <v>0</v>
      </c>
      <c r="AL410" s="148">
        <f t="shared" si="99"/>
        <v>0</v>
      </c>
      <c r="AM410" s="148">
        <f t="shared" si="99"/>
        <v>0</v>
      </c>
      <c r="AN410" s="377"/>
    </row>
    <row r="411" spans="1:40" ht="13.5" thickBot="1">
      <c r="A411" s="287"/>
      <c r="B411" s="320"/>
      <c r="C411" s="382"/>
      <c r="D411" s="333"/>
      <c r="E411" s="355"/>
      <c r="F411" s="226">
        <f>F405+F408</f>
        <v>200000</v>
      </c>
      <c r="G411" s="150" t="s">
        <v>118</v>
      </c>
      <c r="H411" s="151">
        <f aca="true" t="shared" si="100" ref="H411:AM411">H405+H407+H409</f>
        <v>0</v>
      </c>
      <c r="I411" s="228">
        <f t="shared" si="100"/>
        <v>0</v>
      </c>
      <c r="J411" s="153">
        <f t="shared" si="100"/>
        <v>100000</v>
      </c>
      <c r="K411" s="153">
        <f t="shared" si="100"/>
        <v>100000</v>
      </c>
      <c r="L411" s="153">
        <f t="shared" si="100"/>
        <v>0</v>
      </c>
      <c r="M411" s="153">
        <f t="shared" si="100"/>
        <v>0</v>
      </c>
      <c r="N411" s="153">
        <f t="shared" si="100"/>
        <v>0</v>
      </c>
      <c r="O411" s="153">
        <f t="shared" si="100"/>
        <v>0</v>
      </c>
      <c r="P411" s="153">
        <f t="shared" si="100"/>
        <v>0</v>
      </c>
      <c r="Q411" s="153">
        <f t="shared" si="100"/>
        <v>0</v>
      </c>
      <c r="R411" s="153">
        <f t="shared" si="100"/>
        <v>0</v>
      </c>
      <c r="S411" s="153">
        <f t="shared" si="100"/>
        <v>0</v>
      </c>
      <c r="T411" s="153">
        <f t="shared" si="100"/>
        <v>0</v>
      </c>
      <c r="U411" s="153">
        <f t="shared" si="100"/>
        <v>0</v>
      </c>
      <c r="V411" s="153">
        <f t="shared" si="100"/>
        <v>0</v>
      </c>
      <c r="W411" s="153">
        <f t="shared" si="100"/>
        <v>0</v>
      </c>
      <c r="X411" s="153">
        <f t="shared" si="100"/>
        <v>0</v>
      </c>
      <c r="Y411" s="153">
        <f t="shared" si="100"/>
        <v>0</v>
      </c>
      <c r="Z411" s="153">
        <f t="shared" si="100"/>
        <v>0</v>
      </c>
      <c r="AA411" s="153">
        <f t="shared" si="100"/>
        <v>0</v>
      </c>
      <c r="AB411" s="153">
        <f t="shared" si="100"/>
        <v>0</v>
      </c>
      <c r="AC411" s="153">
        <f t="shared" si="100"/>
        <v>0</v>
      </c>
      <c r="AD411" s="153">
        <f t="shared" si="100"/>
        <v>0</v>
      </c>
      <c r="AE411" s="153">
        <f t="shared" si="100"/>
        <v>0</v>
      </c>
      <c r="AF411" s="153">
        <f t="shared" si="100"/>
        <v>0</v>
      </c>
      <c r="AG411" s="153">
        <f t="shared" si="100"/>
        <v>0</v>
      </c>
      <c r="AH411" s="153">
        <f t="shared" si="100"/>
        <v>0</v>
      </c>
      <c r="AI411" s="153">
        <f t="shared" si="100"/>
        <v>0</v>
      </c>
      <c r="AJ411" s="153">
        <f t="shared" si="100"/>
        <v>0</v>
      </c>
      <c r="AK411" s="153">
        <f t="shared" si="100"/>
        <v>0</v>
      </c>
      <c r="AL411" s="153">
        <f t="shared" si="100"/>
        <v>0</v>
      </c>
      <c r="AM411" s="153">
        <f t="shared" si="100"/>
        <v>0</v>
      </c>
      <c r="AN411" s="378"/>
    </row>
    <row r="412" spans="1:40" ht="12.75">
      <c r="A412" s="249"/>
      <c r="B412" s="250"/>
      <c r="C412" s="251"/>
      <c r="D412" s="252"/>
      <c r="E412" s="253"/>
      <c r="F412" s="207"/>
      <c r="G412" s="208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/>
      <c r="AG412" s="222"/>
      <c r="AH412" s="222"/>
      <c r="AI412" s="222"/>
      <c r="AJ412" s="222"/>
      <c r="AK412" s="222"/>
      <c r="AL412" s="222"/>
      <c r="AM412" s="222"/>
      <c r="AN412" s="254"/>
    </row>
    <row r="413" spans="1:40" ht="8.25" customHeight="1">
      <c r="A413" s="255"/>
      <c r="B413" s="204"/>
      <c r="C413" s="256"/>
      <c r="D413" s="205"/>
      <c r="E413" s="206"/>
      <c r="F413" s="390"/>
      <c r="G413" s="208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/>
      <c r="AG413" s="222"/>
      <c r="AH413" s="222"/>
      <c r="AI413" s="222"/>
      <c r="AJ413" s="222"/>
      <c r="AK413" s="222"/>
      <c r="AL413" s="222"/>
      <c r="AM413" s="222"/>
      <c r="AN413" s="257"/>
    </row>
    <row r="414" spans="1:40" ht="12.75" hidden="1">
      <c r="A414" s="255"/>
      <c r="B414" s="204"/>
      <c r="C414" s="256"/>
      <c r="D414" s="205"/>
      <c r="E414" s="206"/>
      <c r="F414" s="391"/>
      <c r="G414" s="208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/>
      <c r="AG414" s="222"/>
      <c r="AH414" s="222"/>
      <c r="AI414" s="222"/>
      <c r="AJ414" s="222"/>
      <c r="AK414" s="222"/>
      <c r="AL414" s="222"/>
      <c r="AM414" s="222"/>
      <c r="AN414" s="257"/>
    </row>
    <row r="415" spans="1:40" ht="12.75" hidden="1">
      <c r="A415" s="255"/>
      <c r="B415" s="204"/>
      <c r="C415" s="256"/>
      <c r="D415" s="205"/>
      <c r="E415" s="206"/>
      <c r="F415" s="207"/>
      <c r="G415" s="208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  <c r="AI415" s="222"/>
      <c r="AJ415" s="222"/>
      <c r="AK415" s="222"/>
      <c r="AL415" s="222"/>
      <c r="AM415" s="222"/>
      <c r="AN415" s="257"/>
    </row>
    <row r="416" spans="1:40" ht="12.75" hidden="1">
      <c r="A416" s="255"/>
      <c r="B416" s="204"/>
      <c r="C416" s="256"/>
      <c r="D416" s="205"/>
      <c r="E416" s="206"/>
      <c r="F416" s="390"/>
      <c r="G416" s="208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  <c r="AI416" s="222"/>
      <c r="AJ416" s="222"/>
      <c r="AK416" s="222"/>
      <c r="AL416" s="222"/>
      <c r="AM416" s="222"/>
      <c r="AN416" s="257"/>
    </row>
    <row r="417" spans="1:40" ht="12.75" hidden="1">
      <c r="A417" s="255"/>
      <c r="B417" s="204"/>
      <c r="C417" s="256"/>
      <c r="D417" s="205"/>
      <c r="E417" s="206"/>
      <c r="F417" s="391"/>
      <c r="G417" s="208"/>
      <c r="H417" s="222"/>
      <c r="I417" s="258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  <c r="AI417" s="222"/>
      <c r="AJ417" s="222"/>
      <c r="AK417" s="222"/>
      <c r="AL417" s="222"/>
      <c r="AM417" s="222"/>
      <c r="AN417" s="257"/>
    </row>
    <row r="418" spans="1:40" ht="13.5" thickBot="1">
      <c r="A418" s="255"/>
      <c r="B418" s="204"/>
      <c r="C418" s="256"/>
      <c r="D418" s="205"/>
      <c r="E418" s="206"/>
      <c r="F418" s="207"/>
      <c r="G418" s="208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  <c r="AA418" s="209"/>
      <c r="AB418" s="209"/>
      <c r="AC418" s="209"/>
      <c r="AD418" s="209"/>
      <c r="AE418" s="209"/>
      <c r="AF418" s="209"/>
      <c r="AG418" s="209"/>
      <c r="AH418" s="209"/>
      <c r="AI418" s="209"/>
      <c r="AJ418" s="209"/>
      <c r="AK418" s="209"/>
      <c r="AL418" s="209"/>
      <c r="AM418" s="209"/>
      <c r="AN418" s="257"/>
    </row>
    <row r="419" spans="1:40" ht="12.75">
      <c r="A419" s="407" t="s">
        <v>236</v>
      </c>
      <c r="B419" s="408"/>
      <c r="C419" s="408"/>
      <c r="D419" s="408"/>
      <c r="E419" s="409"/>
      <c r="F419" s="132" t="s">
        <v>106</v>
      </c>
      <c r="G419" s="259" t="s">
        <v>107</v>
      </c>
      <c r="H419" s="136">
        <f aca="true" t="shared" si="101" ref="H419:M426">SUM(H5,H13,H21,H29,H37,H52,H60,H68,H76,H84,H92,H100,H108,H116,H124,H132,H140,H148,H156,H164,H172,H180,H188,H196,H204,H212,H220,H228,H244,H252)+SUM(H260,H268,H276,H284,H292,H300,H308,H316,H324,H332,H340,H348,H356,H364,H372,H380,H388,H396,H404)</f>
        <v>0</v>
      </c>
      <c r="I419" s="136">
        <f t="shared" si="101"/>
        <v>5929</v>
      </c>
      <c r="J419" s="136">
        <f t="shared" si="101"/>
        <v>5929</v>
      </c>
      <c r="K419" s="136">
        <f t="shared" si="101"/>
        <v>5929</v>
      </c>
      <c r="L419" s="136">
        <f t="shared" si="101"/>
        <v>5929</v>
      </c>
      <c r="M419" s="136">
        <f t="shared" si="101"/>
        <v>5929</v>
      </c>
      <c r="N419" s="136">
        <f aca="true" t="shared" si="102" ref="N419:AM419">SUM(N5,N13,N21,N29,N37,N52,N60,N68,N76,N84,N92,N100,N108,N116,N124,N132,N140,N148,N156,N164,N172,N180,N188,N196,N204,N212,N220,N228,N244,N252)+SUM(N260,N268,N276,N284,N292,N300,N308,N316,N324,N340,N348,N356,N364,N372,N380,N388,N396,N404)</f>
        <v>0</v>
      </c>
      <c r="O419" s="136">
        <f t="shared" si="102"/>
        <v>0</v>
      </c>
      <c r="P419" s="136">
        <f t="shared" si="102"/>
        <v>0</v>
      </c>
      <c r="Q419" s="136">
        <f t="shared" si="102"/>
        <v>0</v>
      </c>
      <c r="R419" s="136">
        <f t="shared" si="102"/>
        <v>0</v>
      </c>
      <c r="S419" s="136">
        <f t="shared" si="102"/>
        <v>0</v>
      </c>
      <c r="T419" s="136">
        <f t="shared" si="102"/>
        <v>0</v>
      </c>
      <c r="U419" s="136">
        <f t="shared" si="102"/>
        <v>0</v>
      </c>
      <c r="V419" s="136">
        <f t="shared" si="102"/>
        <v>0</v>
      </c>
      <c r="W419" s="136">
        <f t="shared" si="102"/>
        <v>0</v>
      </c>
      <c r="X419" s="136">
        <f t="shared" si="102"/>
        <v>0</v>
      </c>
      <c r="Y419" s="136">
        <f t="shared" si="102"/>
        <v>0</v>
      </c>
      <c r="Z419" s="136">
        <f t="shared" si="102"/>
        <v>0</v>
      </c>
      <c r="AA419" s="136">
        <f t="shared" si="102"/>
        <v>0</v>
      </c>
      <c r="AB419" s="136">
        <f t="shared" si="102"/>
        <v>0</v>
      </c>
      <c r="AC419" s="136">
        <f t="shared" si="102"/>
        <v>0</v>
      </c>
      <c r="AD419" s="136">
        <f t="shared" si="102"/>
        <v>0</v>
      </c>
      <c r="AE419" s="136">
        <f t="shared" si="102"/>
        <v>0</v>
      </c>
      <c r="AF419" s="136">
        <f t="shared" si="102"/>
        <v>0</v>
      </c>
      <c r="AG419" s="136">
        <f t="shared" si="102"/>
        <v>0</v>
      </c>
      <c r="AH419" s="136">
        <f t="shared" si="102"/>
        <v>0</v>
      </c>
      <c r="AI419" s="136">
        <f t="shared" si="102"/>
        <v>0</v>
      </c>
      <c r="AJ419" s="136">
        <f t="shared" si="102"/>
        <v>0</v>
      </c>
      <c r="AK419" s="136">
        <f t="shared" si="102"/>
        <v>0</v>
      </c>
      <c r="AL419" s="136">
        <f t="shared" si="102"/>
        <v>0</v>
      </c>
      <c r="AM419" s="136">
        <f t="shared" si="102"/>
        <v>0</v>
      </c>
      <c r="AN419" s="376">
        <f>SUM(AN5:AN411)</f>
        <v>318551017</v>
      </c>
    </row>
    <row r="420" spans="1:40" ht="12.75">
      <c r="A420" s="410"/>
      <c r="B420" s="411"/>
      <c r="C420" s="411"/>
      <c r="D420" s="411"/>
      <c r="E420" s="412"/>
      <c r="F420" s="281">
        <f>SUM(H425:N425)</f>
        <v>29645</v>
      </c>
      <c r="G420" s="260" t="s">
        <v>108</v>
      </c>
      <c r="H420" s="142">
        <f t="shared" si="101"/>
        <v>88045561</v>
      </c>
      <c r="I420" s="142">
        <f t="shared" si="101"/>
        <v>118391606</v>
      </c>
      <c r="J420" s="142">
        <f t="shared" si="101"/>
        <v>119476437</v>
      </c>
      <c r="K420" s="142">
        <f t="shared" si="101"/>
        <v>105129866</v>
      </c>
      <c r="L420" s="142">
        <f t="shared" si="101"/>
        <v>74444714</v>
      </c>
      <c r="M420" s="142">
        <f t="shared" si="101"/>
        <v>19500000</v>
      </c>
      <c r="N420" s="142">
        <f aca="true" t="shared" si="103" ref="N420:AM420">SUM(N6,N14,N22,N30,N38,N53,N61,N69,N77,N85,N93,N101,N109,N117,N125,N133,N141,N149,N157,N165,N173,N181,N189,N197,N205,N213,N221,N229,N245,N253)+SUM(N261,N269,N277,N285,N293,N301,N309,N317,N325,N341,N349,N357,N365,N373,N381,N389,N397,N405)</f>
        <v>0</v>
      </c>
      <c r="O420" s="142">
        <f t="shared" si="103"/>
        <v>0</v>
      </c>
      <c r="P420" s="142">
        <f t="shared" si="103"/>
        <v>0</v>
      </c>
      <c r="Q420" s="142">
        <f t="shared" si="103"/>
        <v>0</v>
      </c>
      <c r="R420" s="142">
        <f t="shared" si="103"/>
        <v>0</v>
      </c>
      <c r="S420" s="142">
        <f t="shared" si="103"/>
        <v>0</v>
      </c>
      <c r="T420" s="142">
        <f t="shared" si="103"/>
        <v>0</v>
      </c>
      <c r="U420" s="142">
        <f t="shared" si="103"/>
        <v>0</v>
      </c>
      <c r="V420" s="142">
        <f t="shared" si="103"/>
        <v>0</v>
      </c>
      <c r="W420" s="142">
        <f t="shared" si="103"/>
        <v>0</v>
      </c>
      <c r="X420" s="142">
        <f t="shared" si="103"/>
        <v>0</v>
      </c>
      <c r="Y420" s="142">
        <f t="shared" si="103"/>
        <v>0</v>
      </c>
      <c r="Z420" s="142">
        <f t="shared" si="103"/>
        <v>0</v>
      </c>
      <c r="AA420" s="142">
        <f t="shared" si="103"/>
        <v>0</v>
      </c>
      <c r="AB420" s="142">
        <f t="shared" si="103"/>
        <v>0</v>
      </c>
      <c r="AC420" s="142">
        <f t="shared" si="103"/>
        <v>0</v>
      </c>
      <c r="AD420" s="142">
        <f t="shared" si="103"/>
        <v>0</v>
      </c>
      <c r="AE420" s="142">
        <f t="shared" si="103"/>
        <v>0</v>
      </c>
      <c r="AF420" s="142">
        <f t="shared" si="103"/>
        <v>0</v>
      </c>
      <c r="AG420" s="142">
        <f t="shared" si="103"/>
        <v>0</v>
      </c>
      <c r="AH420" s="142">
        <f t="shared" si="103"/>
        <v>0</v>
      </c>
      <c r="AI420" s="142">
        <f t="shared" si="103"/>
        <v>0</v>
      </c>
      <c r="AJ420" s="142">
        <f t="shared" si="103"/>
        <v>0</v>
      </c>
      <c r="AK420" s="142">
        <f t="shared" si="103"/>
        <v>0</v>
      </c>
      <c r="AL420" s="142">
        <f t="shared" si="103"/>
        <v>0</v>
      </c>
      <c r="AM420" s="142">
        <f t="shared" si="103"/>
        <v>0</v>
      </c>
      <c r="AN420" s="377"/>
    </row>
    <row r="421" spans="1:40" ht="12.75">
      <c r="A421" s="410"/>
      <c r="B421" s="411"/>
      <c r="C421" s="411"/>
      <c r="D421" s="411"/>
      <c r="E421" s="412"/>
      <c r="F421" s="379"/>
      <c r="G421" s="260" t="s">
        <v>109</v>
      </c>
      <c r="H421" s="142">
        <f t="shared" si="101"/>
        <v>0</v>
      </c>
      <c r="I421" s="142">
        <f t="shared" si="101"/>
        <v>0</v>
      </c>
      <c r="J421" s="142">
        <f t="shared" si="101"/>
        <v>0</v>
      </c>
      <c r="K421" s="142">
        <f t="shared" si="101"/>
        <v>0</v>
      </c>
      <c r="L421" s="142">
        <f t="shared" si="101"/>
        <v>0</v>
      </c>
      <c r="M421" s="142">
        <f t="shared" si="101"/>
        <v>0</v>
      </c>
      <c r="N421" s="142">
        <f aca="true" t="shared" si="104" ref="N421:AM421">SUM(N7,N15,N23,N31,N39,N54,N62,N70,N78,N86,N94,N102,N110,N118,N126,N134,N142,N150,N158,N166,N174,N182,N190,N198,N206,N214,N222,N230,N246,N254)+SUM(N262,N270,N278,N286,N294,N302,N310,N318,N326,N342,N350,N358,N366,N374,N382,N390,N398,N406)</f>
        <v>0</v>
      </c>
      <c r="O421" s="142">
        <f t="shared" si="104"/>
        <v>0</v>
      </c>
      <c r="P421" s="142">
        <f t="shared" si="104"/>
        <v>0</v>
      </c>
      <c r="Q421" s="142">
        <f t="shared" si="104"/>
        <v>0</v>
      </c>
      <c r="R421" s="142">
        <f t="shared" si="104"/>
        <v>0</v>
      </c>
      <c r="S421" s="142">
        <f t="shared" si="104"/>
        <v>0</v>
      </c>
      <c r="T421" s="142">
        <f t="shared" si="104"/>
        <v>0</v>
      </c>
      <c r="U421" s="142">
        <f t="shared" si="104"/>
        <v>0</v>
      </c>
      <c r="V421" s="142">
        <f t="shared" si="104"/>
        <v>0</v>
      </c>
      <c r="W421" s="142">
        <f t="shared" si="104"/>
        <v>0</v>
      </c>
      <c r="X421" s="142">
        <f t="shared" si="104"/>
        <v>0</v>
      </c>
      <c r="Y421" s="142">
        <f t="shared" si="104"/>
        <v>0</v>
      </c>
      <c r="Z421" s="142">
        <f t="shared" si="104"/>
        <v>0</v>
      </c>
      <c r="AA421" s="142">
        <f t="shared" si="104"/>
        <v>0</v>
      </c>
      <c r="AB421" s="142">
        <f t="shared" si="104"/>
        <v>0</v>
      </c>
      <c r="AC421" s="142">
        <f t="shared" si="104"/>
        <v>0</v>
      </c>
      <c r="AD421" s="142">
        <f t="shared" si="104"/>
        <v>0</v>
      </c>
      <c r="AE421" s="142">
        <f t="shared" si="104"/>
        <v>0</v>
      </c>
      <c r="AF421" s="142">
        <f t="shared" si="104"/>
        <v>0</v>
      </c>
      <c r="AG421" s="142">
        <f t="shared" si="104"/>
        <v>0</v>
      </c>
      <c r="AH421" s="142">
        <f t="shared" si="104"/>
        <v>0</v>
      </c>
      <c r="AI421" s="142">
        <f t="shared" si="104"/>
        <v>0</v>
      </c>
      <c r="AJ421" s="142">
        <f t="shared" si="104"/>
        <v>0</v>
      </c>
      <c r="AK421" s="142">
        <f t="shared" si="104"/>
        <v>0</v>
      </c>
      <c r="AL421" s="142">
        <f t="shared" si="104"/>
        <v>0</v>
      </c>
      <c r="AM421" s="142">
        <f t="shared" si="104"/>
        <v>0</v>
      </c>
      <c r="AN421" s="377"/>
    </row>
    <row r="422" spans="1:40" ht="12.75">
      <c r="A422" s="410"/>
      <c r="B422" s="411"/>
      <c r="C422" s="411"/>
      <c r="D422" s="411"/>
      <c r="E422" s="412"/>
      <c r="F422" s="145" t="s">
        <v>110</v>
      </c>
      <c r="G422" s="260" t="s">
        <v>111</v>
      </c>
      <c r="H422" s="142">
        <f t="shared" si="101"/>
        <v>0</v>
      </c>
      <c r="I422" s="142">
        <f t="shared" si="101"/>
        <v>0</v>
      </c>
      <c r="J422" s="142">
        <f t="shared" si="101"/>
        <v>0</v>
      </c>
      <c r="K422" s="142">
        <f t="shared" si="101"/>
        <v>0</v>
      </c>
      <c r="L422" s="142">
        <f t="shared" si="101"/>
        <v>0</v>
      </c>
      <c r="M422" s="142">
        <f t="shared" si="101"/>
        <v>0</v>
      </c>
      <c r="N422" s="142">
        <f aca="true" t="shared" si="105" ref="N422:AM422">SUM(N8,N16,N24,N32,N40,N55,N63,N71,N79,N87,N95,N103,N111,N119,N127,N135,N143,N151,N159,N167,N175,N183,N191,N199,N207,N215,N223,N231,N247,N255)+SUM(N263,N271,N279,N287,N295,N303,N311,N319,N327,N343,N351,N359,N367,N375,N383,N391,N399,N407)</f>
        <v>0</v>
      </c>
      <c r="O422" s="142">
        <f t="shared" si="105"/>
        <v>0</v>
      </c>
      <c r="P422" s="142">
        <f t="shared" si="105"/>
        <v>0</v>
      </c>
      <c r="Q422" s="142">
        <f t="shared" si="105"/>
        <v>0</v>
      </c>
      <c r="R422" s="142">
        <f t="shared" si="105"/>
        <v>0</v>
      </c>
      <c r="S422" s="142">
        <f t="shared" si="105"/>
        <v>0</v>
      </c>
      <c r="T422" s="142">
        <f t="shared" si="105"/>
        <v>0</v>
      </c>
      <c r="U422" s="142">
        <f t="shared" si="105"/>
        <v>0</v>
      </c>
      <c r="V422" s="142">
        <f t="shared" si="105"/>
        <v>0</v>
      </c>
      <c r="W422" s="142">
        <f t="shared" si="105"/>
        <v>0</v>
      </c>
      <c r="X422" s="142">
        <f t="shared" si="105"/>
        <v>0</v>
      </c>
      <c r="Y422" s="142">
        <f t="shared" si="105"/>
        <v>0</v>
      </c>
      <c r="Z422" s="142">
        <f t="shared" si="105"/>
        <v>0</v>
      </c>
      <c r="AA422" s="142">
        <f t="shared" si="105"/>
        <v>0</v>
      </c>
      <c r="AB422" s="142">
        <f t="shared" si="105"/>
        <v>0</v>
      </c>
      <c r="AC422" s="142">
        <f t="shared" si="105"/>
        <v>0</v>
      </c>
      <c r="AD422" s="142">
        <f t="shared" si="105"/>
        <v>0</v>
      </c>
      <c r="AE422" s="142">
        <f t="shared" si="105"/>
        <v>0</v>
      </c>
      <c r="AF422" s="142">
        <f t="shared" si="105"/>
        <v>0</v>
      </c>
      <c r="AG422" s="142">
        <f t="shared" si="105"/>
        <v>0</v>
      </c>
      <c r="AH422" s="142">
        <f t="shared" si="105"/>
        <v>0</v>
      </c>
      <c r="AI422" s="142">
        <f t="shared" si="105"/>
        <v>0</v>
      </c>
      <c r="AJ422" s="142">
        <f t="shared" si="105"/>
        <v>0</v>
      </c>
      <c r="AK422" s="142">
        <f t="shared" si="105"/>
        <v>0</v>
      </c>
      <c r="AL422" s="142">
        <f t="shared" si="105"/>
        <v>0</v>
      </c>
      <c r="AM422" s="142">
        <f t="shared" si="105"/>
        <v>0</v>
      </c>
      <c r="AN422" s="377"/>
    </row>
    <row r="423" spans="1:40" ht="12.75">
      <c r="A423" s="410"/>
      <c r="B423" s="411"/>
      <c r="C423" s="411"/>
      <c r="D423" s="411"/>
      <c r="E423" s="412"/>
      <c r="F423" s="281">
        <f>SUM(H426:AM426)</f>
        <v>524988184</v>
      </c>
      <c r="G423" s="260" t="s">
        <v>115</v>
      </c>
      <c r="H423" s="142">
        <f t="shared" si="101"/>
        <v>0</v>
      </c>
      <c r="I423" s="142">
        <f t="shared" si="101"/>
        <v>0</v>
      </c>
      <c r="J423" s="142">
        <f t="shared" si="101"/>
        <v>0</v>
      </c>
      <c r="K423" s="142">
        <f t="shared" si="101"/>
        <v>0</v>
      </c>
      <c r="L423" s="142">
        <f t="shared" si="101"/>
        <v>0</v>
      </c>
      <c r="M423" s="142">
        <f t="shared" si="101"/>
        <v>0</v>
      </c>
      <c r="N423" s="142">
        <f aca="true" t="shared" si="106" ref="N423:AM423">SUM(N9,N17,N25,N33,N41,N56,N64,N72,N80,N88,N96,N104,N112,N120,N128,N136,N144,N152,N160,N168,N176,N184,N192,N200,N208,N216,N224,N232,N248,N256)+SUM(N264,N272,N280,N288,N296,N304,N312,N320,N328,N344,N352,N360,N368,N376,N384,N392,N400,N408)</f>
        <v>0</v>
      </c>
      <c r="O423" s="142">
        <f t="shared" si="106"/>
        <v>0</v>
      </c>
      <c r="P423" s="142">
        <f t="shared" si="106"/>
        <v>0</v>
      </c>
      <c r="Q423" s="142">
        <f t="shared" si="106"/>
        <v>0</v>
      </c>
      <c r="R423" s="142">
        <f t="shared" si="106"/>
        <v>0</v>
      </c>
      <c r="S423" s="142">
        <f t="shared" si="106"/>
        <v>0</v>
      </c>
      <c r="T423" s="142">
        <f t="shared" si="106"/>
        <v>0</v>
      </c>
      <c r="U423" s="142">
        <f t="shared" si="106"/>
        <v>0</v>
      </c>
      <c r="V423" s="142">
        <f t="shared" si="106"/>
        <v>0</v>
      </c>
      <c r="W423" s="142">
        <f t="shared" si="106"/>
        <v>0</v>
      </c>
      <c r="X423" s="142">
        <f t="shared" si="106"/>
        <v>0</v>
      </c>
      <c r="Y423" s="142">
        <f t="shared" si="106"/>
        <v>0</v>
      </c>
      <c r="Z423" s="142">
        <f t="shared" si="106"/>
        <v>0</v>
      </c>
      <c r="AA423" s="142">
        <f t="shared" si="106"/>
        <v>0</v>
      </c>
      <c r="AB423" s="142">
        <f t="shared" si="106"/>
        <v>0</v>
      </c>
      <c r="AC423" s="142">
        <f t="shared" si="106"/>
        <v>0</v>
      </c>
      <c r="AD423" s="142">
        <f t="shared" si="106"/>
        <v>0</v>
      </c>
      <c r="AE423" s="142">
        <f t="shared" si="106"/>
        <v>0</v>
      </c>
      <c r="AF423" s="142">
        <f t="shared" si="106"/>
        <v>0</v>
      </c>
      <c r="AG423" s="142">
        <f t="shared" si="106"/>
        <v>0</v>
      </c>
      <c r="AH423" s="142">
        <f t="shared" si="106"/>
        <v>0</v>
      </c>
      <c r="AI423" s="142">
        <f t="shared" si="106"/>
        <v>0</v>
      </c>
      <c r="AJ423" s="142">
        <f t="shared" si="106"/>
        <v>0</v>
      </c>
      <c r="AK423" s="142">
        <f t="shared" si="106"/>
        <v>0</v>
      </c>
      <c r="AL423" s="142">
        <f t="shared" si="106"/>
        <v>0</v>
      </c>
      <c r="AM423" s="142">
        <f t="shared" si="106"/>
        <v>0</v>
      </c>
      <c r="AN423" s="377"/>
    </row>
    <row r="424" spans="1:40" ht="12.75">
      <c r="A424" s="410"/>
      <c r="B424" s="411"/>
      <c r="C424" s="411"/>
      <c r="D424" s="411"/>
      <c r="E424" s="412"/>
      <c r="F424" s="379"/>
      <c r="G424" s="260" t="s">
        <v>116</v>
      </c>
      <c r="H424" s="142">
        <f t="shared" si="101"/>
        <v>0</v>
      </c>
      <c r="I424" s="142">
        <f t="shared" si="101"/>
        <v>0</v>
      </c>
      <c r="J424" s="142">
        <f t="shared" si="101"/>
        <v>0</v>
      </c>
      <c r="K424" s="142">
        <f t="shared" si="101"/>
        <v>0</v>
      </c>
      <c r="L424" s="142">
        <f t="shared" si="101"/>
        <v>0</v>
      </c>
      <c r="M424" s="142">
        <f t="shared" si="101"/>
        <v>0</v>
      </c>
      <c r="N424" s="142">
        <f aca="true" t="shared" si="107" ref="N424:AM424">SUM(N10,N18,N26,N34,N42,N57,N65,N73,N81,N89,N97,N105,N113,N121,N129,N137,N145,N153,N161,N169,N177,N185,N193,N201,N209,N217,N225,N233,N249,N257)+SUM(N265,N273,N281,N289,N297,N305,N313,N321,N329,N345,N353,N361,N369,N377,N385,N393,N401,N409)</f>
        <v>0</v>
      </c>
      <c r="O424" s="142">
        <f t="shared" si="107"/>
        <v>0</v>
      </c>
      <c r="P424" s="142">
        <f t="shared" si="107"/>
        <v>0</v>
      </c>
      <c r="Q424" s="142">
        <f t="shared" si="107"/>
        <v>0</v>
      </c>
      <c r="R424" s="142">
        <f t="shared" si="107"/>
        <v>0</v>
      </c>
      <c r="S424" s="142">
        <f t="shared" si="107"/>
        <v>0</v>
      </c>
      <c r="T424" s="142">
        <f t="shared" si="107"/>
        <v>0</v>
      </c>
      <c r="U424" s="142">
        <f t="shared" si="107"/>
        <v>0</v>
      </c>
      <c r="V424" s="142">
        <f t="shared" si="107"/>
        <v>0</v>
      </c>
      <c r="W424" s="142">
        <f t="shared" si="107"/>
        <v>0</v>
      </c>
      <c r="X424" s="142">
        <f t="shared" si="107"/>
        <v>0</v>
      </c>
      <c r="Y424" s="142">
        <f t="shared" si="107"/>
        <v>0</v>
      </c>
      <c r="Z424" s="142">
        <f t="shared" si="107"/>
        <v>0</v>
      </c>
      <c r="AA424" s="142">
        <f t="shared" si="107"/>
        <v>0</v>
      </c>
      <c r="AB424" s="142">
        <f t="shared" si="107"/>
        <v>0</v>
      </c>
      <c r="AC424" s="142">
        <f t="shared" si="107"/>
        <v>0</v>
      </c>
      <c r="AD424" s="142">
        <f t="shared" si="107"/>
        <v>0</v>
      </c>
      <c r="AE424" s="142">
        <f t="shared" si="107"/>
        <v>0</v>
      </c>
      <c r="AF424" s="142">
        <f t="shared" si="107"/>
        <v>0</v>
      </c>
      <c r="AG424" s="142">
        <f t="shared" si="107"/>
        <v>0</v>
      </c>
      <c r="AH424" s="142">
        <f t="shared" si="107"/>
        <v>0</v>
      </c>
      <c r="AI424" s="142">
        <f t="shared" si="107"/>
        <v>0</v>
      </c>
      <c r="AJ424" s="142">
        <f t="shared" si="107"/>
        <v>0</v>
      </c>
      <c r="AK424" s="142">
        <f t="shared" si="107"/>
        <v>0</v>
      </c>
      <c r="AL424" s="142">
        <f t="shared" si="107"/>
        <v>0</v>
      </c>
      <c r="AM424" s="142">
        <f t="shared" si="107"/>
        <v>0</v>
      </c>
      <c r="AN424" s="377"/>
    </row>
    <row r="425" spans="1:40" ht="12.75">
      <c r="A425" s="410"/>
      <c r="B425" s="411"/>
      <c r="C425" s="411"/>
      <c r="D425" s="411"/>
      <c r="E425" s="412"/>
      <c r="F425" s="145" t="s">
        <v>114</v>
      </c>
      <c r="G425" s="260" t="s">
        <v>117</v>
      </c>
      <c r="H425" s="142">
        <f t="shared" si="101"/>
        <v>0</v>
      </c>
      <c r="I425" s="142">
        <f t="shared" si="101"/>
        <v>5929</v>
      </c>
      <c r="J425" s="142">
        <f t="shared" si="101"/>
        <v>5929</v>
      </c>
      <c r="K425" s="142">
        <f t="shared" si="101"/>
        <v>5929</v>
      </c>
      <c r="L425" s="142">
        <f t="shared" si="101"/>
        <v>5929</v>
      </c>
      <c r="M425" s="142">
        <f t="shared" si="101"/>
        <v>5929</v>
      </c>
      <c r="N425" s="142">
        <f aca="true" t="shared" si="108" ref="N425:AM425">SUM(N11,N19,N27,N35,N43,N58,N66,N74,N82,N90,N98,N106,N114,N122,N130,N138,N146,N154,N162,N170,N178,N186,N194,N202,N210,N218,N226,N234,N250,N258)+SUM(N266,N274,N282,N290,N298,N306,N314,N322,N330,N346,N354,N362,N370,N378,N386,N394,N402,N410)</f>
        <v>0</v>
      </c>
      <c r="O425" s="142">
        <f t="shared" si="108"/>
        <v>0</v>
      </c>
      <c r="P425" s="142">
        <f t="shared" si="108"/>
        <v>0</v>
      </c>
      <c r="Q425" s="142">
        <f t="shared" si="108"/>
        <v>0</v>
      </c>
      <c r="R425" s="142">
        <f t="shared" si="108"/>
        <v>0</v>
      </c>
      <c r="S425" s="142">
        <f t="shared" si="108"/>
        <v>0</v>
      </c>
      <c r="T425" s="142">
        <f t="shared" si="108"/>
        <v>0</v>
      </c>
      <c r="U425" s="142">
        <f t="shared" si="108"/>
        <v>0</v>
      </c>
      <c r="V425" s="142">
        <f t="shared" si="108"/>
        <v>0</v>
      </c>
      <c r="W425" s="142">
        <f t="shared" si="108"/>
        <v>0</v>
      </c>
      <c r="X425" s="142">
        <f t="shared" si="108"/>
        <v>0</v>
      </c>
      <c r="Y425" s="142">
        <f t="shared" si="108"/>
        <v>0</v>
      </c>
      <c r="Z425" s="142">
        <f t="shared" si="108"/>
        <v>0</v>
      </c>
      <c r="AA425" s="142">
        <f t="shared" si="108"/>
        <v>0</v>
      </c>
      <c r="AB425" s="142">
        <f t="shared" si="108"/>
        <v>0</v>
      </c>
      <c r="AC425" s="142">
        <f t="shared" si="108"/>
        <v>0</v>
      </c>
      <c r="AD425" s="142">
        <f t="shared" si="108"/>
        <v>0</v>
      </c>
      <c r="AE425" s="142">
        <f t="shared" si="108"/>
        <v>0</v>
      </c>
      <c r="AF425" s="142">
        <f t="shared" si="108"/>
        <v>0</v>
      </c>
      <c r="AG425" s="142">
        <f t="shared" si="108"/>
        <v>0</v>
      </c>
      <c r="AH425" s="142">
        <f t="shared" si="108"/>
        <v>0</v>
      </c>
      <c r="AI425" s="142">
        <f t="shared" si="108"/>
        <v>0</v>
      </c>
      <c r="AJ425" s="142">
        <f t="shared" si="108"/>
        <v>0</v>
      </c>
      <c r="AK425" s="142">
        <f t="shared" si="108"/>
        <v>0</v>
      </c>
      <c r="AL425" s="142">
        <f t="shared" si="108"/>
        <v>0</v>
      </c>
      <c r="AM425" s="142">
        <f t="shared" si="108"/>
        <v>0</v>
      </c>
      <c r="AN425" s="377"/>
    </row>
    <row r="426" spans="1:40" ht="13.5" thickBot="1">
      <c r="A426" s="413"/>
      <c r="B426" s="414"/>
      <c r="C426" s="414"/>
      <c r="D426" s="414"/>
      <c r="E426" s="415"/>
      <c r="F426" s="226">
        <f>F420+F423</f>
        <v>525017829</v>
      </c>
      <c r="G426" s="261" t="s">
        <v>118</v>
      </c>
      <c r="H426" s="142">
        <f t="shared" si="101"/>
        <v>88045561</v>
      </c>
      <c r="I426" s="142">
        <f t="shared" si="101"/>
        <v>118391606</v>
      </c>
      <c r="J426" s="142">
        <f t="shared" si="101"/>
        <v>119476437</v>
      </c>
      <c r="K426" s="142">
        <f t="shared" si="101"/>
        <v>105129866</v>
      </c>
      <c r="L426" s="142">
        <f t="shared" si="101"/>
        <v>74444714</v>
      </c>
      <c r="M426" s="142">
        <f t="shared" si="101"/>
        <v>19500000</v>
      </c>
      <c r="N426" s="262">
        <f aca="true" t="shared" si="109" ref="N426:AM426">SUM(N12,N20,N28,N36,N44,N59,N67,N75,N83,N91,N99,N107,N115,N123,N131,N139,N147,N155,N163,N171,N179,N187,N195,N203,N211,N219,N227,N235,N251,N259)+SUM(N267,N275,N283,N291,N299,N307,N315,N323,N331,N347,N355,N363,N371,N379,N387,N395,N403,N411)</f>
        <v>0</v>
      </c>
      <c r="O426" s="262">
        <f t="shared" si="109"/>
        <v>0</v>
      </c>
      <c r="P426" s="262">
        <f t="shared" si="109"/>
        <v>0</v>
      </c>
      <c r="Q426" s="262">
        <f t="shared" si="109"/>
        <v>0</v>
      </c>
      <c r="R426" s="262">
        <f t="shared" si="109"/>
        <v>0</v>
      </c>
      <c r="S426" s="262">
        <f t="shared" si="109"/>
        <v>0</v>
      </c>
      <c r="T426" s="262">
        <f t="shared" si="109"/>
        <v>0</v>
      </c>
      <c r="U426" s="262">
        <f t="shared" si="109"/>
        <v>0</v>
      </c>
      <c r="V426" s="262">
        <f t="shared" si="109"/>
        <v>0</v>
      </c>
      <c r="W426" s="262">
        <f t="shared" si="109"/>
        <v>0</v>
      </c>
      <c r="X426" s="262">
        <f t="shared" si="109"/>
        <v>0</v>
      </c>
      <c r="Y426" s="262">
        <f t="shared" si="109"/>
        <v>0</v>
      </c>
      <c r="Z426" s="262">
        <f t="shared" si="109"/>
        <v>0</v>
      </c>
      <c r="AA426" s="262">
        <f t="shared" si="109"/>
        <v>0</v>
      </c>
      <c r="AB426" s="262">
        <f t="shared" si="109"/>
        <v>0</v>
      </c>
      <c r="AC426" s="262">
        <f t="shared" si="109"/>
        <v>0</v>
      </c>
      <c r="AD426" s="262">
        <f t="shared" si="109"/>
        <v>0</v>
      </c>
      <c r="AE426" s="262">
        <f t="shared" si="109"/>
        <v>0</v>
      </c>
      <c r="AF426" s="262">
        <f t="shared" si="109"/>
        <v>0</v>
      </c>
      <c r="AG426" s="262">
        <f t="shared" si="109"/>
        <v>0</v>
      </c>
      <c r="AH426" s="262">
        <f t="shared" si="109"/>
        <v>0</v>
      </c>
      <c r="AI426" s="262">
        <f t="shared" si="109"/>
        <v>0</v>
      </c>
      <c r="AJ426" s="262">
        <f t="shared" si="109"/>
        <v>0</v>
      </c>
      <c r="AK426" s="262">
        <f t="shared" si="109"/>
        <v>0</v>
      </c>
      <c r="AL426" s="262">
        <f t="shared" si="109"/>
        <v>0</v>
      </c>
      <c r="AM426" s="262">
        <f t="shared" si="109"/>
        <v>0</v>
      </c>
      <c r="AN426" s="378"/>
    </row>
    <row r="427" spans="1:40" ht="12.75">
      <c r="A427" s="411"/>
      <c r="B427" s="418"/>
      <c r="C427" s="419"/>
      <c r="D427" s="420"/>
      <c r="E427" s="417"/>
      <c r="F427" s="390"/>
      <c r="G427" s="208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F427" s="222"/>
      <c r="AG427" s="222"/>
      <c r="AH427" s="222"/>
      <c r="AI427" s="222"/>
      <c r="AJ427" s="222"/>
      <c r="AK427" s="222"/>
      <c r="AL427" s="222"/>
      <c r="AM427" s="222"/>
      <c r="AN427" s="416"/>
    </row>
    <row r="428" spans="1:40" ht="29.25" customHeight="1">
      <c r="A428" s="411"/>
      <c r="B428" s="418"/>
      <c r="C428" s="419"/>
      <c r="D428" s="420"/>
      <c r="E428" s="417"/>
      <c r="F428" s="391"/>
      <c r="G428" s="208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F428" s="222"/>
      <c r="AG428" s="222"/>
      <c r="AH428" s="222"/>
      <c r="AI428" s="222"/>
      <c r="AJ428" s="222"/>
      <c r="AK428" s="222"/>
      <c r="AL428" s="222"/>
      <c r="AM428" s="222"/>
      <c r="AN428" s="416"/>
    </row>
    <row r="429" spans="1:40" ht="12.75">
      <c r="A429" s="411"/>
      <c r="B429" s="418"/>
      <c r="C429" s="419"/>
      <c r="D429" s="420"/>
      <c r="E429" s="417"/>
      <c r="F429" s="207"/>
      <c r="G429" s="208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  <c r="AN429" s="416"/>
    </row>
    <row r="430" spans="1:40" ht="13.5" hidden="1" thickBot="1">
      <c r="A430" s="411"/>
      <c r="B430" s="418"/>
      <c r="C430" s="419"/>
      <c r="D430" s="420"/>
      <c r="E430" s="417"/>
      <c r="F430" s="207"/>
      <c r="G430" s="208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  <c r="AN430" s="416"/>
    </row>
    <row r="431" spans="1:40" ht="12.75" hidden="1">
      <c r="A431" s="411"/>
      <c r="B431" s="418"/>
      <c r="C431" s="419" t="s">
        <v>237</v>
      </c>
      <c r="D431" s="420"/>
      <c r="E431" s="417"/>
      <c r="F431" s="132"/>
      <c r="G431" s="259" t="s">
        <v>107</v>
      </c>
      <c r="H431" s="142">
        <f>H419-'[4]zał. nr 3 do URM VIII'!H419</f>
        <v>0</v>
      </c>
      <c r="I431" s="142">
        <f>I419-'[4]zał. nr 3 do URM VIII'!I419</f>
        <v>0</v>
      </c>
      <c r="J431" s="142">
        <f>J419-'[4]zał. nr 3 do URM VIII'!J419</f>
        <v>0</v>
      </c>
      <c r="K431" s="142">
        <f>K419-'[4]zał. nr 3 do URM VIII'!K419</f>
        <v>0</v>
      </c>
      <c r="L431" s="142">
        <f>L419-'[4]zał. nr 3 do URM VIII'!L419</f>
        <v>0</v>
      </c>
      <c r="M431" s="142">
        <f>M419-'[4]zał. nr 3 do URM VIII'!M419</f>
        <v>0</v>
      </c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376"/>
    </row>
    <row r="432" spans="1:40" ht="12.75" hidden="1">
      <c r="A432" s="411"/>
      <c r="B432" s="418"/>
      <c r="C432" s="419"/>
      <c r="D432" s="420"/>
      <c r="E432" s="417"/>
      <c r="F432" s="281">
        <f>SUM(H437:N437)</f>
        <v>0</v>
      </c>
      <c r="G432" s="260" t="s">
        <v>108</v>
      </c>
      <c r="H432" s="142">
        <f>H420-'[4]zał. nr 3 do URM VIII'!H420</f>
        <v>0</v>
      </c>
      <c r="I432" s="142">
        <f>I420-'[4]zał. nr 3 do URM VIII'!I420</f>
        <v>-14970063</v>
      </c>
      <c r="J432" s="142">
        <f>J420-'[4]zał. nr 3 do URM VIII'!J420</f>
        <v>7050000</v>
      </c>
      <c r="K432" s="142">
        <f>K420-'[4]zał. nr 3 do URM VIII'!K420</f>
        <v>1100000</v>
      </c>
      <c r="L432" s="142">
        <f>L420-'[4]zał. nr 3 do URM VIII'!L420</f>
        <v>0</v>
      </c>
      <c r="M432" s="142">
        <f>M420-'[4]zał. nr 3 do URM VIII'!M420</f>
        <v>0</v>
      </c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377"/>
    </row>
    <row r="433" spans="1:40" ht="12.75" hidden="1">
      <c r="A433" s="411"/>
      <c r="B433" s="418"/>
      <c r="C433" s="419"/>
      <c r="D433" s="420"/>
      <c r="E433" s="417"/>
      <c r="F433" s="379"/>
      <c r="G433" s="260" t="s">
        <v>109</v>
      </c>
      <c r="H433" s="142">
        <f>H421-'[4]zał. nr 3 do URM VIII'!H421</f>
        <v>0</v>
      </c>
      <c r="I433" s="142">
        <f>I421-'[4]zał. nr 3 do URM VIII'!I421</f>
        <v>0</v>
      </c>
      <c r="J433" s="142">
        <f>J421-'[4]zał. nr 3 do URM VIII'!J421</f>
        <v>0</v>
      </c>
      <c r="K433" s="142">
        <f>K421-'[4]zał. nr 3 do URM VIII'!K421</f>
        <v>0</v>
      </c>
      <c r="L433" s="142">
        <f>L421-'[4]zał. nr 3 do URM VIII'!L421</f>
        <v>0</v>
      </c>
      <c r="M433" s="142">
        <f>M421-'[4]zał. nr 3 do URM VIII'!M421</f>
        <v>0</v>
      </c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377"/>
    </row>
    <row r="434" spans="1:40" ht="12.75" hidden="1">
      <c r="A434" s="411"/>
      <c r="B434" s="418"/>
      <c r="C434" s="419"/>
      <c r="D434" s="420"/>
      <c r="E434" s="417"/>
      <c r="F434" s="145"/>
      <c r="G434" s="260" t="s">
        <v>111</v>
      </c>
      <c r="H434" s="142">
        <f>H422-'[4]zał. nr 3 do URM VIII'!H422</f>
        <v>0</v>
      </c>
      <c r="I434" s="142">
        <f>I422-'[4]zał. nr 3 do URM VIII'!I422</f>
        <v>0</v>
      </c>
      <c r="J434" s="142">
        <f>J422-'[4]zał. nr 3 do URM VIII'!J422</f>
        <v>0</v>
      </c>
      <c r="K434" s="142">
        <f>K422-'[4]zał. nr 3 do URM VIII'!K422</f>
        <v>0</v>
      </c>
      <c r="L434" s="142">
        <f>L422-'[4]zał. nr 3 do URM VIII'!L422</f>
        <v>0</v>
      </c>
      <c r="M434" s="142">
        <f>M422-'[4]zał. nr 3 do URM VIII'!M422</f>
        <v>0</v>
      </c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377"/>
    </row>
    <row r="435" spans="1:40" ht="12.75" hidden="1">
      <c r="A435" s="411"/>
      <c r="B435" s="418"/>
      <c r="C435" s="419"/>
      <c r="D435" s="420"/>
      <c r="E435" s="417"/>
      <c r="F435" s="281">
        <f>SUM(H438:AM438)</f>
        <v>-6820063</v>
      </c>
      <c r="G435" s="260" t="s">
        <v>115</v>
      </c>
      <c r="H435" s="142">
        <f>H423-'[4]zał. nr 3 do URM VIII'!H423</f>
        <v>0</v>
      </c>
      <c r="I435" s="142">
        <f>I423-'[4]zał. nr 3 do URM VIII'!I423</f>
        <v>0</v>
      </c>
      <c r="J435" s="142">
        <f>J423-'[4]zał. nr 3 do URM VIII'!J423</f>
        <v>0</v>
      </c>
      <c r="K435" s="142">
        <f>K423-'[4]zał. nr 3 do URM VIII'!K423</f>
        <v>0</v>
      </c>
      <c r="L435" s="142">
        <f>L423-'[4]zał. nr 3 do URM VIII'!L423</f>
        <v>0</v>
      </c>
      <c r="M435" s="142">
        <f>M423-'[4]zał. nr 3 do URM VIII'!M423</f>
        <v>0</v>
      </c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377"/>
    </row>
    <row r="436" spans="1:40" ht="12.75" hidden="1">
      <c r="A436" s="411"/>
      <c r="B436" s="418"/>
      <c r="C436" s="419"/>
      <c r="D436" s="420"/>
      <c r="E436" s="417"/>
      <c r="F436" s="379"/>
      <c r="G436" s="260" t="s">
        <v>116</v>
      </c>
      <c r="H436" s="142">
        <f>H424-'[4]zał. nr 3 do URM VIII'!H424</f>
        <v>0</v>
      </c>
      <c r="I436" s="142">
        <f>I424-'[4]zał. nr 3 do URM VIII'!I424</f>
        <v>0</v>
      </c>
      <c r="J436" s="142">
        <f>J424-'[4]zał. nr 3 do URM VIII'!J424</f>
        <v>0</v>
      </c>
      <c r="K436" s="142">
        <f>K424-'[4]zał. nr 3 do URM VIII'!K424</f>
        <v>0</v>
      </c>
      <c r="L436" s="142">
        <f>L424-'[4]zał. nr 3 do URM VIII'!L424</f>
        <v>0</v>
      </c>
      <c r="M436" s="142">
        <f>M424-'[4]zał. nr 3 do URM VIII'!M424</f>
        <v>0</v>
      </c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377"/>
    </row>
    <row r="437" spans="1:40" ht="12.75" hidden="1">
      <c r="A437" s="411"/>
      <c r="B437" s="418"/>
      <c r="C437" s="419"/>
      <c r="D437" s="420"/>
      <c r="E437" s="417"/>
      <c r="F437" s="145"/>
      <c r="G437" s="260" t="s">
        <v>117</v>
      </c>
      <c r="H437" s="142">
        <f>H425-'[4]zał. nr 3 do URM VIII'!H425</f>
        <v>0</v>
      </c>
      <c r="I437" s="142">
        <f>I425-'[4]zał. nr 3 do URM VIII'!I425</f>
        <v>0</v>
      </c>
      <c r="J437" s="142">
        <f>J425-'[4]zał. nr 3 do URM VIII'!J425</f>
        <v>0</v>
      </c>
      <c r="K437" s="142">
        <f>K425-'[4]zał. nr 3 do URM VIII'!K425</f>
        <v>0</v>
      </c>
      <c r="L437" s="142">
        <f>L425-'[4]zał. nr 3 do URM VIII'!L425</f>
        <v>0</v>
      </c>
      <c r="M437" s="142">
        <f>M425-'[4]zał. nr 3 do URM VIII'!M425</f>
        <v>0</v>
      </c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377"/>
    </row>
    <row r="438" spans="1:40" ht="13.5" hidden="1" thickBot="1">
      <c r="A438" s="411"/>
      <c r="B438" s="418"/>
      <c r="C438" s="419"/>
      <c r="D438" s="420"/>
      <c r="E438" s="417"/>
      <c r="F438" s="226">
        <f>SUM(F432,F435)</f>
        <v>-6820063</v>
      </c>
      <c r="G438" s="261" t="s">
        <v>118</v>
      </c>
      <c r="H438" s="142">
        <f>H426-'[4]zał. nr 3 do URM VIII'!H426</f>
        <v>0</v>
      </c>
      <c r="I438" s="142">
        <f>I426-'[4]zał. nr 3 do URM VIII'!I426</f>
        <v>-14970063</v>
      </c>
      <c r="J438" s="142">
        <f>J426-'[4]zał. nr 3 do URM VIII'!J426</f>
        <v>7050000</v>
      </c>
      <c r="K438" s="142">
        <f>K426-'[4]zał. nr 3 do URM VIII'!K426</f>
        <v>1100000</v>
      </c>
      <c r="L438" s="142">
        <f>L426-'[4]zał. nr 3 do URM VIII'!L426</f>
        <v>0</v>
      </c>
      <c r="M438" s="142">
        <f>M426-'[4]zał. nr 3 do URM VIII'!M426</f>
        <v>0</v>
      </c>
      <c r="N438" s="262"/>
      <c r="O438" s="262"/>
      <c r="P438" s="262"/>
      <c r="Q438" s="262"/>
      <c r="R438" s="262"/>
      <c r="S438" s="262"/>
      <c r="T438" s="262"/>
      <c r="U438" s="262"/>
      <c r="V438" s="262"/>
      <c r="W438" s="262"/>
      <c r="X438" s="262"/>
      <c r="Y438" s="262"/>
      <c r="Z438" s="262"/>
      <c r="AA438" s="262"/>
      <c r="AB438" s="262"/>
      <c r="AC438" s="262"/>
      <c r="AD438" s="262"/>
      <c r="AE438" s="262"/>
      <c r="AF438" s="262"/>
      <c r="AG438" s="262"/>
      <c r="AH438" s="262"/>
      <c r="AI438" s="262"/>
      <c r="AJ438" s="262"/>
      <c r="AK438" s="262"/>
      <c r="AL438" s="262"/>
      <c r="AM438" s="262"/>
      <c r="AN438" s="378"/>
    </row>
    <row r="439" spans="1:40" ht="12.75" hidden="1">
      <c r="A439" s="411"/>
      <c r="B439" s="418"/>
      <c r="C439" s="419"/>
      <c r="D439" s="420"/>
      <c r="E439" s="417"/>
      <c r="F439" s="207"/>
      <c r="G439" s="208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/>
      <c r="AG439" s="222"/>
      <c r="AH439" s="222"/>
      <c r="AI439" s="222"/>
      <c r="AJ439" s="222"/>
      <c r="AK439" s="222"/>
      <c r="AL439" s="222"/>
      <c r="AM439" s="222"/>
      <c r="AN439" s="416"/>
    </row>
    <row r="440" spans="1:40" ht="12.75">
      <c r="A440" s="411"/>
      <c r="B440" s="418"/>
      <c r="C440" s="419"/>
      <c r="D440" s="420"/>
      <c r="E440" s="417"/>
      <c r="F440" s="390"/>
      <c r="G440" s="208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F440" s="222"/>
      <c r="AG440" s="222"/>
      <c r="AH440" s="222"/>
      <c r="AI440" s="222"/>
      <c r="AJ440" s="222"/>
      <c r="AK440" s="222"/>
      <c r="AL440" s="222"/>
      <c r="AM440" s="222"/>
      <c r="AN440" s="416"/>
    </row>
    <row r="441" spans="1:40" ht="12.75">
      <c r="A441" s="411"/>
      <c r="B441" s="418"/>
      <c r="C441" s="419"/>
      <c r="D441" s="420"/>
      <c r="E441" s="417"/>
      <c r="F441" s="391"/>
      <c r="G441" s="208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2"/>
      <c r="AC441" s="222"/>
      <c r="AD441" s="222"/>
      <c r="AE441" s="222"/>
      <c r="AF441" s="222"/>
      <c r="AG441" s="222"/>
      <c r="AH441" s="222"/>
      <c r="AI441" s="222"/>
      <c r="AJ441" s="222"/>
      <c r="AK441" s="222"/>
      <c r="AL441" s="222"/>
      <c r="AM441" s="222"/>
      <c r="AN441" s="416"/>
    </row>
    <row r="442" spans="1:40" ht="12.75">
      <c r="A442" s="411"/>
      <c r="B442" s="418"/>
      <c r="C442" s="419"/>
      <c r="D442" s="420"/>
      <c r="E442" s="417"/>
      <c r="F442" s="207"/>
      <c r="G442" s="208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2"/>
      <c r="AN442" s="416"/>
    </row>
    <row r="443" spans="1:40" ht="12.75">
      <c r="A443" s="411"/>
      <c r="B443" s="418"/>
      <c r="C443" s="419"/>
      <c r="D443" s="420"/>
      <c r="E443" s="417"/>
      <c r="F443" s="390"/>
      <c r="G443" s="208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2"/>
      <c r="AJ443" s="222"/>
      <c r="AK443" s="222"/>
      <c r="AL443" s="222"/>
      <c r="AM443" s="222"/>
      <c r="AN443" s="416"/>
    </row>
    <row r="444" spans="1:40" ht="12.75">
      <c r="A444" s="411"/>
      <c r="B444" s="418"/>
      <c r="C444" s="419"/>
      <c r="D444" s="420"/>
      <c r="E444" s="417"/>
      <c r="F444" s="391"/>
      <c r="G444" s="208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2"/>
      <c r="AN444" s="416"/>
    </row>
    <row r="445" spans="1:40" ht="12.75">
      <c r="A445" s="411"/>
      <c r="B445" s="418"/>
      <c r="C445" s="419"/>
      <c r="D445" s="420"/>
      <c r="E445" s="417"/>
      <c r="F445" s="207"/>
      <c r="G445" s="208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  <c r="AF445" s="209"/>
      <c r="AG445" s="209"/>
      <c r="AH445" s="209"/>
      <c r="AI445" s="209"/>
      <c r="AJ445" s="209"/>
      <c r="AK445" s="209"/>
      <c r="AL445" s="209"/>
      <c r="AM445" s="209"/>
      <c r="AN445" s="416"/>
    </row>
    <row r="446" spans="1:40" ht="12.75">
      <c r="A446" s="411"/>
      <c r="B446" s="418"/>
      <c r="C446" s="419"/>
      <c r="D446" s="420"/>
      <c r="E446" s="417"/>
      <c r="F446" s="207"/>
      <c r="G446" s="208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  <c r="AN446" s="416"/>
    </row>
    <row r="447" spans="1:40" ht="12.75">
      <c r="A447" s="411"/>
      <c r="B447" s="418"/>
      <c r="C447" s="419"/>
      <c r="D447" s="420"/>
      <c r="E447" s="417"/>
      <c r="F447" s="207"/>
      <c r="G447" s="208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2"/>
      <c r="AN447" s="416"/>
    </row>
    <row r="448" spans="1:40" ht="12.75">
      <c r="A448" s="411"/>
      <c r="B448" s="418"/>
      <c r="C448" s="419"/>
      <c r="D448" s="420"/>
      <c r="E448" s="417"/>
      <c r="F448" s="390"/>
      <c r="G448" s="208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2"/>
      <c r="AJ448" s="222"/>
      <c r="AK448" s="222"/>
      <c r="AL448" s="222"/>
      <c r="AM448" s="222"/>
      <c r="AN448" s="421"/>
    </row>
    <row r="449" spans="1:40" ht="12.75">
      <c r="A449" s="411"/>
      <c r="B449" s="418"/>
      <c r="C449" s="419"/>
      <c r="D449" s="420"/>
      <c r="E449" s="417"/>
      <c r="F449" s="391"/>
      <c r="G449" s="208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2"/>
      <c r="AJ449" s="222"/>
      <c r="AK449" s="222"/>
      <c r="AL449" s="222"/>
      <c r="AM449" s="222"/>
      <c r="AN449" s="421"/>
    </row>
    <row r="450" spans="1:40" ht="12.75">
      <c r="A450" s="411"/>
      <c r="B450" s="418"/>
      <c r="C450" s="419"/>
      <c r="D450" s="420"/>
      <c r="E450" s="417"/>
      <c r="F450" s="207"/>
      <c r="G450" s="208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2"/>
      <c r="AN450" s="421"/>
    </row>
    <row r="451" spans="1:40" ht="12.75">
      <c r="A451" s="411"/>
      <c r="B451" s="418"/>
      <c r="C451" s="419"/>
      <c r="D451" s="420"/>
      <c r="E451" s="417"/>
      <c r="F451" s="390"/>
      <c r="G451" s="208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2"/>
      <c r="AN451" s="421"/>
    </row>
    <row r="452" spans="1:40" ht="12.75">
      <c r="A452" s="411"/>
      <c r="B452" s="418"/>
      <c r="C452" s="419"/>
      <c r="D452" s="420"/>
      <c r="E452" s="417"/>
      <c r="F452" s="391"/>
      <c r="G452" s="208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2"/>
      <c r="AN452" s="421"/>
    </row>
    <row r="453" spans="1:40" ht="12.75">
      <c r="A453" s="411"/>
      <c r="B453" s="418"/>
      <c r="C453" s="419"/>
      <c r="D453" s="420"/>
      <c r="E453" s="417"/>
      <c r="F453" s="207"/>
      <c r="G453" s="208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  <c r="AN453" s="421"/>
    </row>
    <row r="454" spans="1:40" ht="12.75">
      <c r="A454" s="411"/>
      <c r="B454" s="418"/>
      <c r="C454" s="419"/>
      <c r="D454" s="420"/>
      <c r="E454" s="417"/>
      <c r="F454" s="207"/>
      <c r="G454" s="208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421"/>
    </row>
    <row r="455" spans="1:40" ht="12.75">
      <c r="A455" s="411"/>
      <c r="B455" s="418"/>
      <c r="C455" s="419"/>
      <c r="D455" s="420"/>
      <c r="E455" s="417"/>
      <c r="F455" s="207"/>
      <c r="G455" s="208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2"/>
      <c r="AN455" s="416"/>
    </row>
    <row r="456" spans="1:40" ht="12.75">
      <c r="A456" s="411"/>
      <c r="B456" s="418"/>
      <c r="C456" s="419"/>
      <c r="D456" s="420"/>
      <c r="E456" s="417"/>
      <c r="F456" s="390"/>
      <c r="G456" s="208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2"/>
      <c r="AN456" s="421"/>
    </row>
    <row r="457" spans="1:40" ht="12.75">
      <c r="A457" s="411"/>
      <c r="B457" s="418"/>
      <c r="C457" s="419"/>
      <c r="D457" s="420"/>
      <c r="E457" s="417"/>
      <c r="F457" s="391"/>
      <c r="G457" s="208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2"/>
      <c r="AN457" s="421"/>
    </row>
    <row r="458" spans="1:40" ht="12.75">
      <c r="A458" s="411"/>
      <c r="B458" s="418"/>
      <c r="C458" s="419"/>
      <c r="D458" s="420"/>
      <c r="E458" s="417"/>
      <c r="F458" s="207"/>
      <c r="G458" s="208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2"/>
      <c r="AN458" s="421"/>
    </row>
    <row r="459" spans="1:40" ht="12.75">
      <c r="A459" s="411"/>
      <c r="B459" s="418"/>
      <c r="C459" s="419"/>
      <c r="D459" s="420"/>
      <c r="E459" s="417"/>
      <c r="F459" s="390"/>
      <c r="G459" s="208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2"/>
      <c r="AN459" s="421"/>
    </row>
    <row r="460" spans="1:40" ht="12.75">
      <c r="A460" s="411"/>
      <c r="B460" s="418"/>
      <c r="C460" s="419"/>
      <c r="D460" s="420"/>
      <c r="E460" s="417"/>
      <c r="F460" s="391"/>
      <c r="G460" s="208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2"/>
      <c r="AN460" s="421"/>
    </row>
    <row r="461" spans="1:40" ht="12.75">
      <c r="A461" s="411"/>
      <c r="B461" s="418"/>
      <c r="C461" s="419"/>
      <c r="D461" s="420"/>
      <c r="E461" s="417"/>
      <c r="F461" s="207"/>
      <c r="G461" s="208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421"/>
    </row>
    <row r="462" spans="1:40" ht="12.75">
      <c r="A462" s="411"/>
      <c r="B462" s="418"/>
      <c r="C462" s="419"/>
      <c r="D462" s="420"/>
      <c r="E462" s="417"/>
      <c r="F462" s="207"/>
      <c r="G462" s="208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421"/>
    </row>
    <row r="463" spans="1:40" ht="12.75">
      <c r="A463" s="411"/>
      <c r="B463" s="418"/>
      <c r="C463" s="419"/>
      <c r="D463" s="420"/>
      <c r="E463" s="417"/>
      <c r="F463" s="207"/>
      <c r="G463" s="208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2"/>
      <c r="AJ463" s="222"/>
      <c r="AK463" s="222"/>
      <c r="AL463" s="222"/>
      <c r="AM463" s="222"/>
      <c r="AN463" s="416"/>
    </row>
    <row r="464" spans="1:40" ht="12.75">
      <c r="A464" s="411"/>
      <c r="B464" s="418"/>
      <c r="C464" s="419"/>
      <c r="D464" s="420"/>
      <c r="E464" s="417"/>
      <c r="F464" s="390"/>
      <c r="G464" s="208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2"/>
      <c r="AN464" s="421"/>
    </row>
    <row r="465" spans="1:40" ht="12.75">
      <c r="A465" s="411"/>
      <c r="B465" s="418"/>
      <c r="C465" s="419"/>
      <c r="D465" s="420"/>
      <c r="E465" s="417"/>
      <c r="F465" s="391"/>
      <c r="G465" s="208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421"/>
    </row>
    <row r="466" spans="1:40" ht="12.75">
      <c r="A466" s="411"/>
      <c r="B466" s="418"/>
      <c r="C466" s="419"/>
      <c r="D466" s="420"/>
      <c r="E466" s="417"/>
      <c r="F466" s="207"/>
      <c r="G466" s="208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2"/>
      <c r="AN466" s="421"/>
    </row>
    <row r="467" spans="1:40" ht="12.75">
      <c r="A467" s="411"/>
      <c r="B467" s="418"/>
      <c r="C467" s="419"/>
      <c r="D467" s="420"/>
      <c r="E467" s="417"/>
      <c r="F467" s="390"/>
      <c r="G467" s="208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2"/>
      <c r="AN467" s="421"/>
    </row>
    <row r="468" spans="1:40" ht="12.75">
      <c r="A468" s="411"/>
      <c r="B468" s="418"/>
      <c r="C468" s="419"/>
      <c r="D468" s="420"/>
      <c r="E468" s="417"/>
      <c r="F468" s="391"/>
      <c r="G468" s="208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2"/>
      <c r="AN468" s="421"/>
    </row>
    <row r="469" spans="1:40" ht="12.75">
      <c r="A469" s="411"/>
      <c r="B469" s="418"/>
      <c r="C469" s="419"/>
      <c r="D469" s="420"/>
      <c r="E469" s="417"/>
      <c r="F469" s="207"/>
      <c r="G469" s="208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  <c r="AN469" s="421"/>
    </row>
    <row r="470" spans="1:40" ht="12.75">
      <c r="A470" s="411"/>
      <c r="B470" s="418"/>
      <c r="C470" s="419"/>
      <c r="D470" s="420"/>
      <c r="E470" s="417"/>
      <c r="F470" s="207"/>
      <c r="G470" s="208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421"/>
    </row>
    <row r="471" spans="1:40" ht="12.75">
      <c r="A471" s="411"/>
      <c r="B471" s="418"/>
      <c r="C471" s="419"/>
      <c r="D471" s="420"/>
      <c r="E471" s="417"/>
      <c r="F471" s="207"/>
      <c r="G471" s="208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2"/>
      <c r="AN471" s="416"/>
    </row>
    <row r="472" spans="1:40" ht="12.75">
      <c r="A472" s="411"/>
      <c r="B472" s="418"/>
      <c r="C472" s="419"/>
      <c r="D472" s="420"/>
      <c r="E472" s="417"/>
      <c r="F472" s="390"/>
      <c r="G472" s="208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2"/>
      <c r="AN472" s="421"/>
    </row>
    <row r="473" spans="1:40" ht="12.75">
      <c r="A473" s="411"/>
      <c r="B473" s="418"/>
      <c r="C473" s="419"/>
      <c r="D473" s="420"/>
      <c r="E473" s="417"/>
      <c r="F473" s="391"/>
      <c r="G473" s="208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2"/>
      <c r="AN473" s="421"/>
    </row>
    <row r="474" spans="1:40" ht="12.75">
      <c r="A474" s="411"/>
      <c r="B474" s="418"/>
      <c r="C474" s="419"/>
      <c r="D474" s="420"/>
      <c r="E474" s="417"/>
      <c r="F474" s="207"/>
      <c r="G474" s="208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2"/>
      <c r="AN474" s="421"/>
    </row>
    <row r="475" spans="1:40" ht="12.75">
      <c r="A475" s="411"/>
      <c r="B475" s="418"/>
      <c r="C475" s="419"/>
      <c r="D475" s="420"/>
      <c r="E475" s="417"/>
      <c r="F475" s="390"/>
      <c r="G475" s="208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2"/>
      <c r="AN475" s="421"/>
    </row>
    <row r="476" spans="1:40" ht="12.75">
      <c r="A476" s="411"/>
      <c r="B476" s="418"/>
      <c r="C476" s="419"/>
      <c r="D476" s="420"/>
      <c r="E476" s="417"/>
      <c r="F476" s="391"/>
      <c r="G476" s="208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  <c r="AA476" s="222"/>
      <c r="AB476" s="222"/>
      <c r="AC476" s="222"/>
      <c r="AD476" s="222"/>
      <c r="AE476" s="222"/>
      <c r="AF476" s="222"/>
      <c r="AG476" s="222"/>
      <c r="AH476" s="222"/>
      <c r="AI476" s="222"/>
      <c r="AJ476" s="222"/>
      <c r="AK476" s="222"/>
      <c r="AL476" s="222"/>
      <c r="AM476" s="222"/>
      <c r="AN476" s="421"/>
    </row>
    <row r="477" spans="1:40" ht="12.75">
      <c r="A477" s="411"/>
      <c r="B477" s="418"/>
      <c r="C477" s="419"/>
      <c r="D477" s="420"/>
      <c r="E477" s="417"/>
      <c r="F477" s="207"/>
      <c r="G477" s="208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421"/>
    </row>
    <row r="478" spans="1:40" ht="12.75">
      <c r="A478" s="411"/>
      <c r="B478" s="418"/>
      <c r="C478" s="419"/>
      <c r="D478" s="420"/>
      <c r="E478" s="417"/>
      <c r="F478" s="207"/>
      <c r="G478" s="208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421"/>
    </row>
    <row r="479" spans="1:40" ht="12.75">
      <c r="A479" s="411"/>
      <c r="B479" s="418"/>
      <c r="C479" s="419"/>
      <c r="D479" s="420"/>
      <c r="E479" s="417"/>
      <c r="F479" s="207"/>
      <c r="G479" s="208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  <c r="AE479" s="222"/>
      <c r="AF479" s="222"/>
      <c r="AG479" s="222"/>
      <c r="AH479" s="222"/>
      <c r="AI479" s="222"/>
      <c r="AJ479" s="222"/>
      <c r="AK479" s="222"/>
      <c r="AL479" s="222"/>
      <c r="AM479" s="222"/>
      <c r="AN479" s="416"/>
    </row>
    <row r="480" spans="1:40" ht="12.75">
      <c r="A480" s="411"/>
      <c r="B480" s="418"/>
      <c r="C480" s="419"/>
      <c r="D480" s="420"/>
      <c r="E480" s="417"/>
      <c r="F480" s="390"/>
      <c r="G480" s="208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2"/>
      <c r="AN480" s="421"/>
    </row>
    <row r="481" spans="1:40" ht="12.75">
      <c r="A481" s="411"/>
      <c r="B481" s="418"/>
      <c r="C481" s="419"/>
      <c r="D481" s="420"/>
      <c r="E481" s="417"/>
      <c r="F481" s="391"/>
      <c r="G481" s="208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2"/>
      <c r="AN481" s="421"/>
    </row>
    <row r="482" spans="1:40" ht="12.75">
      <c r="A482" s="411"/>
      <c r="B482" s="418"/>
      <c r="C482" s="419"/>
      <c r="D482" s="420"/>
      <c r="E482" s="417"/>
      <c r="F482" s="207"/>
      <c r="G482" s="208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22"/>
      <c r="AN482" s="421"/>
    </row>
    <row r="483" spans="1:40" ht="12.75">
      <c r="A483" s="411"/>
      <c r="B483" s="418"/>
      <c r="C483" s="419"/>
      <c r="D483" s="420"/>
      <c r="E483" s="417"/>
      <c r="F483" s="390"/>
      <c r="G483" s="208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22"/>
      <c r="AN483" s="421"/>
    </row>
    <row r="484" spans="1:40" ht="12.75">
      <c r="A484" s="411"/>
      <c r="B484" s="418"/>
      <c r="C484" s="419"/>
      <c r="D484" s="420"/>
      <c r="E484" s="417"/>
      <c r="F484" s="391"/>
      <c r="G484" s="208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22"/>
      <c r="AN484" s="421"/>
    </row>
    <row r="485" spans="1:40" ht="12.75">
      <c r="A485" s="411"/>
      <c r="B485" s="418"/>
      <c r="C485" s="419"/>
      <c r="D485" s="420"/>
      <c r="E485" s="417"/>
      <c r="F485" s="207"/>
      <c r="G485" s="208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421"/>
    </row>
    <row r="486" spans="1:40" ht="12.75">
      <c r="A486" s="411"/>
      <c r="B486" s="418"/>
      <c r="C486" s="419"/>
      <c r="D486" s="420"/>
      <c r="E486" s="417"/>
      <c r="F486" s="207"/>
      <c r="G486" s="208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421"/>
    </row>
    <row r="487" spans="1:40" ht="12.75">
      <c r="A487" s="411"/>
      <c r="B487" s="418"/>
      <c r="C487" s="419"/>
      <c r="D487" s="420"/>
      <c r="E487" s="417"/>
      <c r="F487" s="207"/>
      <c r="G487" s="208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F487" s="222"/>
      <c r="AG487" s="222"/>
      <c r="AH487" s="222"/>
      <c r="AI487" s="222"/>
      <c r="AJ487" s="222"/>
      <c r="AK487" s="222"/>
      <c r="AL487" s="222"/>
      <c r="AM487" s="222"/>
      <c r="AN487" s="416"/>
    </row>
    <row r="488" spans="1:40" ht="12.75">
      <c r="A488" s="411"/>
      <c r="B488" s="418"/>
      <c r="C488" s="419"/>
      <c r="D488" s="420"/>
      <c r="E488" s="417"/>
      <c r="F488" s="390"/>
      <c r="G488" s="208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2"/>
      <c r="AN488" s="421"/>
    </row>
    <row r="489" spans="1:40" ht="12.75">
      <c r="A489" s="411"/>
      <c r="B489" s="418"/>
      <c r="C489" s="419"/>
      <c r="D489" s="420"/>
      <c r="E489" s="417"/>
      <c r="F489" s="391"/>
      <c r="G489" s="208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2"/>
      <c r="AN489" s="421"/>
    </row>
    <row r="490" spans="1:40" ht="12.75">
      <c r="A490" s="411"/>
      <c r="B490" s="418"/>
      <c r="C490" s="419"/>
      <c r="D490" s="420"/>
      <c r="E490" s="417"/>
      <c r="F490" s="207"/>
      <c r="G490" s="208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  <c r="AI490" s="222"/>
      <c r="AJ490" s="222"/>
      <c r="AK490" s="222"/>
      <c r="AL490" s="222"/>
      <c r="AM490" s="222"/>
      <c r="AN490" s="421"/>
    </row>
    <row r="491" spans="1:40" ht="12.75">
      <c r="A491" s="411"/>
      <c r="B491" s="418"/>
      <c r="C491" s="419"/>
      <c r="D491" s="420"/>
      <c r="E491" s="417"/>
      <c r="F491" s="390"/>
      <c r="G491" s="208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  <c r="AI491" s="222"/>
      <c r="AJ491" s="222"/>
      <c r="AK491" s="222"/>
      <c r="AL491" s="222"/>
      <c r="AM491" s="222"/>
      <c r="AN491" s="421"/>
    </row>
    <row r="492" spans="1:40" ht="12.75">
      <c r="A492" s="411"/>
      <c r="B492" s="418"/>
      <c r="C492" s="419"/>
      <c r="D492" s="420"/>
      <c r="E492" s="417"/>
      <c r="F492" s="391"/>
      <c r="G492" s="208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2"/>
      <c r="AN492" s="421"/>
    </row>
    <row r="493" spans="1:40" ht="12.75">
      <c r="A493" s="411"/>
      <c r="B493" s="418"/>
      <c r="C493" s="419"/>
      <c r="D493" s="420"/>
      <c r="E493" s="417"/>
      <c r="F493" s="207"/>
      <c r="G493" s="208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421"/>
    </row>
    <row r="494" spans="1:40" ht="12.75">
      <c r="A494" s="411"/>
      <c r="B494" s="418"/>
      <c r="C494" s="419"/>
      <c r="D494" s="420"/>
      <c r="E494" s="417"/>
      <c r="F494" s="207"/>
      <c r="G494" s="208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421"/>
    </row>
    <row r="495" spans="1:40" ht="12.75">
      <c r="A495" s="411"/>
      <c r="B495" s="418"/>
      <c r="C495" s="419"/>
      <c r="D495" s="420"/>
      <c r="E495" s="417"/>
      <c r="F495" s="207"/>
      <c r="G495" s="208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2"/>
      <c r="AN495" s="416"/>
    </row>
    <row r="496" spans="1:40" ht="12.75">
      <c r="A496" s="411"/>
      <c r="B496" s="418"/>
      <c r="C496" s="419"/>
      <c r="D496" s="420"/>
      <c r="E496" s="417"/>
      <c r="F496" s="390"/>
      <c r="G496" s="208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  <c r="AI496" s="222"/>
      <c r="AJ496" s="222"/>
      <c r="AK496" s="222"/>
      <c r="AL496" s="222"/>
      <c r="AM496" s="222"/>
      <c r="AN496" s="421"/>
    </row>
    <row r="497" spans="1:40" ht="12.75">
      <c r="A497" s="411"/>
      <c r="B497" s="418"/>
      <c r="C497" s="419"/>
      <c r="D497" s="420"/>
      <c r="E497" s="417"/>
      <c r="F497" s="391"/>
      <c r="G497" s="208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222"/>
      <c r="AJ497" s="222"/>
      <c r="AK497" s="222"/>
      <c r="AL497" s="222"/>
      <c r="AM497" s="222"/>
      <c r="AN497" s="421"/>
    </row>
    <row r="498" spans="1:40" ht="12.75">
      <c r="A498" s="411"/>
      <c r="B498" s="418"/>
      <c r="C498" s="419"/>
      <c r="D498" s="420"/>
      <c r="E498" s="417"/>
      <c r="F498" s="207"/>
      <c r="G498" s="208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2"/>
      <c r="AJ498" s="222"/>
      <c r="AK498" s="222"/>
      <c r="AL498" s="222"/>
      <c r="AM498" s="222"/>
      <c r="AN498" s="421"/>
    </row>
    <row r="499" spans="1:40" ht="12.75">
      <c r="A499" s="411"/>
      <c r="B499" s="418"/>
      <c r="C499" s="419"/>
      <c r="D499" s="420"/>
      <c r="E499" s="417"/>
      <c r="F499" s="390"/>
      <c r="G499" s="208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2"/>
      <c r="AJ499" s="222"/>
      <c r="AK499" s="222"/>
      <c r="AL499" s="222"/>
      <c r="AM499" s="222"/>
      <c r="AN499" s="421"/>
    </row>
    <row r="500" spans="1:40" ht="12.75">
      <c r="A500" s="411"/>
      <c r="B500" s="418"/>
      <c r="C500" s="419"/>
      <c r="D500" s="420"/>
      <c r="E500" s="417"/>
      <c r="F500" s="391"/>
      <c r="G500" s="208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  <c r="AI500" s="222"/>
      <c r="AJ500" s="222"/>
      <c r="AK500" s="222"/>
      <c r="AL500" s="222"/>
      <c r="AM500" s="222"/>
      <c r="AN500" s="421"/>
    </row>
    <row r="501" spans="1:40" ht="12.75">
      <c r="A501" s="411"/>
      <c r="B501" s="418"/>
      <c r="C501" s="419"/>
      <c r="D501" s="420"/>
      <c r="E501" s="417"/>
      <c r="F501" s="207"/>
      <c r="G501" s="208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421"/>
    </row>
    <row r="502" spans="1:40" ht="12.75">
      <c r="A502" s="411"/>
      <c r="B502" s="418"/>
      <c r="C502" s="419"/>
      <c r="D502" s="420"/>
      <c r="E502" s="417"/>
      <c r="F502" s="207"/>
      <c r="G502" s="208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421"/>
    </row>
    <row r="503" spans="1:40" ht="12.75">
      <c r="A503" s="411"/>
      <c r="B503" s="418"/>
      <c r="C503" s="419"/>
      <c r="D503" s="420"/>
      <c r="E503" s="417"/>
      <c r="F503" s="207"/>
      <c r="G503" s="208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2"/>
      <c r="AN503" s="416"/>
    </row>
    <row r="504" spans="1:40" ht="12.75">
      <c r="A504" s="411"/>
      <c r="B504" s="418"/>
      <c r="C504" s="419"/>
      <c r="D504" s="420"/>
      <c r="E504" s="417"/>
      <c r="F504" s="390"/>
      <c r="G504" s="208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2"/>
      <c r="AJ504" s="222"/>
      <c r="AK504" s="222"/>
      <c r="AL504" s="222"/>
      <c r="AM504" s="222"/>
      <c r="AN504" s="421"/>
    </row>
    <row r="505" spans="1:40" ht="12.75">
      <c r="A505" s="411"/>
      <c r="B505" s="418"/>
      <c r="C505" s="419"/>
      <c r="D505" s="420"/>
      <c r="E505" s="417"/>
      <c r="F505" s="391"/>
      <c r="G505" s="208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  <c r="AI505" s="222"/>
      <c r="AJ505" s="222"/>
      <c r="AK505" s="222"/>
      <c r="AL505" s="222"/>
      <c r="AM505" s="222"/>
      <c r="AN505" s="421"/>
    </row>
    <row r="506" spans="1:40" ht="12.75">
      <c r="A506" s="411"/>
      <c r="B506" s="418"/>
      <c r="C506" s="419"/>
      <c r="D506" s="420"/>
      <c r="E506" s="417"/>
      <c r="F506" s="207"/>
      <c r="G506" s="208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2"/>
      <c r="AN506" s="421"/>
    </row>
    <row r="507" spans="1:40" ht="12.75">
      <c r="A507" s="411"/>
      <c r="B507" s="418"/>
      <c r="C507" s="419"/>
      <c r="D507" s="420"/>
      <c r="E507" s="417"/>
      <c r="F507" s="390"/>
      <c r="G507" s="208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2"/>
      <c r="AN507" s="421"/>
    </row>
    <row r="508" spans="1:40" ht="12.75">
      <c r="A508" s="411"/>
      <c r="B508" s="418"/>
      <c r="C508" s="419"/>
      <c r="D508" s="420"/>
      <c r="E508" s="417"/>
      <c r="F508" s="391"/>
      <c r="G508" s="208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2"/>
      <c r="AN508" s="421"/>
    </row>
    <row r="509" spans="1:40" ht="12.75">
      <c r="A509" s="411"/>
      <c r="B509" s="418"/>
      <c r="C509" s="419"/>
      <c r="D509" s="420"/>
      <c r="E509" s="417"/>
      <c r="F509" s="207"/>
      <c r="G509" s="208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421"/>
    </row>
    <row r="510" spans="1:40" ht="12.75">
      <c r="A510" s="411"/>
      <c r="B510" s="418"/>
      <c r="C510" s="419"/>
      <c r="D510" s="420"/>
      <c r="E510" s="417"/>
      <c r="F510" s="207"/>
      <c r="G510" s="208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421"/>
    </row>
    <row r="511" spans="1:40" ht="12.75">
      <c r="A511" s="411"/>
      <c r="B511" s="418"/>
      <c r="C511" s="419"/>
      <c r="D511" s="420"/>
      <c r="E511" s="417"/>
      <c r="F511" s="207"/>
      <c r="G511" s="208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2"/>
      <c r="AN511" s="416"/>
    </row>
    <row r="512" spans="1:40" ht="12.75">
      <c r="A512" s="411"/>
      <c r="B512" s="418"/>
      <c r="C512" s="419"/>
      <c r="D512" s="420"/>
      <c r="E512" s="417"/>
      <c r="F512" s="390"/>
      <c r="G512" s="208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2"/>
      <c r="AN512" s="421"/>
    </row>
    <row r="513" spans="1:40" ht="12.75">
      <c r="A513" s="411"/>
      <c r="B513" s="418"/>
      <c r="C513" s="419"/>
      <c r="D513" s="420"/>
      <c r="E513" s="417"/>
      <c r="F513" s="391"/>
      <c r="G513" s="208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2"/>
      <c r="AN513" s="421"/>
    </row>
    <row r="514" spans="1:40" ht="12.75">
      <c r="A514" s="411"/>
      <c r="B514" s="418"/>
      <c r="C514" s="419"/>
      <c r="D514" s="420"/>
      <c r="E514" s="417"/>
      <c r="F514" s="207"/>
      <c r="G514" s="208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2"/>
      <c r="AN514" s="421"/>
    </row>
    <row r="515" spans="1:40" ht="12.75">
      <c r="A515" s="411"/>
      <c r="B515" s="418"/>
      <c r="C515" s="419"/>
      <c r="D515" s="420"/>
      <c r="E515" s="417"/>
      <c r="F515" s="390"/>
      <c r="G515" s="208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2"/>
      <c r="AN515" s="421"/>
    </row>
    <row r="516" spans="1:40" ht="12.75">
      <c r="A516" s="411"/>
      <c r="B516" s="418"/>
      <c r="C516" s="419"/>
      <c r="D516" s="420"/>
      <c r="E516" s="417"/>
      <c r="F516" s="391"/>
      <c r="G516" s="208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2"/>
      <c r="AN516" s="421"/>
    </row>
    <row r="517" spans="1:40" ht="12.75">
      <c r="A517" s="411"/>
      <c r="B517" s="418"/>
      <c r="C517" s="419"/>
      <c r="D517" s="420"/>
      <c r="E517" s="417"/>
      <c r="F517" s="207"/>
      <c r="G517" s="208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421"/>
    </row>
    <row r="518" spans="1:40" ht="12.75">
      <c r="A518" s="411"/>
      <c r="B518" s="418"/>
      <c r="C518" s="419"/>
      <c r="D518" s="420"/>
      <c r="E518" s="417"/>
      <c r="F518" s="207"/>
      <c r="G518" s="208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421"/>
    </row>
    <row r="519" spans="1:40" ht="12.75">
      <c r="A519" s="411"/>
      <c r="B519" s="418"/>
      <c r="C519" s="419"/>
      <c r="D519" s="420"/>
      <c r="E519" s="417"/>
      <c r="F519" s="207"/>
      <c r="G519" s="208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2"/>
      <c r="AJ519" s="222"/>
      <c r="AK519" s="222"/>
      <c r="AL519" s="222"/>
      <c r="AM519" s="222"/>
      <c r="AN519" s="416"/>
    </row>
    <row r="520" spans="1:40" ht="12.75">
      <c r="A520" s="411"/>
      <c r="B520" s="418"/>
      <c r="C520" s="419"/>
      <c r="D520" s="420"/>
      <c r="E520" s="417"/>
      <c r="F520" s="390"/>
      <c r="G520" s="208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2"/>
      <c r="AN520" s="421"/>
    </row>
    <row r="521" spans="1:40" ht="12.75">
      <c r="A521" s="411"/>
      <c r="B521" s="418"/>
      <c r="C521" s="419"/>
      <c r="D521" s="420"/>
      <c r="E521" s="417"/>
      <c r="F521" s="391"/>
      <c r="G521" s="208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2"/>
      <c r="AN521" s="421"/>
    </row>
    <row r="522" spans="1:40" ht="12.75">
      <c r="A522" s="411"/>
      <c r="B522" s="418"/>
      <c r="C522" s="419"/>
      <c r="D522" s="420"/>
      <c r="E522" s="417"/>
      <c r="F522" s="207"/>
      <c r="G522" s="208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2"/>
      <c r="AN522" s="421"/>
    </row>
    <row r="523" spans="1:40" ht="12.75">
      <c r="A523" s="411"/>
      <c r="B523" s="418"/>
      <c r="C523" s="419"/>
      <c r="D523" s="420"/>
      <c r="E523" s="417"/>
      <c r="F523" s="390"/>
      <c r="G523" s="208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2"/>
      <c r="AN523" s="421"/>
    </row>
    <row r="524" spans="1:40" ht="12.75">
      <c r="A524" s="411"/>
      <c r="B524" s="418"/>
      <c r="C524" s="419"/>
      <c r="D524" s="420"/>
      <c r="E524" s="417"/>
      <c r="F524" s="391"/>
      <c r="G524" s="208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2"/>
      <c r="AN524" s="421"/>
    </row>
    <row r="525" spans="1:40" ht="12.75">
      <c r="A525" s="411"/>
      <c r="B525" s="418"/>
      <c r="C525" s="419"/>
      <c r="D525" s="420"/>
      <c r="E525" s="417"/>
      <c r="F525" s="207"/>
      <c r="G525" s="208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421"/>
    </row>
    <row r="526" spans="1:40" ht="12.75">
      <c r="A526" s="411"/>
      <c r="B526" s="418"/>
      <c r="C526" s="419"/>
      <c r="D526" s="420"/>
      <c r="E526" s="417"/>
      <c r="F526" s="207"/>
      <c r="G526" s="208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421"/>
    </row>
  </sheetData>
  <sheetProtection/>
  <mergeCells count="590">
    <mergeCell ref="E356:E359"/>
    <mergeCell ref="AN356:AN363"/>
    <mergeCell ref="F357:F358"/>
    <mergeCell ref="E360:E363"/>
    <mergeCell ref="F360:F361"/>
    <mergeCell ref="A356:A363"/>
    <mergeCell ref="B356:B363"/>
    <mergeCell ref="C356:C363"/>
    <mergeCell ref="D356:D363"/>
    <mergeCell ref="E60:E63"/>
    <mergeCell ref="AN60:AN67"/>
    <mergeCell ref="F61:F62"/>
    <mergeCell ref="E64:E67"/>
    <mergeCell ref="F64:F65"/>
    <mergeCell ref="A60:A67"/>
    <mergeCell ref="B60:B67"/>
    <mergeCell ref="C60:C67"/>
    <mergeCell ref="D60:D67"/>
    <mergeCell ref="A324:A331"/>
    <mergeCell ref="E519:E522"/>
    <mergeCell ref="AN519:AN526"/>
    <mergeCell ref="F520:F521"/>
    <mergeCell ref="E523:E526"/>
    <mergeCell ref="F523:F524"/>
    <mergeCell ref="A519:A526"/>
    <mergeCell ref="B519:B526"/>
    <mergeCell ref="C519:C526"/>
    <mergeCell ref="D519:D526"/>
    <mergeCell ref="E511:E514"/>
    <mergeCell ref="AN511:AN518"/>
    <mergeCell ref="F512:F513"/>
    <mergeCell ref="E515:E518"/>
    <mergeCell ref="F515:F516"/>
    <mergeCell ref="A511:A518"/>
    <mergeCell ref="B511:B518"/>
    <mergeCell ref="C511:C518"/>
    <mergeCell ref="D511:D518"/>
    <mergeCell ref="E503:E506"/>
    <mergeCell ref="AN503:AN510"/>
    <mergeCell ref="F504:F505"/>
    <mergeCell ref="E507:E510"/>
    <mergeCell ref="F507:F508"/>
    <mergeCell ref="A503:A510"/>
    <mergeCell ref="B503:B510"/>
    <mergeCell ref="C503:C510"/>
    <mergeCell ref="D503:D510"/>
    <mergeCell ref="E495:E498"/>
    <mergeCell ref="AN495:AN502"/>
    <mergeCell ref="F496:F497"/>
    <mergeCell ref="E499:E502"/>
    <mergeCell ref="F499:F500"/>
    <mergeCell ref="A495:A502"/>
    <mergeCell ref="B495:B502"/>
    <mergeCell ref="C495:C502"/>
    <mergeCell ref="D495:D502"/>
    <mergeCell ref="E487:E490"/>
    <mergeCell ref="AN487:AN494"/>
    <mergeCell ref="F488:F489"/>
    <mergeCell ref="E491:E494"/>
    <mergeCell ref="F491:F492"/>
    <mergeCell ref="A487:A494"/>
    <mergeCell ref="B487:B494"/>
    <mergeCell ref="C487:C494"/>
    <mergeCell ref="D487:D494"/>
    <mergeCell ref="E479:E482"/>
    <mergeCell ref="AN479:AN486"/>
    <mergeCell ref="F480:F481"/>
    <mergeCell ref="E483:E486"/>
    <mergeCell ref="F483:F484"/>
    <mergeCell ref="A479:A486"/>
    <mergeCell ref="B479:B486"/>
    <mergeCell ref="C479:C486"/>
    <mergeCell ref="D479:D486"/>
    <mergeCell ref="E471:E474"/>
    <mergeCell ref="AN471:AN478"/>
    <mergeCell ref="F472:F473"/>
    <mergeCell ref="E475:E478"/>
    <mergeCell ref="F475:F476"/>
    <mergeCell ref="A471:A478"/>
    <mergeCell ref="B471:B478"/>
    <mergeCell ref="C471:C478"/>
    <mergeCell ref="D471:D478"/>
    <mergeCell ref="E463:E466"/>
    <mergeCell ref="AN463:AN470"/>
    <mergeCell ref="F464:F465"/>
    <mergeCell ref="E467:E470"/>
    <mergeCell ref="F467:F468"/>
    <mergeCell ref="A463:A470"/>
    <mergeCell ref="B463:B470"/>
    <mergeCell ref="C463:C470"/>
    <mergeCell ref="D463:D470"/>
    <mergeCell ref="E455:E458"/>
    <mergeCell ref="AN455:AN462"/>
    <mergeCell ref="F456:F457"/>
    <mergeCell ref="E459:E462"/>
    <mergeCell ref="F459:F460"/>
    <mergeCell ref="A455:A462"/>
    <mergeCell ref="B455:B462"/>
    <mergeCell ref="C455:C462"/>
    <mergeCell ref="D455:D462"/>
    <mergeCell ref="E447:E450"/>
    <mergeCell ref="AN447:AN454"/>
    <mergeCell ref="F448:F449"/>
    <mergeCell ref="E451:E454"/>
    <mergeCell ref="F451:F452"/>
    <mergeCell ref="A447:A454"/>
    <mergeCell ref="B447:B454"/>
    <mergeCell ref="C447:C454"/>
    <mergeCell ref="D447:D454"/>
    <mergeCell ref="E439:E442"/>
    <mergeCell ref="AN439:AN446"/>
    <mergeCell ref="F440:F441"/>
    <mergeCell ref="E443:E446"/>
    <mergeCell ref="F443:F444"/>
    <mergeCell ref="A439:A446"/>
    <mergeCell ref="B439:B446"/>
    <mergeCell ref="C439:C446"/>
    <mergeCell ref="D439:D446"/>
    <mergeCell ref="E431:E434"/>
    <mergeCell ref="AN431:AN438"/>
    <mergeCell ref="F432:F433"/>
    <mergeCell ref="E435:E438"/>
    <mergeCell ref="F435:F436"/>
    <mergeCell ref="A431:A438"/>
    <mergeCell ref="B431:B438"/>
    <mergeCell ref="C431:C438"/>
    <mergeCell ref="D431:D438"/>
    <mergeCell ref="AN427:AN430"/>
    <mergeCell ref="E427:E430"/>
    <mergeCell ref="F427:F428"/>
    <mergeCell ref="A427:A430"/>
    <mergeCell ref="B427:B430"/>
    <mergeCell ref="C427:C430"/>
    <mergeCell ref="D427:D430"/>
    <mergeCell ref="F420:F421"/>
    <mergeCell ref="F423:F424"/>
    <mergeCell ref="A419:E426"/>
    <mergeCell ref="AN419:AN426"/>
    <mergeCell ref="E364:E367"/>
    <mergeCell ref="AN364:AN371"/>
    <mergeCell ref="F365:F366"/>
    <mergeCell ref="E368:E371"/>
    <mergeCell ref="F368:F369"/>
    <mergeCell ref="A364:A371"/>
    <mergeCell ref="B364:B371"/>
    <mergeCell ref="C364:C371"/>
    <mergeCell ref="D364:D371"/>
    <mergeCell ref="E348:E351"/>
    <mergeCell ref="AN348:AN355"/>
    <mergeCell ref="F349:F350"/>
    <mergeCell ref="E352:E355"/>
    <mergeCell ref="F352:F353"/>
    <mergeCell ref="A348:A355"/>
    <mergeCell ref="B348:B355"/>
    <mergeCell ref="C348:C355"/>
    <mergeCell ref="D348:D355"/>
    <mergeCell ref="E340:E343"/>
    <mergeCell ref="AN340:AN347"/>
    <mergeCell ref="F341:F342"/>
    <mergeCell ref="E344:E347"/>
    <mergeCell ref="F344:F345"/>
    <mergeCell ref="A340:A347"/>
    <mergeCell ref="B340:B347"/>
    <mergeCell ref="C340:C347"/>
    <mergeCell ref="D340:D347"/>
    <mergeCell ref="AN324:AN331"/>
    <mergeCell ref="F325:F326"/>
    <mergeCell ref="E328:E331"/>
    <mergeCell ref="F328:F329"/>
    <mergeCell ref="B324:B331"/>
    <mergeCell ref="C324:C331"/>
    <mergeCell ref="D324:D331"/>
    <mergeCell ref="E316:E319"/>
    <mergeCell ref="E324:E327"/>
    <mergeCell ref="AN316:AN323"/>
    <mergeCell ref="F317:F318"/>
    <mergeCell ref="E320:E323"/>
    <mergeCell ref="F320:F321"/>
    <mergeCell ref="A316:A323"/>
    <mergeCell ref="B316:B323"/>
    <mergeCell ref="C316:C323"/>
    <mergeCell ref="D316:D323"/>
    <mergeCell ref="A372:A379"/>
    <mergeCell ref="B372:B379"/>
    <mergeCell ref="C372:C379"/>
    <mergeCell ref="D372:D379"/>
    <mergeCell ref="E372:E375"/>
    <mergeCell ref="AN372:AN379"/>
    <mergeCell ref="F373:F374"/>
    <mergeCell ref="E376:E379"/>
    <mergeCell ref="F376:F377"/>
    <mergeCell ref="F392:F393"/>
    <mergeCell ref="A388:A395"/>
    <mergeCell ref="B388:B395"/>
    <mergeCell ref="C388:C395"/>
    <mergeCell ref="D388:D395"/>
    <mergeCell ref="E308:E311"/>
    <mergeCell ref="AN308:AN315"/>
    <mergeCell ref="F309:F310"/>
    <mergeCell ref="E312:E315"/>
    <mergeCell ref="F312:F313"/>
    <mergeCell ref="A308:A315"/>
    <mergeCell ref="B308:B315"/>
    <mergeCell ref="C308:C315"/>
    <mergeCell ref="D308:D315"/>
    <mergeCell ref="E300:E303"/>
    <mergeCell ref="AN300:AN307"/>
    <mergeCell ref="F301:F302"/>
    <mergeCell ref="E304:E307"/>
    <mergeCell ref="F304:F305"/>
    <mergeCell ref="A300:A307"/>
    <mergeCell ref="B300:B307"/>
    <mergeCell ref="C300:C307"/>
    <mergeCell ref="D300:D307"/>
    <mergeCell ref="E292:E295"/>
    <mergeCell ref="AN292:AN299"/>
    <mergeCell ref="F293:F294"/>
    <mergeCell ref="E296:E299"/>
    <mergeCell ref="F296:F297"/>
    <mergeCell ref="A292:A299"/>
    <mergeCell ref="B292:B299"/>
    <mergeCell ref="C292:C299"/>
    <mergeCell ref="D292:D299"/>
    <mergeCell ref="E284:E287"/>
    <mergeCell ref="AN284:AN291"/>
    <mergeCell ref="F285:F286"/>
    <mergeCell ref="E288:E291"/>
    <mergeCell ref="F288:F289"/>
    <mergeCell ref="A284:A291"/>
    <mergeCell ref="B284:B291"/>
    <mergeCell ref="C284:C291"/>
    <mergeCell ref="D284:D291"/>
    <mergeCell ref="AN276:AN283"/>
    <mergeCell ref="F277:F278"/>
    <mergeCell ref="E280:E283"/>
    <mergeCell ref="F280:F281"/>
    <mergeCell ref="F272:F273"/>
    <mergeCell ref="A276:A283"/>
    <mergeCell ref="B276:B283"/>
    <mergeCell ref="C276:C283"/>
    <mergeCell ref="D276:D283"/>
    <mergeCell ref="E276:E279"/>
    <mergeCell ref="A268:A275"/>
    <mergeCell ref="B268:B275"/>
    <mergeCell ref="C268:C275"/>
    <mergeCell ref="D268:D275"/>
    <mergeCell ref="E244:E247"/>
    <mergeCell ref="AN244:AN251"/>
    <mergeCell ref="F245:F246"/>
    <mergeCell ref="E248:E251"/>
    <mergeCell ref="F248:F249"/>
    <mergeCell ref="A244:A251"/>
    <mergeCell ref="B244:B251"/>
    <mergeCell ref="C244:C251"/>
    <mergeCell ref="D244:D251"/>
    <mergeCell ref="E236:E239"/>
    <mergeCell ref="AN236:AN243"/>
    <mergeCell ref="F237:F238"/>
    <mergeCell ref="E240:E243"/>
    <mergeCell ref="F240:F241"/>
    <mergeCell ref="A236:A243"/>
    <mergeCell ref="B236:B243"/>
    <mergeCell ref="C236:C243"/>
    <mergeCell ref="D236:D243"/>
    <mergeCell ref="E228:E231"/>
    <mergeCell ref="AN228:AN235"/>
    <mergeCell ref="F229:F230"/>
    <mergeCell ref="E232:E235"/>
    <mergeCell ref="F232:F233"/>
    <mergeCell ref="A228:A235"/>
    <mergeCell ref="B228:B235"/>
    <mergeCell ref="C228:C235"/>
    <mergeCell ref="D228:D235"/>
    <mergeCell ref="E220:E223"/>
    <mergeCell ref="AN220:AN227"/>
    <mergeCell ref="F221:F222"/>
    <mergeCell ref="E224:E227"/>
    <mergeCell ref="F224:F225"/>
    <mergeCell ref="A220:A227"/>
    <mergeCell ref="B220:B227"/>
    <mergeCell ref="C220:C227"/>
    <mergeCell ref="D220:D227"/>
    <mergeCell ref="E212:E215"/>
    <mergeCell ref="AN212:AN219"/>
    <mergeCell ref="F213:F214"/>
    <mergeCell ref="E216:E219"/>
    <mergeCell ref="F216:F217"/>
    <mergeCell ref="A212:A219"/>
    <mergeCell ref="B212:B219"/>
    <mergeCell ref="C212:C219"/>
    <mergeCell ref="D212:D219"/>
    <mergeCell ref="C204:C211"/>
    <mergeCell ref="D204:D211"/>
    <mergeCell ref="E204:E207"/>
    <mergeCell ref="AN204:AN211"/>
    <mergeCell ref="F205:F206"/>
    <mergeCell ref="E208:E211"/>
    <mergeCell ref="F208:F209"/>
    <mergeCell ref="AN196:AN203"/>
    <mergeCell ref="F197:F198"/>
    <mergeCell ref="E200:E203"/>
    <mergeCell ref="F200:F201"/>
    <mergeCell ref="AN188:AN195"/>
    <mergeCell ref="F189:F190"/>
    <mergeCell ref="E192:E195"/>
    <mergeCell ref="F192:F193"/>
    <mergeCell ref="F184:F185"/>
    <mergeCell ref="A188:A195"/>
    <mergeCell ref="B188:B195"/>
    <mergeCell ref="C188:C195"/>
    <mergeCell ref="D188:D195"/>
    <mergeCell ref="E188:E191"/>
    <mergeCell ref="A180:A187"/>
    <mergeCell ref="B180:B187"/>
    <mergeCell ref="C180:C187"/>
    <mergeCell ref="D180:D187"/>
    <mergeCell ref="E184:E187"/>
    <mergeCell ref="A396:A403"/>
    <mergeCell ref="B396:B403"/>
    <mergeCell ref="C396:C403"/>
    <mergeCell ref="D396:D403"/>
    <mergeCell ref="A196:A203"/>
    <mergeCell ref="B196:B203"/>
    <mergeCell ref="C196:C203"/>
    <mergeCell ref="D196:D203"/>
    <mergeCell ref="E196:E199"/>
    <mergeCell ref="D172:D179"/>
    <mergeCell ref="F176:F177"/>
    <mergeCell ref="E396:E399"/>
    <mergeCell ref="AN396:AN403"/>
    <mergeCell ref="F397:F398"/>
    <mergeCell ref="E400:E403"/>
    <mergeCell ref="F400:F401"/>
    <mergeCell ref="E180:E183"/>
    <mergeCell ref="AN180:AN187"/>
    <mergeCell ref="F181:F182"/>
    <mergeCell ref="C100:C107"/>
    <mergeCell ref="D100:D107"/>
    <mergeCell ref="E100:E103"/>
    <mergeCell ref="AN100:AN107"/>
    <mergeCell ref="F101:F102"/>
    <mergeCell ref="E104:E107"/>
    <mergeCell ref="F104:F105"/>
    <mergeCell ref="C76:C83"/>
    <mergeCell ref="D76:D83"/>
    <mergeCell ref="E76:E79"/>
    <mergeCell ref="AN76:AN83"/>
    <mergeCell ref="F77:F78"/>
    <mergeCell ref="E80:E83"/>
    <mergeCell ref="F80:F81"/>
    <mergeCell ref="E68:E71"/>
    <mergeCell ref="AN68:AN75"/>
    <mergeCell ref="F69:F70"/>
    <mergeCell ref="E72:E75"/>
    <mergeCell ref="F72:F73"/>
    <mergeCell ref="AN37:AN44"/>
    <mergeCell ref="F38:F39"/>
    <mergeCell ref="E41:E44"/>
    <mergeCell ref="E52:E55"/>
    <mergeCell ref="AN52:AN59"/>
    <mergeCell ref="F53:F54"/>
    <mergeCell ref="E56:E59"/>
    <mergeCell ref="F56:F57"/>
    <mergeCell ref="AN45:AN51"/>
    <mergeCell ref="E48:E51"/>
    <mergeCell ref="F48:F49"/>
    <mergeCell ref="E45:E47"/>
    <mergeCell ref="A13:A20"/>
    <mergeCell ref="B13:B20"/>
    <mergeCell ref="C13:C20"/>
    <mergeCell ref="D13:D20"/>
    <mergeCell ref="C29:C36"/>
    <mergeCell ref="D29:D36"/>
    <mergeCell ref="E29:E32"/>
    <mergeCell ref="A29:A36"/>
    <mergeCell ref="AN29:AN36"/>
    <mergeCell ref="F30:F31"/>
    <mergeCell ref="E33:E36"/>
    <mergeCell ref="F33:F34"/>
    <mergeCell ref="E5:E8"/>
    <mergeCell ref="AN5:AN12"/>
    <mergeCell ref="F6:F7"/>
    <mergeCell ref="E9:E12"/>
    <mergeCell ref="D108:D115"/>
    <mergeCell ref="E116:E119"/>
    <mergeCell ref="AN108:AN115"/>
    <mergeCell ref="F109:F110"/>
    <mergeCell ref="E112:E115"/>
    <mergeCell ref="F112:F113"/>
    <mergeCell ref="AN116:AN123"/>
    <mergeCell ref="F117:F118"/>
    <mergeCell ref="E120:E123"/>
    <mergeCell ref="F120:F121"/>
    <mergeCell ref="AN124:AN131"/>
    <mergeCell ref="F125:F126"/>
    <mergeCell ref="E128:E131"/>
    <mergeCell ref="F128:F129"/>
    <mergeCell ref="E124:E127"/>
    <mergeCell ref="E272:E275"/>
    <mergeCell ref="E132:E135"/>
    <mergeCell ref="AN132:AN139"/>
    <mergeCell ref="F133:F134"/>
    <mergeCell ref="E136:E139"/>
    <mergeCell ref="F136:F137"/>
    <mergeCell ref="E172:E175"/>
    <mergeCell ref="AN172:AN179"/>
    <mergeCell ref="F173:F174"/>
    <mergeCell ref="E176:E179"/>
    <mergeCell ref="C404:C411"/>
    <mergeCell ref="D404:D411"/>
    <mergeCell ref="B132:B139"/>
    <mergeCell ref="C132:C139"/>
    <mergeCell ref="D132:D139"/>
    <mergeCell ref="B380:B387"/>
    <mergeCell ref="C380:C387"/>
    <mergeCell ref="D380:D387"/>
    <mergeCell ref="B172:B179"/>
    <mergeCell ref="C172:C179"/>
    <mergeCell ref="A100:A107"/>
    <mergeCell ref="B100:B107"/>
    <mergeCell ref="A132:A139"/>
    <mergeCell ref="A404:A411"/>
    <mergeCell ref="B404:B411"/>
    <mergeCell ref="A124:A131"/>
    <mergeCell ref="A380:A387"/>
    <mergeCell ref="A172:A179"/>
    <mergeCell ref="A204:A211"/>
    <mergeCell ref="B204:B211"/>
    <mergeCell ref="A252:A259"/>
    <mergeCell ref="B252:B259"/>
    <mergeCell ref="C252:C259"/>
    <mergeCell ref="D252:D259"/>
    <mergeCell ref="E252:E255"/>
    <mergeCell ref="B92:B99"/>
    <mergeCell ref="C92:C99"/>
    <mergeCell ref="D92:D99"/>
    <mergeCell ref="C124:C131"/>
    <mergeCell ref="D124:D131"/>
    <mergeCell ref="C116:C123"/>
    <mergeCell ref="D116:D123"/>
    <mergeCell ref="E108:E111"/>
    <mergeCell ref="C108:C115"/>
    <mergeCell ref="E404:E407"/>
    <mergeCell ref="E380:E383"/>
    <mergeCell ref="AN380:AN387"/>
    <mergeCell ref="F381:F382"/>
    <mergeCell ref="E384:E387"/>
    <mergeCell ref="F384:F385"/>
    <mergeCell ref="E388:E391"/>
    <mergeCell ref="AN388:AN395"/>
    <mergeCell ref="F389:F390"/>
    <mergeCell ref="E392:E395"/>
    <mergeCell ref="A92:A99"/>
    <mergeCell ref="AN84:AN91"/>
    <mergeCell ref="F85:F86"/>
    <mergeCell ref="E88:E91"/>
    <mergeCell ref="E92:E95"/>
    <mergeCell ref="AN92:AN99"/>
    <mergeCell ref="F93:F94"/>
    <mergeCell ref="E96:E99"/>
    <mergeCell ref="F96:F97"/>
    <mergeCell ref="E84:E87"/>
    <mergeCell ref="A260:A267"/>
    <mergeCell ref="A148:A155"/>
    <mergeCell ref="B148:B155"/>
    <mergeCell ref="A84:A91"/>
    <mergeCell ref="B84:B91"/>
    <mergeCell ref="B124:B131"/>
    <mergeCell ref="A116:A123"/>
    <mergeCell ref="B116:B123"/>
    <mergeCell ref="A108:A115"/>
    <mergeCell ref="B108:B115"/>
    <mergeCell ref="F413:F414"/>
    <mergeCell ref="F416:F417"/>
    <mergeCell ref="A76:A83"/>
    <mergeCell ref="B76:B83"/>
    <mergeCell ref="E256:E259"/>
    <mergeCell ref="F256:F257"/>
    <mergeCell ref="A140:A147"/>
    <mergeCell ref="B140:B147"/>
    <mergeCell ref="C140:C147"/>
    <mergeCell ref="B260:B267"/>
    <mergeCell ref="AN404:AN411"/>
    <mergeCell ref="F405:F406"/>
    <mergeCell ref="F408:F409"/>
    <mergeCell ref="D140:D147"/>
    <mergeCell ref="E408:E411"/>
    <mergeCell ref="AN252:AN259"/>
    <mergeCell ref="F253:F254"/>
    <mergeCell ref="E268:E271"/>
    <mergeCell ref="AN268:AN275"/>
    <mergeCell ref="F269:F270"/>
    <mergeCell ref="C260:C267"/>
    <mergeCell ref="D260:D267"/>
    <mergeCell ref="E260:E263"/>
    <mergeCell ref="AN260:AN267"/>
    <mergeCell ref="F261:F262"/>
    <mergeCell ref="E264:E267"/>
    <mergeCell ref="F264:F265"/>
    <mergeCell ref="E140:E143"/>
    <mergeCell ref="C68:C75"/>
    <mergeCell ref="D68:D75"/>
    <mergeCell ref="AN140:AN147"/>
    <mergeCell ref="F141:F142"/>
    <mergeCell ref="E144:E147"/>
    <mergeCell ref="F144:F145"/>
    <mergeCell ref="C84:C91"/>
    <mergeCell ref="D84:D91"/>
    <mergeCell ref="F88:F89"/>
    <mergeCell ref="C45:C51"/>
    <mergeCell ref="D45:D51"/>
    <mergeCell ref="A52:A59"/>
    <mergeCell ref="B52:B59"/>
    <mergeCell ref="C52:C59"/>
    <mergeCell ref="D52:D59"/>
    <mergeCell ref="B156:B163"/>
    <mergeCell ref="C156:C163"/>
    <mergeCell ref="D156:D163"/>
    <mergeCell ref="E148:E151"/>
    <mergeCell ref="E156:E159"/>
    <mergeCell ref="AN148:AN155"/>
    <mergeCell ref="F149:F150"/>
    <mergeCell ref="C37:C44"/>
    <mergeCell ref="D37:D44"/>
    <mergeCell ref="F41:F42"/>
    <mergeCell ref="E37:E40"/>
    <mergeCell ref="E152:E155"/>
    <mergeCell ref="F152:F153"/>
    <mergeCell ref="C148:C155"/>
    <mergeCell ref="D148:D155"/>
    <mergeCell ref="AN156:AN163"/>
    <mergeCell ref="F157:F158"/>
    <mergeCell ref="E160:E163"/>
    <mergeCell ref="F160:F161"/>
    <mergeCell ref="B29:B36"/>
    <mergeCell ref="A164:A171"/>
    <mergeCell ref="B164:B171"/>
    <mergeCell ref="A37:A44"/>
    <mergeCell ref="B37:B44"/>
    <mergeCell ref="A45:A51"/>
    <mergeCell ref="B45:B51"/>
    <mergeCell ref="A68:A75"/>
    <mergeCell ref="B68:B75"/>
    <mergeCell ref="A156:A163"/>
    <mergeCell ref="AN21:AN28"/>
    <mergeCell ref="F22:F23"/>
    <mergeCell ref="E25:E28"/>
    <mergeCell ref="F25:F26"/>
    <mergeCell ref="E21:E24"/>
    <mergeCell ref="A21:A28"/>
    <mergeCell ref="B21:B28"/>
    <mergeCell ref="C21:C28"/>
    <mergeCell ref="D21:D28"/>
    <mergeCell ref="AN13:AN20"/>
    <mergeCell ref="F14:F15"/>
    <mergeCell ref="E17:E20"/>
    <mergeCell ref="F17:F18"/>
    <mergeCell ref="A5:A12"/>
    <mergeCell ref="B5:B12"/>
    <mergeCell ref="C5:C12"/>
    <mergeCell ref="D5:D12"/>
    <mergeCell ref="AN3:AN4"/>
    <mergeCell ref="F9:F10"/>
    <mergeCell ref="C164:C171"/>
    <mergeCell ref="D164:D171"/>
    <mergeCell ref="E164:E167"/>
    <mergeCell ref="AN164:AN171"/>
    <mergeCell ref="F165:F166"/>
    <mergeCell ref="E168:E171"/>
    <mergeCell ref="F168:F169"/>
    <mergeCell ref="E13:E16"/>
    <mergeCell ref="A2:AN2"/>
    <mergeCell ref="A3:A4"/>
    <mergeCell ref="B3:B4"/>
    <mergeCell ref="C3:C4"/>
    <mergeCell ref="D3:D4"/>
    <mergeCell ref="E3:E4"/>
    <mergeCell ref="F3:F4"/>
    <mergeCell ref="G3:G4"/>
    <mergeCell ref="H3:H4"/>
    <mergeCell ref="I3:AM3"/>
    <mergeCell ref="A332:A339"/>
    <mergeCell ref="B332:B339"/>
    <mergeCell ref="C332:C339"/>
    <mergeCell ref="D332:D339"/>
    <mergeCell ref="E332:E335"/>
    <mergeCell ref="AN332:AN339"/>
    <mergeCell ref="F333:F334"/>
    <mergeCell ref="E336:E339"/>
    <mergeCell ref="F336:F337"/>
  </mergeCells>
  <printOptions/>
  <pageMargins left="0.23" right="0.23" top="0.43" bottom="0.32" header="0.17" footer="0.16"/>
  <pageSetup horizontalDpi="600" verticalDpi="600" orientation="landscape" paperSize="9" scale="95" r:id="rId1"/>
  <headerFooter alignWithMargins="0">
    <oddFooter>&amp;C&amp;8&amp;P</oddFooter>
  </headerFooter>
  <rowBreaks count="8" manualBreakCount="8">
    <brk id="36" max="39" man="1"/>
    <brk id="83" max="39" man="1"/>
    <brk id="123" max="39" man="1"/>
    <brk id="163" max="39" man="1"/>
    <brk id="203" max="39" man="1"/>
    <brk id="291" max="39" man="1"/>
    <brk id="331" max="39" man="1"/>
    <brk id="37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Alicja Helbin</cp:lastModifiedBy>
  <cp:lastPrinted>2011-10-12T11:52:37Z</cp:lastPrinted>
  <dcterms:created xsi:type="dcterms:W3CDTF">2010-11-15T08:09:58Z</dcterms:created>
  <dcterms:modified xsi:type="dcterms:W3CDTF">2011-10-12T12:39:11Z</dcterms:modified>
  <cp:category/>
  <cp:version/>
  <cp:contentType/>
  <cp:contentStatus/>
</cp:coreProperties>
</file>